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\\mj-file-02\OFICIALIA PRESUPUESTAL\UNIDAD DE PRESUPUESTO\Informes de Ejecución mensual\PERIODO 2019\12 DICIEMBRE\"/>
    </mc:Choice>
  </mc:AlternateContent>
  <xr:revisionPtr revIDLastSave="0" documentId="13_ncr:1_{A517977B-09E7-4F01-BE40-02A605CF6624}" xr6:coauthVersionLast="36" xr6:coauthVersionMax="36" xr10:uidLastSave="{00000000-0000-0000-0000-000000000000}"/>
  <bookViews>
    <workbookView xWindow="0" yWindow="0" windowWidth="19200" windowHeight="11595" tabRatio="720" firstSheet="2" activeTab="2" xr2:uid="{00000000-000D-0000-FFFF-FFFF00000000}"/>
  </bookViews>
  <sheets>
    <sheet name="Estado" sheetId="2" r:id="rId1"/>
    <sheet name="Resumen Estado" sheetId="1" r:id="rId2"/>
    <sheet name="ANALISIS POR PROG" sheetId="10" r:id="rId3"/>
    <sheet name="Partidas mayor al 50%" sheetId="17" state="hidden" r:id="rId4"/>
    <sheet name="Hoja4" sheetId="4" state="hidden" r:id="rId5"/>
    <sheet name="sigaf" sheetId="7" state="hidden" r:id="rId6"/>
    <sheet name="Resumen por Partida" sheetId="5" r:id="rId7"/>
    <sheet name="SIGAF 2018" sheetId="16" state="hidden" r:id="rId8"/>
    <sheet name="COMPORT. RESUMEN" sheetId="8" r:id="rId9"/>
    <sheet name="Hoja1" sheetId="31" state="hidden" r:id="rId10"/>
    <sheet name="MENSUAL" sheetId="9" r:id="rId11"/>
    <sheet name="Ejecucion por Programa" sheetId="11" state="hidden" r:id="rId12"/>
    <sheet name="2018-1" sheetId="15" state="hidden" r:id="rId13"/>
    <sheet name="2018" sheetId="14" state="hidden" r:id="rId14"/>
    <sheet name="RESUMEN" sheetId="12" r:id="rId15"/>
    <sheet name="COMPARATIVO" sheetId="13" r:id="rId16"/>
    <sheet name="DEVENGADO MENSUAL" sheetId="18" state="hidden" r:id="rId17"/>
    <sheet name="AGOST" sheetId="30" state="hidden" r:id="rId18"/>
    <sheet name="JULIO 2019" sheetId="19" state="hidden" r:id="rId19"/>
    <sheet name="JUNIO 2019" sheetId="20" state="hidden" r:id="rId20"/>
    <sheet name="MAYO 2019" sheetId="21" state="hidden" r:id="rId21"/>
    <sheet name="ABRIL 2019" sheetId="22" state="hidden" r:id="rId22"/>
    <sheet name="MARZO 2019" sheetId="23" state="hidden" r:id="rId23"/>
    <sheet name="ENERO 2019" sheetId="28" state="hidden" r:id="rId24"/>
    <sheet name="FEBRERO 2019" sheetId="27" state="hidden" r:id="rId25"/>
    <sheet name="DICIEMBRE 2018" sheetId="29" state="hidden" r:id="rId26"/>
    <sheet name="NOVIEMBRE 2018" sheetId="24" state="hidden" r:id="rId27"/>
    <sheet name="Hoja9" sheetId="25" state="hidden" r:id="rId28"/>
    <sheet name="Hoja10" sheetId="26" state="hidden" r:id="rId29"/>
    <sheet name="proyeccion" sheetId="6" state="hidden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_FilterDatabase" localSheetId="5" hidden="1">sigaf!$A$1:$P$451</definedName>
    <definedName name="_xlnm.Print_Area" localSheetId="2">'ANALISIS POR PROG'!$B$1:$P$48</definedName>
    <definedName name="_xlnm.Print_Area" localSheetId="0">Estado!$A$1:$R$207</definedName>
    <definedName name="_xlnm.Print_Area" localSheetId="14">RESUMEN!$B$2:$E$24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1" l="1"/>
  <c r="C11" i="31"/>
  <c r="N10" i="10" l="1"/>
  <c r="N9" i="10"/>
  <c r="N8" i="10"/>
  <c r="N7" i="10"/>
  <c r="L10" i="10"/>
  <c r="L9" i="10"/>
  <c r="L8" i="10"/>
  <c r="L7" i="10"/>
  <c r="G7" i="10"/>
  <c r="J10" i="10"/>
  <c r="J9" i="10"/>
  <c r="J8" i="10"/>
  <c r="J7" i="10"/>
  <c r="G10" i="10"/>
  <c r="G9" i="10"/>
  <c r="G8" i="10"/>
  <c r="C10" i="10"/>
  <c r="C9" i="10"/>
  <c r="C8" i="10"/>
  <c r="C7" i="10"/>
  <c r="Q202" i="2" l="1"/>
  <c r="Q199" i="2"/>
  <c r="Q198" i="2"/>
  <c r="Q196" i="2"/>
  <c r="Q193" i="2"/>
  <c r="Q194" i="2"/>
  <c r="Q192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71" i="2"/>
  <c r="Q167" i="2"/>
  <c r="Q168" i="2"/>
  <c r="Q169" i="2"/>
  <c r="Q166" i="2"/>
  <c r="Q164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59" i="2"/>
  <c r="Q54" i="2"/>
  <c r="Q55" i="2"/>
  <c r="Q56" i="2"/>
  <c r="Q57" i="2"/>
  <c r="Q53" i="2"/>
  <c r="Q48" i="2"/>
  <c r="Q49" i="2"/>
  <c r="Q50" i="2"/>
  <c r="Q51" i="2"/>
  <c r="Q47" i="2"/>
  <c r="Q42" i="2"/>
  <c r="Q43" i="2"/>
  <c r="Q44" i="2"/>
  <c r="Q45" i="2"/>
  <c r="Q41" i="2"/>
  <c r="Q35" i="2"/>
  <c r="Q36" i="2"/>
  <c r="Q37" i="2"/>
  <c r="Q38" i="2"/>
  <c r="Q39" i="2"/>
  <c r="Q34" i="2"/>
  <c r="Q29" i="2"/>
  <c r="Q30" i="2"/>
  <c r="Q31" i="2"/>
  <c r="Q32" i="2"/>
  <c r="Q28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12" i="2"/>
  <c r="Q11" i="2"/>
  <c r="Q10" i="2"/>
  <c r="O202" i="2"/>
  <c r="O199" i="2"/>
  <c r="O198" i="2"/>
  <c r="O196" i="2"/>
  <c r="O193" i="2"/>
  <c r="O194" i="2"/>
  <c r="O192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71" i="2"/>
  <c r="O167" i="2"/>
  <c r="O168" i="2"/>
  <c r="O169" i="2"/>
  <c r="O166" i="2"/>
  <c r="O164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59" i="2"/>
  <c r="O54" i="2"/>
  <c r="O55" i="2"/>
  <c r="O56" i="2"/>
  <c r="O57" i="2"/>
  <c r="O53" i="2"/>
  <c r="O48" i="2"/>
  <c r="O49" i="2"/>
  <c r="O50" i="2"/>
  <c r="O51" i="2"/>
  <c r="O47" i="2"/>
  <c r="O42" i="2"/>
  <c r="O43" i="2"/>
  <c r="O44" i="2"/>
  <c r="O45" i="2"/>
  <c r="O41" i="2"/>
  <c r="O35" i="2"/>
  <c r="O36" i="2"/>
  <c r="O37" i="2"/>
  <c r="O38" i="2"/>
  <c r="O39" i="2"/>
  <c r="O34" i="2"/>
  <c r="O29" i="2"/>
  <c r="O30" i="2"/>
  <c r="O31" i="2"/>
  <c r="O32" i="2"/>
  <c r="O28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13" i="2"/>
  <c r="O12" i="2"/>
  <c r="O11" i="2"/>
  <c r="O10" i="2"/>
  <c r="M202" i="2"/>
  <c r="M199" i="2"/>
  <c r="M198" i="2"/>
  <c r="M196" i="2"/>
  <c r="M193" i="2"/>
  <c r="M194" i="2"/>
  <c r="M192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71" i="2"/>
  <c r="M167" i="2"/>
  <c r="M168" i="2"/>
  <c r="M169" i="2"/>
  <c r="M166" i="2"/>
  <c r="M164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59" i="2"/>
  <c r="M54" i="2"/>
  <c r="M55" i="2"/>
  <c r="M56" i="2"/>
  <c r="M57" i="2"/>
  <c r="M53" i="2"/>
  <c r="M48" i="2"/>
  <c r="M49" i="2"/>
  <c r="M50" i="2"/>
  <c r="M51" i="2"/>
  <c r="M47" i="2"/>
  <c r="M42" i="2"/>
  <c r="M43" i="2"/>
  <c r="M44" i="2"/>
  <c r="M45" i="2"/>
  <c r="M41" i="2"/>
  <c r="M35" i="2"/>
  <c r="M36" i="2"/>
  <c r="M37" i="2"/>
  <c r="M38" i="2"/>
  <c r="M39" i="2"/>
  <c r="M34" i="2"/>
  <c r="M29" i="2"/>
  <c r="M30" i="2"/>
  <c r="M31" i="2"/>
  <c r="M32" i="2"/>
  <c r="M28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12" i="2"/>
  <c r="M11" i="2"/>
  <c r="M10" i="2"/>
  <c r="K202" i="2"/>
  <c r="K199" i="2"/>
  <c r="K198" i="2"/>
  <c r="K196" i="2"/>
  <c r="K193" i="2"/>
  <c r="K194" i="2"/>
  <c r="K192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71" i="2"/>
  <c r="K167" i="2"/>
  <c r="K168" i="2"/>
  <c r="K169" i="2"/>
  <c r="K166" i="2"/>
  <c r="K164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59" i="2"/>
  <c r="K54" i="2"/>
  <c r="K55" i="2"/>
  <c r="K56" i="2"/>
  <c r="K57" i="2"/>
  <c r="K53" i="2"/>
  <c r="K48" i="2"/>
  <c r="K49" i="2"/>
  <c r="K50" i="2"/>
  <c r="K51" i="2"/>
  <c r="K47" i="2"/>
  <c r="K42" i="2"/>
  <c r="K43" i="2"/>
  <c r="K44" i="2"/>
  <c r="K45" i="2"/>
  <c r="K41" i="2"/>
  <c r="K35" i="2"/>
  <c r="K36" i="2"/>
  <c r="K37" i="2"/>
  <c r="K38" i="2"/>
  <c r="K39" i="2"/>
  <c r="K34" i="2"/>
  <c r="K29" i="2"/>
  <c r="K30" i="2"/>
  <c r="K31" i="2"/>
  <c r="K32" i="2"/>
  <c r="K28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12" i="2"/>
  <c r="K11" i="2"/>
  <c r="K10" i="2"/>
  <c r="I202" i="2"/>
  <c r="I199" i="2"/>
  <c r="I198" i="2"/>
  <c r="I196" i="2"/>
  <c r="I193" i="2"/>
  <c r="I194" i="2"/>
  <c r="I192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71" i="2"/>
  <c r="I167" i="2"/>
  <c r="I168" i="2"/>
  <c r="I169" i="2"/>
  <c r="I166" i="2"/>
  <c r="I164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59" i="2"/>
  <c r="I54" i="2"/>
  <c r="I55" i="2"/>
  <c r="I56" i="2"/>
  <c r="I57" i="2"/>
  <c r="I53" i="2"/>
  <c r="I48" i="2"/>
  <c r="I49" i="2"/>
  <c r="I50" i="2"/>
  <c r="I51" i="2"/>
  <c r="I47" i="2"/>
  <c r="I42" i="2"/>
  <c r="I43" i="2"/>
  <c r="I44" i="2"/>
  <c r="I45" i="2"/>
  <c r="I41" i="2"/>
  <c r="I35" i="2"/>
  <c r="I36" i="2"/>
  <c r="I37" i="2"/>
  <c r="I38" i="2"/>
  <c r="I39" i="2"/>
  <c r="I34" i="2"/>
  <c r="I29" i="2"/>
  <c r="I30" i="2"/>
  <c r="I31" i="2"/>
  <c r="I32" i="2"/>
  <c r="I28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12" i="2"/>
  <c r="I11" i="2"/>
  <c r="I10" i="2"/>
  <c r="G202" i="2"/>
  <c r="G199" i="2"/>
  <c r="G198" i="2"/>
  <c r="G196" i="2"/>
  <c r="G193" i="2"/>
  <c r="G194" i="2"/>
  <c r="G192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71" i="2"/>
  <c r="G167" i="2"/>
  <c r="G168" i="2"/>
  <c r="G169" i="2"/>
  <c r="G166" i="2"/>
  <c r="G164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59" i="2"/>
  <c r="G54" i="2"/>
  <c r="G55" i="2"/>
  <c r="G56" i="2"/>
  <c r="G57" i="2"/>
  <c r="G53" i="2"/>
  <c r="G48" i="2"/>
  <c r="G49" i="2"/>
  <c r="G50" i="2"/>
  <c r="G51" i="2"/>
  <c r="G47" i="2"/>
  <c r="G42" i="2"/>
  <c r="G43" i="2"/>
  <c r="G44" i="2"/>
  <c r="G45" i="2"/>
  <c r="G41" i="2"/>
  <c r="G35" i="2"/>
  <c r="G36" i="2"/>
  <c r="G37" i="2"/>
  <c r="G38" i="2"/>
  <c r="G39" i="2"/>
  <c r="G34" i="2"/>
  <c r="G29" i="2"/>
  <c r="G30" i="2"/>
  <c r="G31" i="2"/>
  <c r="G32" i="2"/>
  <c r="G2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2" i="2"/>
  <c r="G11" i="2"/>
  <c r="G10" i="2"/>
  <c r="E202" i="2"/>
  <c r="E199" i="2"/>
  <c r="E198" i="2"/>
  <c r="E196" i="2"/>
  <c r="E193" i="2"/>
  <c r="E194" i="2"/>
  <c r="E192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71" i="2"/>
  <c r="E167" i="2"/>
  <c r="E168" i="2"/>
  <c r="E169" i="2"/>
  <c r="E166" i="2"/>
  <c r="E164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59" i="2"/>
  <c r="E54" i="2"/>
  <c r="E55" i="2"/>
  <c r="E56" i="2"/>
  <c r="E57" i="2"/>
  <c r="E53" i="2"/>
  <c r="E48" i="2"/>
  <c r="E49" i="2"/>
  <c r="E50" i="2"/>
  <c r="E51" i="2"/>
  <c r="E47" i="2"/>
  <c r="E42" i="2"/>
  <c r="E43" i="2"/>
  <c r="E44" i="2"/>
  <c r="E45" i="2"/>
  <c r="E41" i="2"/>
  <c r="E35" i="2"/>
  <c r="E36" i="2"/>
  <c r="E37" i="2"/>
  <c r="E38" i="2"/>
  <c r="E39" i="2"/>
  <c r="E34" i="2"/>
  <c r="E29" i="2"/>
  <c r="E30" i="2"/>
  <c r="E31" i="2"/>
  <c r="E32" i="2"/>
  <c r="E28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2" i="2"/>
  <c r="E11" i="2"/>
  <c r="E10" i="2"/>
  <c r="D202" i="2"/>
  <c r="D199" i="2"/>
  <c r="D198" i="2"/>
  <c r="D196" i="2"/>
  <c r="D193" i="2"/>
  <c r="D194" i="2"/>
  <c r="D192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71" i="2"/>
  <c r="D167" i="2"/>
  <c r="D168" i="2"/>
  <c r="D169" i="2"/>
  <c r="D166" i="2"/>
  <c r="D164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59" i="2"/>
  <c r="D54" i="2"/>
  <c r="D55" i="2"/>
  <c r="D56" i="2"/>
  <c r="D57" i="2"/>
  <c r="D53" i="2"/>
  <c r="D48" i="2"/>
  <c r="D49" i="2"/>
  <c r="D50" i="2"/>
  <c r="D51" i="2"/>
  <c r="D47" i="2"/>
  <c r="D42" i="2"/>
  <c r="D43" i="2"/>
  <c r="D44" i="2"/>
  <c r="D45" i="2"/>
  <c r="D41" i="2"/>
  <c r="D35" i="2"/>
  <c r="D36" i="2"/>
  <c r="D37" i="2"/>
  <c r="D38" i="2"/>
  <c r="D39" i="2"/>
  <c r="D34" i="2"/>
  <c r="D29" i="2"/>
  <c r="D30" i="2"/>
  <c r="D31" i="2"/>
  <c r="D32" i="2"/>
  <c r="D2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12" i="2"/>
  <c r="D11" i="2"/>
  <c r="D10" i="2"/>
  <c r="C202" i="2"/>
  <c r="C199" i="2"/>
  <c r="C198" i="2"/>
  <c r="C196" i="2"/>
  <c r="C193" i="2"/>
  <c r="C194" i="2"/>
  <c r="C192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71" i="2"/>
  <c r="C167" i="2"/>
  <c r="C168" i="2"/>
  <c r="C169" i="2"/>
  <c r="C166" i="2"/>
  <c r="C164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54" i="2"/>
  <c r="C55" i="2"/>
  <c r="C56" i="2"/>
  <c r="C57" i="2"/>
  <c r="C53" i="2"/>
  <c r="C48" i="2"/>
  <c r="C49" i="2"/>
  <c r="C50" i="2"/>
  <c r="C51" i="2"/>
  <c r="C47" i="2"/>
  <c r="C42" i="2"/>
  <c r="C43" i="2"/>
  <c r="C44" i="2"/>
  <c r="C45" i="2"/>
  <c r="C41" i="2"/>
  <c r="C35" i="2"/>
  <c r="C36" i="2"/>
  <c r="C37" i="2"/>
  <c r="C38" i="2"/>
  <c r="C39" i="2"/>
  <c r="C34" i="2"/>
  <c r="C29" i="2"/>
  <c r="C30" i="2"/>
  <c r="C31" i="2"/>
  <c r="C32" i="2"/>
  <c r="C2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12" i="2"/>
  <c r="C11" i="2"/>
  <c r="C10" i="2"/>
  <c r="E10" i="10" l="1"/>
  <c r="E9" i="10"/>
  <c r="R5" i="17" l="1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R180" i="17"/>
  <c r="R181" i="17"/>
  <c r="R182" i="17"/>
  <c r="R183" i="17"/>
  <c r="R184" i="17"/>
  <c r="R185" i="17"/>
  <c r="R186" i="17"/>
  <c r="R187" i="17"/>
  <c r="R188" i="17"/>
  <c r="R189" i="17"/>
  <c r="R190" i="17"/>
  <c r="R191" i="17"/>
  <c r="R192" i="17"/>
  <c r="R193" i="17"/>
  <c r="R194" i="17"/>
  <c r="R195" i="17"/>
  <c r="R196" i="17"/>
  <c r="R197" i="17"/>
  <c r="R198" i="17"/>
  <c r="R199" i="17"/>
  <c r="R200" i="17"/>
  <c r="R201" i="17"/>
  <c r="R202" i="17"/>
  <c r="R203" i="17"/>
  <c r="R204" i="17"/>
  <c r="R205" i="17"/>
  <c r="R206" i="17"/>
  <c r="R207" i="17"/>
  <c r="R208" i="17"/>
  <c r="R209" i="17"/>
  <c r="R210" i="17"/>
  <c r="R211" i="17"/>
  <c r="R212" i="17"/>
  <c r="R213" i="17"/>
  <c r="R214" i="17"/>
  <c r="R215" i="17"/>
  <c r="R216" i="17"/>
  <c r="R217" i="17"/>
  <c r="R218" i="17"/>
  <c r="R219" i="17"/>
  <c r="R220" i="17"/>
  <c r="R221" i="17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34" i="17"/>
  <c r="R235" i="17"/>
  <c r="R236" i="17"/>
  <c r="R237" i="17"/>
  <c r="R238" i="17"/>
  <c r="R239" i="17"/>
  <c r="R240" i="17"/>
  <c r="R241" i="17"/>
  <c r="R242" i="17"/>
  <c r="R243" i="17"/>
  <c r="R244" i="17"/>
  <c r="R245" i="17"/>
  <c r="R246" i="17"/>
  <c r="R247" i="17"/>
  <c r="R248" i="17"/>
  <c r="R249" i="17"/>
  <c r="R250" i="17"/>
  <c r="R251" i="17"/>
  <c r="R252" i="17"/>
  <c r="R253" i="17"/>
  <c r="R254" i="17"/>
  <c r="R255" i="17"/>
  <c r="R256" i="17"/>
  <c r="R257" i="17"/>
  <c r="R258" i="17"/>
  <c r="R259" i="17"/>
  <c r="R260" i="17"/>
  <c r="R261" i="17"/>
  <c r="R262" i="17"/>
  <c r="R263" i="17"/>
  <c r="R264" i="17"/>
  <c r="R265" i="17"/>
  <c r="R266" i="17"/>
  <c r="R267" i="17"/>
  <c r="R268" i="17"/>
  <c r="R269" i="17"/>
  <c r="R270" i="17"/>
  <c r="R271" i="17"/>
  <c r="R272" i="17"/>
  <c r="R273" i="17"/>
  <c r="R274" i="17"/>
  <c r="R275" i="17"/>
  <c r="R276" i="17"/>
  <c r="R277" i="17"/>
  <c r="R278" i="17"/>
  <c r="R279" i="17"/>
  <c r="R280" i="17"/>
  <c r="R281" i="17"/>
  <c r="R282" i="17"/>
  <c r="R283" i="17"/>
  <c r="R284" i="17"/>
  <c r="R285" i="17"/>
  <c r="R286" i="17"/>
  <c r="R287" i="17"/>
  <c r="R288" i="17"/>
  <c r="R289" i="17"/>
  <c r="R290" i="17"/>
  <c r="R291" i="17"/>
  <c r="R292" i="17"/>
  <c r="R293" i="17"/>
  <c r="R294" i="17"/>
  <c r="R295" i="17"/>
  <c r="R296" i="17"/>
  <c r="R297" i="17"/>
  <c r="R298" i="17"/>
  <c r="R299" i="17"/>
  <c r="R300" i="17"/>
  <c r="R301" i="17"/>
  <c r="R302" i="17"/>
  <c r="R303" i="17"/>
  <c r="R304" i="17"/>
  <c r="R305" i="17"/>
  <c r="R306" i="17"/>
  <c r="R307" i="17"/>
  <c r="R308" i="17"/>
  <c r="R309" i="17"/>
  <c r="R310" i="17"/>
  <c r="R311" i="17"/>
  <c r="R312" i="17"/>
  <c r="R313" i="17"/>
  <c r="R314" i="17"/>
  <c r="R315" i="17"/>
  <c r="R316" i="17"/>
  <c r="R317" i="17"/>
  <c r="R318" i="17"/>
  <c r="R319" i="17"/>
  <c r="R320" i="17"/>
  <c r="R321" i="17"/>
  <c r="R322" i="17"/>
  <c r="R323" i="17"/>
  <c r="R324" i="17"/>
  <c r="R325" i="17"/>
  <c r="R326" i="17"/>
  <c r="R327" i="17"/>
  <c r="R328" i="17"/>
  <c r="R329" i="17"/>
  <c r="R330" i="17"/>
  <c r="R331" i="17"/>
  <c r="R332" i="17"/>
  <c r="R333" i="17"/>
  <c r="R334" i="17"/>
  <c r="R335" i="17"/>
  <c r="R336" i="17"/>
  <c r="R337" i="17"/>
  <c r="R338" i="17"/>
  <c r="R339" i="17"/>
  <c r="R340" i="17"/>
  <c r="R341" i="17"/>
  <c r="R342" i="17"/>
  <c r="R343" i="17"/>
  <c r="R344" i="17"/>
  <c r="R345" i="17"/>
  <c r="R346" i="17"/>
  <c r="R347" i="17"/>
  <c r="R348" i="17"/>
  <c r="R349" i="17"/>
  <c r="R350" i="17"/>
  <c r="R351" i="17"/>
  <c r="R352" i="17"/>
  <c r="R353" i="17"/>
  <c r="R354" i="17"/>
  <c r="R355" i="17"/>
  <c r="R356" i="17"/>
  <c r="R357" i="17"/>
  <c r="R358" i="17"/>
  <c r="R359" i="17"/>
  <c r="R360" i="17"/>
  <c r="R361" i="17"/>
  <c r="R362" i="17"/>
  <c r="R363" i="17"/>
  <c r="R364" i="17"/>
  <c r="R365" i="17"/>
  <c r="R366" i="17"/>
  <c r="R367" i="17"/>
  <c r="R368" i="17"/>
  <c r="R369" i="17"/>
  <c r="R370" i="17"/>
  <c r="R371" i="17"/>
  <c r="R372" i="17"/>
  <c r="R373" i="17"/>
  <c r="R374" i="17"/>
  <c r="R375" i="17"/>
  <c r="R376" i="17"/>
  <c r="R377" i="17"/>
  <c r="R378" i="17"/>
  <c r="R379" i="17"/>
  <c r="R380" i="17"/>
  <c r="R381" i="17"/>
  <c r="R382" i="17"/>
  <c r="R383" i="17"/>
  <c r="R384" i="17"/>
  <c r="R385" i="17"/>
  <c r="R386" i="17"/>
  <c r="R387" i="17"/>
  <c r="R388" i="17"/>
  <c r="R389" i="17"/>
  <c r="R390" i="17"/>
  <c r="R391" i="17"/>
  <c r="R392" i="17"/>
  <c r="R393" i="17"/>
  <c r="R394" i="17"/>
  <c r="R395" i="17"/>
  <c r="R396" i="17"/>
  <c r="R397" i="17"/>
  <c r="R398" i="17"/>
  <c r="R399" i="17"/>
  <c r="R400" i="17"/>
  <c r="R401" i="17"/>
  <c r="R402" i="17"/>
  <c r="R403" i="17"/>
  <c r="R404" i="17"/>
  <c r="R405" i="17"/>
  <c r="R406" i="17"/>
  <c r="R407" i="17"/>
  <c r="R408" i="17"/>
  <c r="R409" i="17"/>
  <c r="R410" i="17"/>
  <c r="R411" i="17"/>
  <c r="R412" i="17"/>
  <c r="R413" i="17"/>
  <c r="R414" i="17"/>
  <c r="R415" i="17"/>
  <c r="R416" i="17"/>
  <c r="R417" i="17"/>
  <c r="R418" i="17"/>
  <c r="R419" i="17"/>
  <c r="R420" i="17"/>
  <c r="R421" i="17"/>
  <c r="R422" i="17"/>
  <c r="R423" i="17"/>
  <c r="R424" i="17"/>
  <c r="R425" i="17"/>
  <c r="R426" i="17"/>
  <c r="R427" i="17"/>
  <c r="R428" i="17"/>
  <c r="R429" i="17"/>
  <c r="R430" i="17"/>
  <c r="R431" i="17"/>
  <c r="R432" i="17"/>
  <c r="R433" i="17"/>
  <c r="R434" i="17"/>
  <c r="R435" i="17"/>
  <c r="R436" i="17"/>
  <c r="R437" i="17"/>
  <c r="R438" i="17"/>
  <c r="R439" i="17"/>
  <c r="R440" i="17"/>
  <c r="R441" i="17"/>
  <c r="R442" i="17"/>
  <c r="R443" i="17"/>
  <c r="R444" i="17"/>
  <c r="R445" i="17"/>
  <c r="R446" i="17"/>
  <c r="R447" i="17"/>
  <c r="R448" i="17"/>
  <c r="R449" i="17"/>
  <c r="R450" i="17"/>
  <c r="R451" i="17"/>
  <c r="R452" i="17"/>
  <c r="R453" i="17"/>
  <c r="R454" i="17"/>
  <c r="R455" i="17"/>
  <c r="R456" i="17"/>
  <c r="R457" i="17"/>
  <c r="R4" i="17"/>
  <c r="P457" i="17"/>
  <c r="N457" i="17"/>
  <c r="L457" i="17"/>
  <c r="P456" i="17"/>
  <c r="N456" i="17"/>
  <c r="L456" i="17"/>
  <c r="P455" i="17"/>
  <c r="N455" i="17"/>
  <c r="L455" i="17"/>
  <c r="P454" i="17"/>
  <c r="N454" i="17"/>
  <c r="L454" i="17"/>
  <c r="P453" i="17"/>
  <c r="N453" i="17"/>
  <c r="L453" i="17"/>
  <c r="P452" i="17"/>
  <c r="N452" i="17"/>
  <c r="L452" i="17"/>
  <c r="P451" i="17"/>
  <c r="N451" i="17"/>
  <c r="L451" i="17"/>
  <c r="P450" i="17"/>
  <c r="N450" i="17"/>
  <c r="L450" i="17"/>
  <c r="P449" i="17"/>
  <c r="N449" i="17"/>
  <c r="L449" i="17"/>
  <c r="P448" i="17"/>
  <c r="N448" i="17"/>
  <c r="L448" i="17"/>
  <c r="P447" i="17"/>
  <c r="N447" i="17"/>
  <c r="L447" i="17"/>
  <c r="P446" i="17"/>
  <c r="N446" i="17"/>
  <c r="L446" i="17"/>
  <c r="P445" i="17"/>
  <c r="N445" i="17"/>
  <c r="L445" i="17"/>
  <c r="P444" i="17"/>
  <c r="N444" i="17"/>
  <c r="L444" i="17"/>
  <c r="P443" i="17"/>
  <c r="N443" i="17"/>
  <c r="L443" i="17"/>
  <c r="P442" i="17"/>
  <c r="N442" i="17"/>
  <c r="L442" i="17"/>
  <c r="P441" i="17"/>
  <c r="N441" i="17"/>
  <c r="L441" i="17"/>
  <c r="P440" i="17"/>
  <c r="N440" i="17"/>
  <c r="L440" i="17"/>
  <c r="P439" i="17"/>
  <c r="N439" i="17"/>
  <c r="L439" i="17"/>
  <c r="P438" i="17"/>
  <c r="N438" i="17"/>
  <c r="L438" i="17"/>
  <c r="P437" i="17"/>
  <c r="N437" i="17"/>
  <c r="L437" i="17"/>
  <c r="P436" i="17"/>
  <c r="N436" i="17"/>
  <c r="L436" i="17"/>
  <c r="P435" i="17"/>
  <c r="N435" i="17"/>
  <c r="L435" i="17"/>
  <c r="P434" i="17"/>
  <c r="N434" i="17"/>
  <c r="L434" i="17"/>
  <c r="P433" i="17"/>
  <c r="N433" i="17"/>
  <c r="L433" i="17"/>
  <c r="P432" i="17"/>
  <c r="N432" i="17"/>
  <c r="L432" i="17"/>
  <c r="P431" i="17"/>
  <c r="N431" i="17"/>
  <c r="L431" i="17"/>
  <c r="P430" i="17"/>
  <c r="N430" i="17"/>
  <c r="L430" i="17"/>
  <c r="P429" i="17"/>
  <c r="N429" i="17"/>
  <c r="L429" i="17"/>
  <c r="P428" i="17"/>
  <c r="N428" i="17"/>
  <c r="L428" i="17"/>
  <c r="P427" i="17"/>
  <c r="N427" i="17"/>
  <c r="L427" i="17"/>
  <c r="P426" i="17"/>
  <c r="N426" i="17"/>
  <c r="L426" i="17"/>
  <c r="P425" i="17"/>
  <c r="N425" i="17"/>
  <c r="L425" i="17"/>
  <c r="P424" i="17"/>
  <c r="N424" i="17"/>
  <c r="L424" i="17"/>
  <c r="P423" i="17"/>
  <c r="N423" i="17"/>
  <c r="L423" i="17"/>
  <c r="P422" i="17"/>
  <c r="N422" i="17"/>
  <c r="L422" i="17"/>
  <c r="P421" i="17"/>
  <c r="N421" i="17"/>
  <c r="L421" i="17"/>
  <c r="P420" i="17"/>
  <c r="N420" i="17"/>
  <c r="L420" i="17"/>
  <c r="P419" i="17"/>
  <c r="N419" i="17"/>
  <c r="L419" i="17"/>
  <c r="P418" i="17"/>
  <c r="N418" i="17"/>
  <c r="L418" i="17"/>
  <c r="P417" i="17"/>
  <c r="N417" i="17"/>
  <c r="L417" i="17"/>
  <c r="P416" i="17"/>
  <c r="N416" i="17"/>
  <c r="L416" i="17"/>
  <c r="P415" i="17"/>
  <c r="N415" i="17"/>
  <c r="L415" i="17"/>
  <c r="P414" i="17"/>
  <c r="N414" i="17"/>
  <c r="L414" i="17"/>
  <c r="P413" i="17"/>
  <c r="N413" i="17"/>
  <c r="L413" i="17"/>
  <c r="P412" i="17"/>
  <c r="N412" i="17"/>
  <c r="L412" i="17"/>
  <c r="P411" i="17"/>
  <c r="N411" i="17"/>
  <c r="L411" i="17"/>
  <c r="P410" i="17"/>
  <c r="N410" i="17"/>
  <c r="L410" i="17"/>
  <c r="P409" i="17"/>
  <c r="N409" i="17"/>
  <c r="L409" i="17"/>
  <c r="P408" i="17"/>
  <c r="N408" i="17"/>
  <c r="L408" i="17"/>
  <c r="P407" i="17"/>
  <c r="N407" i="17"/>
  <c r="L407" i="17"/>
  <c r="P406" i="17"/>
  <c r="N406" i="17"/>
  <c r="L406" i="17"/>
  <c r="P405" i="17"/>
  <c r="N405" i="17"/>
  <c r="L405" i="17"/>
  <c r="P404" i="17"/>
  <c r="N404" i="17"/>
  <c r="L404" i="17"/>
  <c r="P403" i="17"/>
  <c r="N403" i="17"/>
  <c r="L403" i="17"/>
  <c r="P402" i="17"/>
  <c r="N402" i="17"/>
  <c r="L402" i="17"/>
  <c r="P401" i="17"/>
  <c r="N401" i="17"/>
  <c r="L401" i="17"/>
  <c r="P400" i="17"/>
  <c r="N400" i="17"/>
  <c r="L400" i="17"/>
  <c r="P399" i="17"/>
  <c r="N399" i="17"/>
  <c r="L399" i="17"/>
  <c r="P398" i="17"/>
  <c r="N398" i="17"/>
  <c r="L398" i="17"/>
  <c r="P397" i="17"/>
  <c r="N397" i="17"/>
  <c r="L397" i="17"/>
  <c r="P396" i="17"/>
  <c r="N396" i="17"/>
  <c r="L396" i="17"/>
  <c r="P395" i="17"/>
  <c r="N395" i="17"/>
  <c r="L395" i="17"/>
  <c r="P394" i="17"/>
  <c r="N394" i="17"/>
  <c r="L394" i="17"/>
  <c r="P393" i="17"/>
  <c r="N393" i="17"/>
  <c r="L393" i="17"/>
  <c r="P392" i="17"/>
  <c r="N392" i="17"/>
  <c r="L392" i="17"/>
  <c r="P391" i="17"/>
  <c r="N391" i="17"/>
  <c r="L391" i="17"/>
  <c r="P390" i="17"/>
  <c r="N390" i="17"/>
  <c r="L390" i="17"/>
  <c r="P389" i="17"/>
  <c r="N389" i="17"/>
  <c r="L389" i="17"/>
  <c r="P388" i="17"/>
  <c r="N388" i="17"/>
  <c r="L388" i="17"/>
  <c r="P387" i="17"/>
  <c r="N387" i="17"/>
  <c r="L387" i="17"/>
  <c r="P386" i="17"/>
  <c r="N386" i="17"/>
  <c r="L386" i="17"/>
  <c r="P385" i="17"/>
  <c r="N385" i="17"/>
  <c r="L385" i="17"/>
  <c r="P384" i="17"/>
  <c r="N384" i="17"/>
  <c r="L384" i="17"/>
  <c r="P383" i="17"/>
  <c r="N383" i="17"/>
  <c r="L383" i="17"/>
  <c r="P382" i="17"/>
  <c r="N382" i="17"/>
  <c r="L382" i="17"/>
  <c r="P381" i="17"/>
  <c r="N381" i="17"/>
  <c r="L381" i="17"/>
  <c r="P380" i="17"/>
  <c r="N380" i="17"/>
  <c r="L380" i="17"/>
  <c r="P379" i="17"/>
  <c r="N379" i="17"/>
  <c r="L379" i="17"/>
  <c r="P378" i="17"/>
  <c r="N378" i="17"/>
  <c r="L378" i="17"/>
  <c r="P377" i="17"/>
  <c r="N377" i="17"/>
  <c r="L377" i="17"/>
  <c r="P376" i="17"/>
  <c r="N376" i="17"/>
  <c r="L376" i="17"/>
  <c r="P375" i="17"/>
  <c r="N375" i="17"/>
  <c r="L375" i="17"/>
  <c r="P374" i="17"/>
  <c r="N374" i="17"/>
  <c r="L374" i="17"/>
  <c r="P373" i="17"/>
  <c r="N373" i="17"/>
  <c r="L373" i="17"/>
  <c r="P372" i="17"/>
  <c r="N372" i="17"/>
  <c r="L372" i="17"/>
  <c r="P371" i="17"/>
  <c r="N371" i="17"/>
  <c r="L371" i="17"/>
  <c r="P370" i="17"/>
  <c r="N370" i="17"/>
  <c r="L370" i="17"/>
  <c r="P369" i="17"/>
  <c r="N369" i="17"/>
  <c r="L369" i="17"/>
  <c r="P368" i="17"/>
  <c r="N368" i="17"/>
  <c r="L368" i="17"/>
  <c r="P367" i="17"/>
  <c r="N367" i="17"/>
  <c r="L367" i="17"/>
  <c r="P366" i="17"/>
  <c r="N366" i="17"/>
  <c r="L366" i="17"/>
  <c r="P365" i="17"/>
  <c r="N365" i="17"/>
  <c r="L365" i="17"/>
  <c r="P364" i="17"/>
  <c r="N364" i="17"/>
  <c r="L364" i="17"/>
  <c r="P363" i="17"/>
  <c r="N363" i="17"/>
  <c r="L363" i="17"/>
  <c r="P362" i="17"/>
  <c r="N362" i="17"/>
  <c r="L362" i="17"/>
  <c r="P361" i="17"/>
  <c r="N361" i="17"/>
  <c r="L361" i="17"/>
  <c r="P360" i="17"/>
  <c r="N360" i="17"/>
  <c r="L360" i="17"/>
  <c r="P359" i="17"/>
  <c r="N359" i="17"/>
  <c r="L359" i="17"/>
  <c r="P358" i="17"/>
  <c r="N358" i="17"/>
  <c r="L358" i="17"/>
  <c r="P357" i="17"/>
  <c r="N357" i="17"/>
  <c r="L357" i="17"/>
  <c r="P356" i="17"/>
  <c r="N356" i="17"/>
  <c r="L356" i="17"/>
  <c r="P355" i="17"/>
  <c r="N355" i="17"/>
  <c r="L355" i="17"/>
  <c r="P354" i="17"/>
  <c r="N354" i="17"/>
  <c r="L354" i="17"/>
  <c r="P353" i="17"/>
  <c r="N353" i="17"/>
  <c r="L353" i="17"/>
  <c r="P352" i="17"/>
  <c r="N352" i="17"/>
  <c r="L352" i="17"/>
  <c r="P351" i="17"/>
  <c r="N351" i="17"/>
  <c r="L351" i="17"/>
  <c r="P350" i="17"/>
  <c r="N350" i="17"/>
  <c r="L350" i="17"/>
  <c r="P349" i="17"/>
  <c r="N349" i="17"/>
  <c r="L349" i="17"/>
  <c r="P348" i="17"/>
  <c r="N348" i="17"/>
  <c r="L348" i="17"/>
  <c r="P347" i="17"/>
  <c r="N347" i="17"/>
  <c r="L347" i="17"/>
  <c r="P346" i="17"/>
  <c r="N346" i="17"/>
  <c r="L346" i="17"/>
  <c r="P345" i="17"/>
  <c r="N345" i="17"/>
  <c r="L345" i="17"/>
  <c r="P344" i="17"/>
  <c r="N344" i="17"/>
  <c r="L344" i="17"/>
  <c r="P343" i="17"/>
  <c r="N343" i="17"/>
  <c r="L343" i="17"/>
  <c r="P342" i="17"/>
  <c r="N342" i="17"/>
  <c r="L342" i="17"/>
  <c r="P341" i="17"/>
  <c r="N341" i="17"/>
  <c r="L341" i="17"/>
  <c r="P340" i="17"/>
  <c r="N340" i="17"/>
  <c r="L340" i="17"/>
  <c r="P339" i="17"/>
  <c r="N339" i="17"/>
  <c r="L339" i="17"/>
  <c r="P338" i="17"/>
  <c r="N338" i="17"/>
  <c r="L338" i="17"/>
  <c r="P337" i="17"/>
  <c r="N337" i="17"/>
  <c r="L337" i="17"/>
  <c r="P336" i="17"/>
  <c r="N336" i="17"/>
  <c r="L336" i="17"/>
  <c r="P335" i="17"/>
  <c r="N335" i="17"/>
  <c r="L335" i="17"/>
  <c r="P334" i="17"/>
  <c r="N334" i="17"/>
  <c r="L334" i="17"/>
  <c r="P333" i="17"/>
  <c r="N333" i="17"/>
  <c r="L333" i="17"/>
  <c r="P332" i="17"/>
  <c r="N332" i="17"/>
  <c r="L332" i="17"/>
  <c r="P331" i="17"/>
  <c r="N331" i="17"/>
  <c r="L331" i="17"/>
  <c r="P330" i="17"/>
  <c r="N330" i="17"/>
  <c r="L330" i="17"/>
  <c r="P329" i="17"/>
  <c r="N329" i="17"/>
  <c r="L329" i="17"/>
  <c r="P328" i="17"/>
  <c r="N328" i="17"/>
  <c r="L328" i="17"/>
  <c r="P327" i="17"/>
  <c r="N327" i="17"/>
  <c r="L327" i="17"/>
  <c r="P326" i="17"/>
  <c r="N326" i="17"/>
  <c r="L326" i="17"/>
  <c r="P325" i="17"/>
  <c r="N325" i="17"/>
  <c r="L325" i="17"/>
  <c r="P324" i="17"/>
  <c r="N324" i="17"/>
  <c r="L324" i="17"/>
  <c r="P323" i="17"/>
  <c r="N323" i="17"/>
  <c r="L323" i="17"/>
  <c r="P322" i="17"/>
  <c r="N322" i="17"/>
  <c r="L322" i="17"/>
  <c r="P321" i="17"/>
  <c r="N321" i="17"/>
  <c r="L321" i="17"/>
  <c r="P320" i="17"/>
  <c r="N320" i="17"/>
  <c r="L320" i="17"/>
  <c r="P319" i="17"/>
  <c r="N319" i="17"/>
  <c r="L319" i="17"/>
  <c r="P318" i="17"/>
  <c r="N318" i="17"/>
  <c r="L318" i="17"/>
  <c r="P317" i="17"/>
  <c r="N317" i="17"/>
  <c r="L317" i="17"/>
  <c r="P316" i="17"/>
  <c r="N316" i="17"/>
  <c r="L316" i="17"/>
  <c r="P315" i="17"/>
  <c r="N315" i="17"/>
  <c r="L315" i="17"/>
  <c r="P314" i="17"/>
  <c r="N314" i="17"/>
  <c r="L314" i="17"/>
  <c r="P313" i="17"/>
  <c r="N313" i="17"/>
  <c r="L313" i="17"/>
  <c r="P312" i="17"/>
  <c r="N312" i="17"/>
  <c r="L312" i="17"/>
  <c r="P311" i="17"/>
  <c r="N311" i="17"/>
  <c r="L311" i="17"/>
  <c r="P310" i="17"/>
  <c r="N310" i="17"/>
  <c r="L310" i="17"/>
  <c r="P309" i="17"/>
  <c r="N309" i="17"/>
  <c r="L309" i="17"/>
  <c r="P308" i="17"/>
  <c r="N308" i="17"/>
  <c r="L308" i="17"/>
  <c r="P307" i="17"/>
  <c r="N307" i="17"/>
  <c r="L307" i="17"/>
  <c r="P306" i="17"/>
  <c r="N306" i="17"/>
  <c r="L306" i="17"/>
  <c r="P305" i="17"/>
  <c r="N305" i="17"/>
  <c r="L305" i="17"/>
  <c r="P304" i="17"/>
  <c r="N304" i="17"/>
  <c r="L304" i="17"/>
  <c r="P303" i="17"/>
  <c r="N303" i="17"/>
  <c r="L303" i="17"/>
  <c r="P302" i="17"/>
  <c r="N302" i="17"/>
  <c r="L302" i="17"/>
  <c r="P301" i="17"/>
  <c r="N301" i="17"/>
  <c r="L301" i="17"/>
  <c r="P300" i="17"/>
  <c r="N300" i="17"/>
  <c r="L300" i="17"/>
  <c r="P299" i="17"/>
  <c r="N299" i="17"/>
  <c r="L299" i="17"/>
  <c r="P298" i="17"/>
  <c r="N298" i="17"/>
  <c r="L298" i="17"/>
  <c r="P297" i="17"/>
  <c r="N297" i="17"/>
  <c r="L297" i="17"/>
  <c r="P296" i="17"/>
  <c r="N296" i="17"/>
  <c r="L296" i="17"/>
  <c r="P295" i="17"/>
  <c r="N295" i="17"/>
  <c r="L295" i="17"/>
  <c r="P294" i="17"/>
  <c r="N294" i="17"/>
  <c r="L294" i="17"/>
  <c r="P293" i="17"/>
  <c r="N293" i="17"/>
  <c r="L293" i="17"/>
  <c r="P292" i="17"/>
  <c r="N292" i="17"/>
  <c r="L292" i="17"/>
  <c r="P291" i="17"/>
  <c r="N291" i="17"/>
  <c r="L291" i="17"/>
  <c r="P290" i="17"/>
  <c r="N290" i="17"/>
  <c r="L290" i="17"/>
  <c r="P289" i="17"/>
  <c r="N289" i="17"/>
  <c r="L289" i="17"/>
  <c r="P288" i="17"/>
  <c r="N288" i="17"/>
  <c r="L288" i="17"/>
  <c r="P287" i="17"/>
  <c r="N287" i="17"/>
  <c r="L287" i="17"/>
  <c r="P286" i="17"/>
  <c r="N286" i="17"/>
  <c r="L286" i="17"/>
  <c r="P285" i="17"/>
  <c r="N285" i="17"/>
  <c r="L285" i="17"/>
  <c r="P284" i="17"/>
  <c r="N284" i="17"/>
  <c r="L284" i="17"/>
  <c r="P283" i="17"/>
  <c r="N283" i="17"/>
  <c r="L283" i="17"/>
  <c r="P282" i="17"/>
  <c r="N282" i="17"/>
  <c r="L282" i="17"/>
  <c r="P281" i="17"/>
  <c r="N281" i="17"/>
  <c r="L281" i="17"/>
  <c r="P280" i="17"/>
  <c r="N280" i="17"/>
  <c r="L280" i="17"/>
  <c r="P279" i="17"/>
  <c r="N279" i="17"/>
  <c r="L279" i="17"/>
  <c r="P278" i="17"/>
  <c r="N278" i="17"/>
  <c r="L278" i="17"/>
  <c r="P277" i="17"/>
  <c r="N277" i="17"/>
  <c r="L277" i="17"/>
  <c r="P276" i="17"/>
  <c r="N276" i="17"/>
  <c r="L276" i="17"/>
  <c r="P275" i="17"/>
  <c r="N275" i="17"/>
  <c r="L275" i="17"/>
  <c r="P274" i="17"/>
  <c r="N274" i="17"/>
  <c r="L274" i="17"/>
  <c r="P273" i="17"/>
  <c r="N273" i="17"/>
  <c r="L273" i="17"/>
  <c r="P272" i="17"/>
  <c r="N272" i="17"/>
  <c r="L272" i="17"/>
  <c r="P271" i="17"/>
  <c r="N271" i="17"/>
  <c r="L271" i="17"/>
  <c r="P270" i="17"/>
  <c r="N270" i="17"/>
  <c r="L270" i="17"/>
  <c r="P269" i="17"/>
  <c r="N269" i="17"/>
  <c r="L269" i="17"/>
  <c r="P268" i="17"/>
  <c r="N268" i="17"/>
  <c r="L268" i="17"/>
  <c r="P267" i="17"/>
  <c r="N267" i="17"/>
  <c r="L267" i="17"/>
  <c r="P266" i="17"/>
  <c r="N266" i="17"/>
  <c r="L266" i="17"/>
  <c r="P265" i="17"/>
  <c r="N265" i="17"/>
  <c r="L265" i="17"/>
  <c r="P264" i="17"/>
  <c r="N264" i="17"/>
  <c r="L264" i="17"/>
  <c r="P263" i="17"/>
  <c r="N263" i="17"/>
  <c r="L263" i="17"/>
  <c r="P262" i="17"/>
  <c r="N262" i="17"/>
  <c r="L262" i="17"/>
  <c r="P261" i="17"/>
  <c r="N261" i="17"/>
  <c r="L261" i="17"/>
  <c r="P260" i="17"/>
  <c r="N260" i="17"/>
  <c r="L260" i="17"/>
  <c r="P259" i="17"/>
  <c r="N259" i="17"/>
  <c r="L259" i="17"/>
  <c r="P258" i="17"/>
  <c r="N258" i="17"/>
  <c r="L258" i="17"/>
  <c r="P257" i="17"/>
  <c r="N257" i="17"/>
  <c r="L257" i="17"/>
  <c r="P256" i="17"/>
  <c r="N256" i="17"/>
  <c r="L256" i="17"/>
  <c r="P255" i="17"/>
  <c r="N255" i="17"/>
  <c r="L255" i="17"/>
  <c r="P254" i="17"/>
  <c r="N254" i="17"/>
  <c r="L254" i="17"/>
  <c r="P253" i="17"/>
  <c r="N253" i="17"/>
  <c r="L253" i="17"/>
  <c r="P252" i="17"/>
  <c r="N252" i="17"/>
  <c r="L252" i="17"/>
  <c r="P251" i="17"/>
  <c r="N251" i="17"/>
  <c r="L251" i="17"/>
  <c r="P250" i="17"/>
  <c r="N250" i="17"/>
  <c r="L250" i="17"/>
  <c r="P249" i="17"/>
  <c r="N249" i="17"/>
  <c r="L249" i="17"/>
  <c r="P248" i="17"/>
  <c r="N248" i="17"/>
  <c r="L248" i="17"/>
  <c r="P247" i="17"/>
  <c r="N247" i="17"/>
  <c r="L247" i="17"/>
  <c r="P246" i="17"/>
  <c r="N246" i="17"/>
  <c r="L246" i="17"/>
  <c r="P245" i="17"/>
  <c r="N245" i="17"/>
  <c r="L245" i="17"/>
  <c r="P244" i="17"/>
  <c r="N244" i="17"/>
  <c r="L244" i="17"/>
  <c r="P243" i="17"/>
  <c r="N243" i="17"/>
  <c r="L243" i="17"/>
  <c r="P242" i="17"/>
  <c r="N242" i="17"/>
  <c r="L242" i="17"/>
  <c r="P241" i="17"/>
  <c r="N241" i="17"/>
  <c r="L241" i="17"/>
  <c r="P240" i="17"/>
  <c r="N240" i="17"/>
  <c r="L240" i="17"/>
  <c r="P239" i="17"/>
  <c r="N239" i="17"/>
  <c r="L239" i="17"/>
  <c r="P238" i="17"/>
  <c r="N238" i="17"/>
  <c r="L238" i="17"/>
  <c r="P237" i="17"/>
  <c r="N237" i="17"/>
  <c r="L237" i="17"/>
  <c r="P236" i="17"/>
  <c r="N236" i="17"/>
  <c r="L236" i="17"/>
  <c r="P235" i="17"/>
  <c r="N235" i="17"/>
  <c r="L235" i="17"/>
  <c r="P234" i="17"/>
  <c r="N234" i="17"/>
  <c r="L234" i="17"/>
  <c r="P233" i="17"/>
  <c r="N233" i="17"/>
  <c r="L233" i="17"/>
  <c r="P232" i="17"/>
  <c r="N232" i="17"/>
  <c r="L232" i="17"/>
  <c r="P231" i="17"/>
  <c r="N231" i="17"/>
  <c r="L231" i="17"/>
  <c r="P230" i="17"/>
  <c r="N230" i="17"/>
  <c r="L230" i="17"/>
  <c r="P229" i="17"/>
  <c r="N229" i="17"/>
  <c r="L229" i="17"/>
  <c r="P228" i="17"/>
  <c r="N228" i="17"/>
  <c r="L228" i="17"/>
  <c r="P227" i="17"/>
  <c r="N227" i="17"/>
  <c r="L227" i="17"/>
  <c r="P226" i="17"/>
  <c r="N226" i="17"/>
  <c r="L226" i="17"/>
  <c r="P225" i="17"/>
  <c r="N225" i="17"/>
  <c r="L225" i="17"/>
  <c r="P224" i="17"/>
  <c r="N224" i="17"/>
  <c r="L224" i="17"/>
  <c r="P223" i="17"/>
  <c r="N223" i="17"/>
  <c r="L223" i="17"/>
  <c r="P222" i="17"/>
  <c r="N222" i="17"/>
  <c r="L222" i="17"/>
  <c r="P221" i="17"/>
  <c r="N221" i="17"/>
  <c r="L221" i="17"/>
  <c r="P220" i="17"/>
  <c r="N220" i="17"/>
  <c r="L220" i="17"/>
  <c r="P219" i="17"/>
  <c r="N219" i="17"/>
  <c r="L219" i="17"/>
  <c r="P218" i="17"/>
  <c r="N218" i="17"/>
  <c r="L218" i="17"/>
  <c r="P217" i="17"/>
  <c r="N217" i="17"/>
  <c r="L217" i="17"/>
  <c r="P216" i="17"/>
  <c r="N216" i="17"/>
  <c r="L216" i="17"/>
  <c r="P215" i="17"/>
  <c r="N215" i="17"/>
  <c r="L215" i="17"/>
  <c r="P214" i="17"/>
  <c r="N214" i="17"/>
  <c r="L214" i="17"/>
  <c r="P213" i="17"/>
  <c r="N213" i="17"/>
  <c r="L213" i="17"/>
  <c r="P212" i="17"/>
  <c r="N212" i="17"/>
  <c r="L212" i="17"/>
  <c r="P211" i="17"/>
  <c r="N211" i="17"/>
  <c r="L211" i="17"/>
  <c r="P210" i="17"/>
  <c r="N210" i="17"/>
  <c r="L210" i="17"/>
  <c r="P209" i="17"/>
  <c r="N209" i="17"/>
  <c r="L209" i="17"/>
  <c r="P208" i="17"/>
  <c r="N208" i="17"/>
  <c r="L208" i="17"/>
  <c r="P207" i="17"/>
  <c r="N207" i="17"/>
  <c r="L207" i="17"/>
  <c r="P206" i="17"/>
  <c r="N206" i="17"/>
  <c r="L206" i="17"/>
  <c r="P205" i="17"/>
  <c r="N205" i="17"/>
  <c r="L205" i="17"/>
  <c r="P204" i="17"/>
  <c r="N204" i="17"/>
  <c r="L204" i="17"/>
  <c r="P203" i="17"/>
  <c r="N203" i="17"/>
  <c r="L203" i="17"/>
  <c r="P202" i="17"/>
  <c r="N202" i="17"/>
  <c r="L202" i="17"/>
  <c r="P201" i="17"/>
  <c r="N201" i="17"/>
  <c r="L201" i="17"/>
  <c r="P200" i="17"/>
  <c r="N200" i="17"/>
  <c r="L200" i="17"/>
  <c r="P199" i="17"/>
  <c r="N199" i="17"/>
  <c r="L199" i="17"/>
  <c r="P198" i="17"/>
  <c r="N198" i="17"/>
  <c r="L198" i="17"/>
  <c r="P197" i="17"/>
  <c r="N197" i="17"/>
  <c r="L197" i="17"/>
  <c r="P196" i="17"/>
  <c r="N196" i="17"/>
  <c r="L196" i="17"/>
  <c r="P195" i="17"/>
  <c r="N195" i="17"/>
  <c r="L195" i="17"/>
  <c r="P194" i="17"/>
  <c r="N194" i="17"/>
  <c r="L194" i="17"/>
  <c r="P193" i="17"/>
  <c r="N193" i="17"/>
  <c r="L193" i="17"/>
  <c r="P192" i="17"/>
  <c r="N192" i="17"/>
  <c r="L192" i="17"/>
  <c r="P191" i="17"/>
  <c r="N191" i="17"/>
  <c r="L191" i="17"/>
  <c r="P190" i="17"/>
  <c r="N190" i="17"/>
  <c r="L190" i="17"/>
  <c r="P189" i="17"/>
  <c r="N189" i="17"/>
  <c r="L189" i="17"/>
  <c r="P188" i="17"/>
  <c r="N188" i="17"/>
  <c r="L188" i="17"/>
  <c r="P187" i="17"/>
  <c r="N187" i="17"/>
  <c r="L187" i="17"/>
  <c r="P186" i="17"/>
  <c r="N186" i="17"/>
  <c r="L186" i="17"/>
  <c r="P185" i="17"/>
  <c r="N185" i="17"/>
  <c r="L185" i="17"/>
  <c r="P184" i="17"/>
  <c r="N184" i="17"/>
  <c r="L184" i="17"/>
  <c r="P183" i="17"/>
  <c r="N183" i="17"/>
  <c r="L183" i="17"/>
  <c r="P182" i="17"/>
  <c r="N182" i="17"/>
  <c r="L182" i="17"/>
  <c r="P181" i="17"/>
  <c r="N181" i="17"/>
  <c r="L181" i="17"/>
  <c r="P180" i="17"/>
  <c r="N180" i="17"/>
  <c r="L180" i="17"/>
  <c r="P179" i="17"/>
  <c r="N179" i="17"/>
  <c r="L179" i="17"/>
  <c r="P178" i="17"/>
  <c r="N178" i="17"/>
  <c r="L178" i="17"/>
  <c r="P177" i="17"/>
  <c r="N177" i="17"/>
  <c r="L177" i="17"/>
  <c r="P176" i="17"/>
  <c r="N176" i="17"/>
  <c r="L176" i="17"/>
  <c r="P175" i="17"/>
  <c r="N175" i="17"/>
  <c r="L175" i="17"/>
  <c r="P174" i="17"/>
  <c r="N174" i="17"/>
  <c r="L174" i="17"/>
  <c r="P173" i="17"/>
  <c r="N173" i="17"/>
  <c r="L173" i="17"/>
  <c r="P172" i="17"/>
  <c r="N172" i="17"/>
  <c r="L172" i="17"/>
  <c r="P171" i="17"/>
  <c r="N171" i="17"/>
  <c r="L171" i="17"/>
  <c r="P170" i="17"/>
  <c r="N170" i="17"/>
  <c r="L170" i="17"/>
  <c r="P169" i="17"/>
  <c r="N169" i="17"/>
  <c r="L169" i="17"/>
  <c r="P168" i="17"/>
  <c r="N168" i="17"/>
  <c r="L168" i="17"/>
  <c r="P167" i="17"/>
  <c r="N167" i="17"/>
  <c r="L167" i="17"/>
  <c r="P166" i="17"/>
  <c r="N166" i="17"/>
  <c r="L166" i="17"/>
  <c r="P165" i="17"/>
  <c r="N165" i="17"/>
  <c r="L165" i="17"/>
  <c r="P164" i="17"/>
  <c r="N164" i="17"/>
  <c r="L164" i="17"/>
  <c r="P163" i="17"/>
  <c r="N163" i="17"/>
  <c r="L163" i="17"/>
  <c r="P162" i="17"/>
  <c r="N162" i="17"/>
  <c r="L162" i="17"/>
  <c r="P161" i="17"/>
  <c r="N161" i="17"/>
  <c r="L161" i="17"/>
  <c r="P160" i="17"/>
  <c r="N160" i="17"/>
  <c r="L160" i="17"/>
  <c r="P159" i="17"/>
  <c r="N159" i="17"/>
  <c r="L159" i="17"/>
  <c r="P158" i="17"/>
  <c r="N158" i="17"/>
  <c r="L158" i="17"/>
  <c r="P157" i="17"/>
  <c r="N157" i="17"/>
  <c r="L157" i="17"/>
  <c r="P156" i="17"/>
  <c r="N156" i="17"/>
  <c r="L156" i="17"/>
  <c r="P155" i="17"/>
  <c r="N155" i="17"/>
  <c r="L155" i="17"/>
  <c r="P154" i="17"/>
  <c r="N154" i="17"/>
  <c r="L154" i="17"/>
  <c r="P153" i="17"/>
  <c r="N153" i="17"/>
  <c r="L153" i="17"/>
  <c r="P152" i="17"/>
  <c r="N152" i="17"/>
  <c r="L152" i="17"/>
  <c r="P151" i="17"/>
  <c r="N151" i="17"/>
  <c r="L151" i="17"/>
  <c r="P150" i="17"/>
  <c r="N150" i="17"/>
  <c r="L150" i="17"/>
  <c r="P149" i="17"/>
  <c r="N149" i="17"/>
  <c r="L149" i="17"/>
  <c r="P148" i="17"/>
  <c r="N148" i="17"/>
  <c r="L148" i="17"/>
  <c r="P147" i="17"/>
  <c r="N147" i="17"/>
  <c r="L147" i="17"/>
  <c r="P146" i="17"/>
  <c r="N146" i="17"/>
  <c r="L146" i="17"/>
  <c r="P145" i="17"/>
  <c r="N145" i="17"/>
  <c r="L145" i="17"/>
  <c r="P144" i="17"/>
  <c r="N144" i="17"/>
  <c r="L144" i="17"/>
  <c r="P143" i="17"/>
  <c r="N143" i="17"/>
  <c r="L143" i="17"/>
  <c r="P142" i="17"/>
  <c r="N142" i="17"/>
  <c r="L142" i="17"/>
  <c r="P141" i="17"/>
  <c r="N141" i="17"/>
  <c r="L141" i="17"/>
  <c r="P140" i="17"/>
  <c r="N140" i="17"/>
  <c r="L140" i="17"/>
  <c r="P139" i="17"/>
  <c r="N139" i="17"/>
  <c r="L139" i="17"/>
  <c r="P138" i="17"/>
  <c r="N138" i="17"/>
  <c r="L138" i="17"/>
  <c r="P137" i="17"/>
  <c r="N137" i="17"/>
  <c r="L137" i="17"/>
  <c r="P136" i="17"/>
  <c r="N136" i="17"/>
  <c r="L136" i="17"/>
  <c r="P135" i="17"/>
  <c r="N135" i="17"/>
  <c r="L135" i="17"/>
  <c r="P134" i="17"/>
  <c r="N134" i="17"/>
  <c r="L134" i="17"/>
  <c r="P133" i="17"/>
  <c r="N133" i="17"/>
  <c r="L133" i="17"/>
  <c r="P132" i="17"/>
  <c r="N132" i="17"/>
  <c r="L132" i="17"/>
  <c r="P131" i="17"/>
  <c r="N131" i="17"/>
  <c r="L131" i="17"/>
  <c r="P130" i="17"/>
  <c r="N130" i="17"/>
  <c r="L130" i="17"/>
  <c r="P129" i="17"/>
  <c r="N129" i="17"/>
  <c r="L129" i="17"/>
  <c r="P128" i="17"/>
  <c r="N128" i="17"/>
  <c r="L128" i="17"/>
  <c r="P127" i="17"/>
  <c r="N127" i="17"/>
  <c r="L127" i="17"/>
  <c r="P126" i="17"/>
  <c r="N126" i="17"/>
  <c r="L126" i="17"/>
  <c r="P125" i="17"/>
  <c r="N125" i="17"/>
  <c r="L125" i="17"/>
  <c r="P124" i="17"/>
  <c r="N124" i="17"/>
  <c r="L124" i="17"/>
  <c r="P123" i="17"/>
  <c r="N123" i="17"/>
  <c r="L123" i="17"/>
  <c r="P122" i="17"/>
  <c r="N122" i="17"/>
  <c r="L122" i="17"/>
  <c r="P121" i="17"/>
  <c r="N121" i="17"/>
  <c r="L121" i="17"/>
  <c r="P120" i="17"/>
  <c r="N120" i="17"/>
  <c r="L120" i="17"/>
  <c r="P119" i="17"/>
  <c r="N119" i="17"/>
  <c r="L119" i="17"/>
  <c r="P118" i="17"/>
  <c r="N118" i="17"/>
  <c r="L118" i="17"/>
  <c r="P117" i="17"/>
  <c r="N117" i="17"/>
  <c r="L117" i="17"/>
  <c r="P116" i="17"/>
  <c r="N116" i="17"/>
  <c r="L116" i="17"/>
  <c r="P115" i="17"/>
  <c r="N115" i="17"/>
  <c r="L115" i="17"/>
  <c r="P114" i="17"/>
  <c r="N114" i="17"/>
  <c r="L114" i="17"/>
  <c r="P113" i="17"/>
  <c r="N113" i="17"/>
  <c r="L113" i="17"/>
  <c r="P112" i="17"/>
  <c r="N112" i="17"/>
  <c r="L112" i="17"/>
  <c r="P111" i="17"/>
  <c r="N111" i="17"/>
  <c r="L111" i="17"/>
  <c r="P110" i="17"/>
  <c r="N110" i="17"/>
  <c r="L110" i="17"/>
  <c r="P109" i="17"/>
  <c r="N109" i="17"/>
  <c r="L109" i="17"/>
  <c r="P108" i="17"/>
  <c r="N108" i="17"/>
  <c r="L108" i="17"/>
  <c r="P107" i="17"/>
  <c r="N107" i="17"/>
  <c r="L107" i="17"/>
  <c r="P106" i="17"/>
  <c r="N106" i="17"/>
  <c r="L106" i="17"/>
  <c r="P105" i="17"/>
  <c r="N105" i="17"/>
  <c r="L105" i="17"/>
  <c r="P104" i="17"/>
  <c r="N104" i="17"/>
  <c r="L104" i="17"/>
  <c r="P103" i="17"/>
  <c r="N103" i="17"/>
  <c r="L103" i="17"/>
  <c r="P102" i="17"/>
  <c r="N102" i="17"/>
  <c r="L102" i="17"/>
  <c r="P101" i="17"/>
  <c r="N101" i="17"/>
  <c r="L101" i="17"/>
  <c r="P100" i="17"/>
  <c r="N100" i="17"/>
  <c r="L100" i="17"/>
  <c r="P99" i="17"/>
  <c r="N99" i="17"/>
  <c r="L99" i="17"/>
  <c r="P98" i="17"/>
  <c r="N98" i="17"/>
  <c r="L98" i="17"/>
  <c r="P97" i="17"/>
  <c r="N97" i="17"/>
  <c r="L97" i="17"/>
  <c r="P96" i="17"/>
  <c r="N96" i="17"/>
  <c r="L96" i="17"/>
  <c r="P95" i="17"/>
  <c r="N95" i="17"/>
  <c r="L95" i="17"/>
  <c r="P94" i="17"/>
  <c r="N94" i="17"/>
  <c r="L94" i="17"/>
  <c r="P93" i="17"/>
  <c r="N93" i="17"/>
  <c r="L93" i="17"/>
  <c r="P92" i="17"/>
  <c r="N92" i="17"/>
  <c r="L92" i="17"/>
  <c r="P91" i="17"/>
  <c r="N91" i="17"/>
  <c r="L91" i="17"/>
  <c r="P90" i="17"/>
  <c r="N90" i="17"/>
  <c r="L90" i="17"/>
  <c r="P89" i="17"/>
  <c r="N89" i="17"/>
  <c r="L89" i="17"/>
  <c r="P88" i="17"/>
  <c r="N88" i="17"/>
  <c r="L88" i="17"/>
  <c r="P87" i="17"/>
  <c r="N87" i="17"/>
  <c r="L87" i="17"/>
  <c r="P86" i="17"/>
  <c r="N86" i="17"/>
  <c r="L86" i="17"/>
  <c r="P85" i="17"/>
  <c r="N85" i="17"/>
  <c r="L85" i="17"/>
  <c r="P84" i="17"/>
  <c r="N84" i="17"/>
  <c r="L84" i="17"/>
  <c r="P83" i="17"/>
  <c r="N83" i="17"/>
  <c r="L83" i="17"/>
  <c r="P82" i="17"/>
  <c r="N82" i="17"/>
  <c r="L82" i="17"/>
  <c r="P81" i="17"/>
  <c r="N81" i="17"/>
  <c r="L81" i="17"/>
  <c r="P80" i="17"/>
  <c r="N80" i="17"/>
  <c r="L80" i="17"/>
  <c r="P79" i="17"/>
  <c r="N79" i="17"/>
  <c r="L79" i="17"/>
  <c r="P78" i="17"/>
  <c r="N78" i="17"/>
  <c r="L78" i="17"/>
  <c r="P77" i="17"/>
  <c r="N77" i="17"/>
  <c r="L77" i="17"/>
  <c r="P76" i="17"/>
  <c r="N76" i="17"/>
  <c r="L76" i="17"/>
  <c r="P75" i="17"/>
  <c r="N75" i="17"/>
  <c r="L75" i="17"/>
  <c r="P74" i="17"/>
  <c r="N74" i="17"/>
  <c r="L74" i="17"/>
  <c r="P73" i="17"/>
  <c r="N73" i="17"/>
  <c r="L73" i="17"/>
  <c r="P72" i="17"/>
  <c r="N72" i="17"/>
  <c r="L72" i="17"/>
  <c r="P71" i="17"/>
  <c r="N71" i="17"/>
  <c r="L71" i="17"/>
  <c r="P70" i="17"/>
  <c r="N70" i="17"/>
  <c r="L70" i="17"/>
  <c r="P69" i="17"/>
  <c r="N69" i="17"/>
  <c r="L69" i="17"/>
  <c r="P68" i="17"/>
  <c r="N68" i="17"/>
  <c r="L68" i="17"/>
  <c r="P67" i="17"/>
  <c r="N67" i="17"/>
  <c r="L67" i="17"/>
  <c r="P66" i="17"/>
  <c r="N66" i="17"/>
  <c r="L66" i="17"/>
  <c r="P65" i="17"/>
  <c r="N65" i="17"/>
  <c r="L65" i="17"/>
  <c r="P64" i="17"/>
  <c r="N64" i="17"/>
  <c r="L64" i="17"/>
  <c r="P63" i="17"/>
  <c r="N63" i="17"/>
  <c r="L63" i="17"/>
  <c r="P62" i="17"/>
  <c r="N62" i="17"/>
  <c r="L62" i="17"/>
  <c r="P61" i="17"/>
  <c r="N61" i="17"/>
  <c r="L61" i="17"/>
  <c r="P60" i="17"/>
  <c r="N60" i="17"/>
  <c r="L60" i="17"/>
  <c r="P59" i="17"/>
  <c r="N59" i="17"/>
  <c r="L59" i="17"/>
  <c r="P58" i="17"/>
  <c r="N58" i="17"/>
  <c r="L58" i="17"/>
  <c r="P57" i="17"/>
  <c r="N57" i="17"/>
  <c r="L57" i="17"/>
  <c r="P56" i="17"/>
  <c r="N56" i="17"/>
  <c r="L56" i="17"/>
  <c r="P55" i="17"/>
  <c r="N55" i="17"/>
  <c r="L55" i="17"/>
  <c r="P54" i="17"/>
  <c r="N54" i="17"/>
  <c r="L54" i="17"/>
  <c r="P53" i="17"/>
  <c r="N53" i="17"/>
  <c r="L53" i="17"/>
  <c r="P52" i="17"/>
  <c r="N52" i="17"/>
  <c r="L52" i="17"/>
  <c r="P51" i="17"/>
  <c r="N51" i="17"/>
  <c r="L51" i="17"/>
  <c r="P50" i="17"/>
  <c r="N50" i="17"/>
  <c r="L50" i="17"/>
  <c r="P49" i="17"/>
  <c r="N49" i="17"/>
  <c r="L49" i="17"/>
  <c r="P48" i="17"/>
  <c r="N48" i="17"/>
  <c r="L48" i="17"/>
  <c r="P47" i="17"/>
  <c r="N47" i="17"/>
  <c r="L47" i="17"/>
  <c r="P46" i="17"/>
  <c r="N46" i="17"/>
  <c r="L46" i="17"/>
  <c r="P45" i="17"/>
  <c r="N45" i="17"/>
  <c r="L45" i="17"/>
  <c r="P44" i="17"/>
  <c r="N44" i="17"/>
  <c r="L44" i="17"/>
  <c r="P43" i="17"/>
  <c r="N43" i="17"/>
  <c r="L43" i="17"/>
  <c r="P42" i="17"/>
  <c r="N42" i="17"/>
  <c r="L42" i="17"/>
  <c r="P41" i="17"/>
  <c r="N41" i="17"/>
  <c r="L41" i="17"/>
  <c r="P40" i="17"/>
  <c r="N40" i="17"/>
  <c r="L40" i="17"/>
  <c r="P39" i="17"/>
  <c r="N39" i="17"/>
  <c r="L39" i="17"/>
  <c r="P38" i="17"/>
  <c r="N38" i="17"/>
  <c r="L38" i="17"/>
  <c r="P37" i="17"/>
  <c r="N37" i="17"/>
  <c r="L37" i="17"/>
  <c r="P36" i="17"/>
  <c r="N36" i="17"/>
  <c r="L36" i="17"/>
  <c r="P35" i="17"/>
  <c r="N35" i="17"/>
  <c r="L35" i="17"/>
  <c r="P34" i="17"/>
  <c r="N34" i="17"/>
  <c r="L34" i="17"/>
  <c r="P33" i="17"/>
  <c r="N33" i="17"/>
  <c r="L33" i="17"/>
  <c r="P32" i="17"/>
  <c r="N32" i="17"/>
  <c r="L32" i="17"/>
  <c r="P31" i="17"/>
  <c r="N31" i="17"/>
  <c r="L31" i="17"/>
  <c r="P30" i="17"/>
  <c r="N30" i="17"/>
  <c r="L30" i="17"/>
  <c r="P29" i="17"/>
  <c r="N29" i="17"/>
  <c r="L29" i="17"/>
  <c r="P28" i="17"/>
  <c r="N28" i="17"/>
  <c r="L28" i="17"/>
  <c r="P27" i="17"/>
  <c r="N27" i="17"/>
  <c r="L27" i="17"/>
  <c r="P26" i="17"/>
  <c r="N26" i="17"/>
  <c r="L26" i="17"/>
  <c r="P25" i="17"/>
  <c r="N25" i="17"/>
  <c r="L25" i="17"/>
  <c r="P24" i="17"/>
  <c r="N24" i="17"/>
  <c r="L24" i="17"/>
  <c r="P23" i="17"/>
  <c r="N23" i="17"/>
  <c r="L23" i="17"/>
  <c r="P22" i="17"/>
  <c r="N22" i="17"/>
  <c r="L22" i="17"/>
  <c r="P21" i="17"/>
  <c r="N21" i="17"/>
  <c r="L21" i="17"/>
  <c r="P20" i="17"/>
  <c r="N20" i="17"/>
  <c r="L20" i="17"/>
  <c r="P19" i="17"/>
  <c r="N19" i="17"/>
  <c r="L19" i="17"/>
  <c r="P18" i="17"/>
  <c r="N18" i="17"/>
  <c r="L18" i="17"/>
  <c r="P17" i="17"/>
  <c r="N17" i="17"/>
  <c r="L17" i="17"/>
  <c r="P16" i="17"/>
  <c r="N16" i="17"/>
  <c r="L16" i="17"/>
  <c r="P15" i="17"/>
  <c r="N15" i="17"/>
  <c r="L15" i="17"/>
  <c r="P14" i="17"/>
  <c r="N14" i="17"/>
  <c r="L14" i="17"/>
  <c r="P13" i="17"/>
  <c r="N13" i="17"/>
  <c r="L13" i="17"/>
  <c r="P12" i="17"/>
  <c r="N12" i="17"/>
  <c r="L12" i="17"/>
  <c r="P11" i="17"/>
  <c r="N11" i="17"/>
  <c r="L11" i="17"/>
  <c r="P10" i="17"/>
  <c r="N10" i="17"/>
  <c r="L10" i="17"/>
  <c r="P9" i="17"/>
  <c r="N9" i="17"/>
  <c r="L9" i="17"/>
  <c r="P8" i="17"/>
  <c r="N8" i="17"/>
  <c r="L8" i="17"/>
  <c r="P7" i="17"/>
  <c r="N7" i="17"/>
  <c r="L7" i="17"/>
  <c r="P6" i="17"/>
  <c r="N6" i="17"/>
  <c r="L6" i="17"/>
  <c r="P5" i="17"/>
  <c r="N5" i="17"/>
  <c r="L5" i="17"/>
  <c r="P4" i="17"/>
  <c r="N4" i="17"/>
  <c r="L4" i="17"/>
  <c r="P3" i="17"/>
  <c r="N3" i="17"/>
  <c r="L3" i="17"/>
  <c r="P2" i="17"/>
  <c r="N2" i="17"/>
  <c r="L2" i="17"/>
  <c r="M24" i="12" l="1"/>
  <c r="J22" i="12"/>
  <c r="M20" i="12"/>
  <c r="J18" i="12"/>
  <c r="M16" i="12"/>
  <c r="J14" i="12"/>
  <c r="M12" i="12"/>
  <c r="J10" i="12"/>
  <c r="M8" i="12"/>
  <c r="J6" i="12"/>
  <c r="M4" i="12"/>
  <c r="E8" i="10" l="1"/>
  <c r="E7" i="10"/>
  <c r="N6" i="10"/>
  <c r="L6" i="10"/>
  <c r="J6" i="10"/>
  <c r="G6" i="10"/>
  <c r="E6" i="10"/>
  <c r="C6" i="10"/>
  <c r="F9" i="10" l="1"/>
  <c r="E7" i="13" l="1"/>
  <c r="E6" i="13"/>
  <c r="E5" i="13"/>
  <c r="E4" i="13"/>
  <c r="E3" i="13"/>
  <c r="D17" i="13"/>
  <c r="D8" i="13"/>
  <c r="L11" i="10" l="1"/>
  <c r="J11" i="10"/>
  <c r="B6" i="18" l="1"/>
  <c r="G77" i="18" l="1"/>
  <c r="G76" i="18"/>
  <c r="G75" i="18"/>
  <c r="G74" i="18"/>
  <c r="G73" i="18"/>
  <c r="G72" i="18"/>
  <c r="G71" i="18"/>
  <c r="G70" i="18"/>
  <c r="G69" i="18"/>
  <c r="G62" i="18"/>
  <c r="G61" i="18"/>
  <c r="G60" i="18"/>
  <c r="G59" i="18"/>
  <c r="G58" i="18"/>
  <c r="G57" i="18"/>
  <c r="G56" i="18"/>
  <c r="G55" i="18"/>
  <c r="G54" i="18"/>
  <c r="G46" i="18"/>
  <c r="G45" i="18"/>
  <c r="G44" i="18"/>
  <c r="G43" i="18"/>
  <c r="G42" i="18"/>
  <c r="G41" i="18"/>
  <c r="G40" i="18"/>
  <c r="G39" i="18"/>
  <c r="G38" i="18"/>
  <c r="G30" i="18"/>
  <c r="G29" i="18"/>
  <c r="G28" i="18"/>
  <c r="G27" i="18"/>
  <c r="G26" i="18"/>
  <c r="G25" i="18"/>
  <c r="G24" i="18"/>
  <c r="G23" i="18"/>
  <c r="G22" i="18"/>
  <c r="G13" i="18"/>
  <c r="G12" i="18"/>
  <c r="G11" i="18"/>
  <c r="G10" i="18"/>
  <c r="G9" i="18"/>
  <c r="G8" i="18"/>
  <c r="G7" i="18"/>
  <c r="G6" i="18"/>
  <c r="G5" i="18"/>
  <c r="G128" i="18" l="1"/>
  <c r="G131" i="18"/>
  <c r="G125" i="18"/>
  <c r="G126" i="18"/>
  <c r="G127" i="18"/>
  <c r="G130" i="18"/>
  <c r="G129" i="18"/>
  <c r="G132" i="18"/>
  <c r="G124" i="18"/>
  <c r="F62" i="18" l="1"/>
  <c r="E62" i="18" s="1"/>
  <c r="F77" i="18"/>
  <c r="F76" i="18"/>
  <c r="F75" i="18"/>
  <c r="F74" i="18"/>
  <c r="F73" i="18"/>
  <c r="F72" i="18"/>
  <c r="F71" i="18"/>
  <c r="F70" i="18"/>
  <c r="F69" i="18"/>
  <c r="E69" i="18" s="1"/>
  <c r="F61" i="18"/>
  <c r="F60" i="18"/>
  <c r="F59" i="18"/>
  <c r="E59" i="18" s="1"/>
  <c r="F58" i="18"/>
  <c r="F57" i="18"/>
  <c r="F56" i="18"/>
  <c r="F55" i="18"/>
  <c r="F54" i="18"/>
  <c r="E54" i="18" s="1"/>
  <c r="F46" i="18"/>
  <c r="F45" i="18"/>
  <c r="F44" i="18"/>
  <c r="F43" i="18"/>
  <c r="F42" i="18"/>
  <c r="F41" i="18"/>
  <c r="F40" i="18"/>
  <c r="E40" i="18" s="1"/>
  <c r="F39" i="18"/>
  <c r="F38" i="18"/>
  <c r="E38" i="18" s="1"/>
  <c r="F30" i="18"/>
  <c r="F29" i="18"/>
  <c r="F28" i="18"/>
  <c r="F27" i="18"/>
  <c r="F26" i="18"/>
  <c r="F25" i="18"/>
  <c r="F24" i="18"/>
  <c r="F23" i="18"/>
  <c r="F22" i="18"/>
  <c r="E22" i="18" s="1"/>
  <c r="F13" i="18"/>
  <c r="E13" i="18" s="1"/>
  <c r="F12" i="18"/>
  <c r="F11" i="18"/>
  <c r="F10" i="18"/>
  <c r="F9" i="18"/>
  <c r="F8" i="18"/>
  <c r="F7" i="18"/>
  <c r="F6" i="18"/>
  <c r="F5" i="18"/>
  <c r="E5" i="18" s="1"/>
  <c r="D77" i="18"/>
  <c r="D76" i="18"/>
  <c r="D75" i="18"/>
  <c r="D74" i="18"/>
  <c r="D73" i="18"/>
  <c r="D72" i="18"/>
  <c r="D71" i="18"/>
  <c r="D70" i="18"/>
  <c r="D69" i="18"/>
  <c r="D62" i="18"/>
  <c r="D61" i="18"/>
  <c r="D60" i="18"/>
  <c r="D59" i="18"/>
  <c r="D58" i="18"/>
  <c r="D57" i="18"/>
  <c r="D56" i="18"/>
  <c r="D55" i="18"/>
  <c r="D54" i="18"/>
  <c r="D46" i="18"/>
  <c r="D45" i="18"/>
  <c r="D44" i="18"/>
  <c r="D43" i="18"/>
  <c r="D42" i="18"/>
  <c r="D41" i="18"/>
  <c r="D40" i="18"/>
  <c r="D39" i="18"/>
  <c r="D38" i="18"/>
  <c r="D30" i="18"/>
  <c r="D29" i="18"/>
  <c r="D28" i="18"/>
  <c r="D27" i="18"/>
  <c r="D26" i="18"/>
  <c r="D25" i="18"/>
  <c r="D24" i="18"/>
  <c r="D23" i="18"/>
  <c r="D22" i="18"/>
  <c r="D13" i="18"/>
  <c r="D12" i="18"/>
  <c r="D11" i="18"/>
  <c r="D10" i="18"/>
  <c r="D9" i="18"/>
  <c r="D8" i="18"/>
  <c r="D5" i="18"/>
  <c r="D6" i="18"/>
  <c r="D7" i="18"/>
  <c r="E43" i="18" l="1"/>
  <c r="E24" i="18"/>
  <c r="E46" i="18"/>
  <c r="E72" i="18"/>
  <c r="E60" i="18"/>
  <c r="E27" i="18"/>
  <c r="E9" i="18"/>
  <c r="E7" i="18"/>
  <c r="E57" i="18"/>
  <c r="E76" i="18"/>
  <c r="E23" i="18"/>
  <c r="E42" i="18"/>
  <c r="E61" i="18"/>
  <c r="E41" i="18"/>
  <c r="E44" i="18"/>
  <c r="E70" i="18"/>
  <c r="E6" i="18"/>
  <c r="E26" i="18"/>
  <c r="E45" i="18"/>
  <c r="E71" i="18"/>
  <c r="E8" i="18"/>
  <c r="E28" i="18"/>
  <c r="E73" i="18"/>
  <c r="E25" i="18"/>
  <c r="E29" i="18"/>
  <c r="E55" i="18"/>
  <c r="E74" i="18"/>
  <c r="E10" i="18"/>
  <c r="E30" i="18"/>
  <c r="E56" i="18"/>
  <c r="E75" i="18"/>
  <c r="E11" i="18"/>
  <c r="E12" i="18"/>
  <c r="E39" i="18"/>
  <c r="E58" i="18"/>
  <c r="E77" i="18"/>
  <c r="B113" i="18"/>
  <c r="B115" i="18"/>
  <c r="B116" i="18"/>
  <c r="B117" i="18"/>
  <c r="B118" i="18"/>
  <c r="B119" i="18"/>
  <c r="B120" i="18"/>
  <c r="B114" i="18"/>
  <c r="B121" i="18"/>
  <c r="J123" i="18"/>
  <c r="B131" i="18"/>
  <c r="B132" i="18"/>
  <c r="B126" i="18"/>
  <c r="B125" i="18"/>
  <c r="B127" i="18"/>
  <c r="B128" i="18"/>
  <c r="B124" i="18"/>
  <c r="B130" i="18"/>
  <c r="B129" i="18"/>
  <c r="E14" i="18" l="1"/>
  <c r="E63" i="18"/>
  <c r="E47" i="18"/>
  <c r="E31" i="18"/>
  <c r="E78" i="18"/>
  <c r="B77" i="18"/>
  <c r="B62" i="18"/>
  <c r="B38" i="18"/>
  <c r="B46" i="18"/>
  <c r="B30" i="18"/>
  <c r="B13" i="18"/>
  <c r="B93" i="18" l="1"/>
  <c r="F7" i="10"/>
  <c r="B76" i="18"/>
  <c r="B75" i="18"/>
  <c r="B74" i="18"/>
  <c r="B73" i="18"/>
  <c r="B72" i="18"/>
  <c r="B71" i="18"/>
  <c r="B70" i="18"/>
  <c r="B69" i="18"/>
  <c r="B66" i="18"/>
  <c r="C77" i="18" s="1"/>
  <c r="B45" i="18"/>
  <c r="B61" i="18"/>
  <c r="B44" i="18"/>
  <c r="B60" i="18"/>
  <c r="B43" i="18"/>
  <c r="B59" i="18"/>
  <c r="B42" i="18"/>
  <c r="B58" i="18"/>
  <c r="B41" i="18"/>
  <c r="B57" i="18"/>
  <c r="B40" i="18"/>
  <c r="B56" i="18"/>
  <c r="B39" i="18"/>
  <c r="B55" i="18"/>
  <c r="B54" i="18"/>
  <c r="B35" i="18"/>
  <c r="C46" i="18" s="1"/>
  <c r="B51" i="18"/>
  <c r="C62" i="18" s="1"/>
  <c r="B29" i="18"/>
  <c r="B12" i="18"/>
  <c r="B28" i="18"/>
  <c r="B11" i="18"/>
  <c r="B27" i="18"/>
  <c r="B10" i="18"/>
  <c r="B26" i="18"/>
  <c r="B9" i="18"/>
  <c r="B25" i="18"/>
  <c r="B8" i="18"/>
  <c r="B24" i="18"/>
  <c r="B7" i="18"/>
  <c r="B23" i="18"/>
  <c r="B22" i="18"/>
  <c r="B5" i="18"/>
  <c r="B19" i="18"/>
  <c r="B2" i="18"/>
  <c r="C13" i="18" s="1"/>
  <c r="B5" i="13" l="1"/>
  <c r="K8" i="10"/>
  <c r="M8" i="10"/>
  <c r="B7" i="13"/>
  <c r="K10" i="10"/>
  <c r="M10" i="10"/>
  <c r="F8" i="10"/>
  <c r="B6" i="13"/>
  <c r="K9" i="10"/>
  <c r="M9" i="10"/>
  <c r="I6" i="10"/>
  <c r="G11" i="10"/>
  <c r="B4" i="13"/>
  <c r="M7" i="10"/>
  <c r="K7" i="10"/>
  <c r="I10" i="10"/>
  <c r="I8" i="10"/>
  <c r="B3" i="13"/>
  <c r="C11" i="10"/>
  <c r="K6" i="10"/>
  <c r="M6" i="10"/>
  <c r="C12" i="13" s="1"/>
  <c r="F6" i="10"/>
  <c r="I9" i="10"/>
  <c r="I7" i="10"/>
  <c r="B90" i="18"/>
  <c r="B89" i="18"/>
  <c r="B91" i="18"/>
  <c r="B85" i="18"/>
  <c r="B92" i="18"/>
  <c r="B86" i="18"/>
  <c r="B87" i="18"/>
  <c r="B88" i="18"/>
  <c r="B47" i="18"/>
  <c r="C9" i="18"/>
  <c r="C29" i="18"/>
  <c r="C57" i="18"/>
  <c r="C41" i="18"/>
  <c r="C71" i="18"/>
  <c r="B78" i="18"/>
  <c r="C72" i="18"/>
  <c r="C30" i="18"/>
  <c r="C73" i="18"/>
  <c r="B63" i="18"/>
  <c r="C60" i="18"/>
  <c r="C74" i="18"/>
  <c r="C54" i="18"/>
  <c r="C26" i="18"/>
  <c r="C55" i="18"/>
  <c r="C25" i="18"/>
  <c r="C58" i="18"/>
  <c r="C59" i="18"/>
  <c r="C70" i="18"/>
  <c r="C28" i="18"/>
  <c r="C44" i="18"/>
  <c r="C42" i="18"/>
  <c r="C5" i="18"/>
  <c r="C10" i="18"/>
  <c r="C43" i="18"/>
  <c r="C27" i="18"/>
  <c r="C11" i="18"/>
  <c r="B31" i="18"/>
  <c r="K15" i="18" s="1"/>
  <c r="C39" i="18"/>
  <c r="C23" i="18"/>
  <c r="C12" i="18"/>
  <c r="C56" i="18"/>
  <c r="C61" i="18"/>
  <c r="C75" i="18"/>
  <c r="C7" i="18"/>
  <c r="C40" i="18"/>
  <c r="C76" i="18"/>
  <c r="C22" i="18"/>
  <c r="C38" i="18"/>
  <c r="C6" i="18"/>
  <c r="C24" i="18"/>
  <c r="C45" i="18"/>
  <c r="C8" i="18"/>
  <c r="C69" i="18"/>
  <c r="B14" i="18"/>
  <c r="I11" i="10" l="1"/>
  <c r="K11" i="10"/>
  <c r="M11" i="10"/>
  <c r="B8" i="13"/>
  <c r="G121" i="18"/>
  <c r="G115" i="18"/>
  <c r="B94" i="18"/>
  <c r="G114" i="18"/>
  <c r="G119" i="18"/>
  <c r="G113" i="18"/>
  <c r="G116" i="18"/>
  <c r="G117" i="18"/>
  <c r="G118" i="18"/>
  <c r="G120" i="18"/>
  <c r="K48" i="18"/>
  <c r="C48" i="18"/>
  <c r="C15" i="18"/>
  <c r="C79" i="18"/>
  <c r="N10" i="26"/>
  <c r="L10" i="26"/>
  <c r="J10" i="26"/>
  <c r="G10" i="26"/>
  <c r="E10" i="26"/>
  <c r="C10" i="26"/>
  <c r="N9" i="26"/>
  <c r="L9" i="26"/>
  <c r="J9" i="26"/>
  <c r="G9" i="26"/>
  <c r="E9" i="26"/>
  <c r="C9" i="26"/>
  <c r="N8" i="26"/>
  <c r="L8" i="26"/>
  <c r="J8" i="26"/>
  <c r="G8" i="26"/>
  <c r="E8" i="26"/>
  <c r="C8" i="26"/>
  <c r="N7" i="26"/>
  <c r="L7" i="26"/>
  <c r="J7" i="26"/>
  <c r="G7" i="26"/>
  <c r="E7" i="26"/>
  <c r="C7" i="26"/>
  <c r="N6" i="26"/>
  <c r="L6" i="26"/>
  <c r="J6" i="26"/>
  <c r="G6" i="26"/>
  <c r="E6" i="26"/>
  <c r="C6" i="26"/>
  <c r="B2" i="26"/>
  <c r="F9" i="26" l="1"/>
  <c r="K8" i="26"/>
  <c r="F6" i="26"/>
  <c r="M8" i="26"/>
  <c r="H10" i="26"/>
  <c r="O10" i="26"/>
  <c r="F10" i="26"/>
  <c r="F7" i="26"/>
  <c r="H7" i="26"/>
  <c r="M10" i="26"/>
  <c r="M7" i="26"/>
  <c r="O7" i="26"/>
  <c r="I7" i="26"/>
  <c r="K7" i="26"/>
  <c r="H9" i="26"/>
  <c r="C11" i="26"/>
  <c r="D10" i="26" s="1"/>
  <c r="M9" i="26"/>
  <c r="K9" i="26"/>
  <c r="K6" i="26"/>
  <c r="F8" i="26"/>
  <c r="O9" i="26"/>
  <c r="L11" i="26"/>
  <c r="H8" i="26"/>
  <c r="I6" i="26"/>
  <c r="N11" i="26"/>
  <c r="E11" i="26"/>
  <c r="G11" i="26"/>
  <c r="M6" i="26"/>
  <c r="I10" i="26"/>
  <c r="O6" i="26"/>
  <c r="J11" i="26"/>
  <c r="I8" i="26"/>
  <c r="I9" i="26"/>
  <c r="K10" i="26"/>
  <c r="O8" i="26"/>
  <c r="H6" i="26"/>
  <c r="M11" i="26" l="1"/>
  <c r="D9" i="26"/>
  <c r="D8" i="26"/>
  <c r="O11" i="26"/>
  <c r="L12" i="26"/>
  <c r="D6" i="26"/>
  <c r="D7" i="26"/>
  <c r="C12" i="26"/>
  <c r="K11" i="26"/>
  <c r="N12" i="26"/>
  <c r="H11" i="26"/>
  <c r="G12" i="26"/>
  <c r="I11" i="26"/>
  <c r="E12" i="26"/>
  <c r="Q6" i="26"/>
  <c r="F11" i="26"/>
  <c r="Q10" i="25" l="1"/>
  <c r="O10" i="25"/>
  <c r="M10" i="25"/>
  <c r="K10" i="25"/>
  <c r="I10" i="25"/>
  <c r="G10" i="25"/>
  <c r="E10" i="25"/>
  <c r="D10" i="25"/>
  <c r="C10" i="25"/>
  <c r="Q9" i="25"/>
  <c r="O9" i="25"/>
  <c r="M9" i="25"/>
  <c r="K9" i="25"/>
  <c r="I9" i="25"/>
  <c r="G9" i="25"/>
  <c r="E9" i="25"/>
  <c r="D9" i="25"/>
  <c r="C9" i="25"/>
  <c r="Q8" i="25"/>
  <c r="O8" i="25"/>
  <c r="M8" i="25"/>
  <c r="K8" i="25"/>
  <c r="I8" i="25"/>
  <c r="G8" i="25"/>
  <c r="E8" i="25"/>
  <c r="D8" i="25"/>
  <c r="C8" i="25"/>
  <c r="Q7" i="25"/>
  <c r="O7" i="25"/>
  <c r="M7" i="25"/>
  <c r="K7" i="25"/>
  <c r="I7" i="25"/>
  <c r="G7" i="25"/>
  <c r="E7" i="25"/>
  <c r="D7" i="25"/>
  <c r="C7" i="25"/>
  <c r="Q6" i="25"/>
  <c r="O6" i="25"/>
  <c r="M6" i="25"/>
  <c r="K6" i="25"/>
  <c r="I6" i="25"/>
  <c r="G6" i="25"/>
  <c r="E6" i="25"/>
  <c r="D6" i="25"/>
  <c r="C6" i="25"/>
  <c r="Q5" i="25"/>
  <c r="O5" i="25"/>
  <c r="M5" i="25"/>
  <c r="K5" i="25"/>
  <c r="I5" i="25"/>
  <c r="G5" i="25"/>
  <c r="E5" i="25"/>
  <c r="D5" i="25"/>
  <c r="C5" i="25"/>
  <c r="Q4" i="25"/>
  <c r="Q11" i="25" s="1"/>
  <c r="O4" i="25"/>
  <c r="O11" i="25" s="1"/>
  <c r="M4" i="25"/>
  <c r="K4" i="25"/>
  <c r="K11" i="25" s="1"/>
  <c r="I4" i="25"/>
  <c r="I11" i="25" s="1"/>
  <c r="G4" i="25"/>
  <c r="G11" i="25" s="1"/>
  <c r="E4" i="25"/>
  <c r="E11" i="25" s="1"/>
  <c r="D4" i="25"/>
  <c r="D11" i="25" s="1"/>
  <c r="E12" i="25" s="1"/>
  <c r="C4" i="25"/>
  <c r="C11" i="25" s="1"/>
  <c r="D12" i="25" s="1"/>
  <c r="A1" i="25"/>
  <c r="M11" i="25" l="1"/>
  <c r="P9" i="25"/>
  <c r="L8" i="25"/>
  <c r="R9" i="25"/>
  <c r="P8" i="25"/>
  <c r="N7" i="25"/>
  <c r="R5" i="25"/>
  <c r="F7" i="25"/>
  <c r="N8" i="25"/>
  <c r="L7" i="25"/>
  <c r="R8" i="25"/>
  <c r="F10" i="25"/>
  <c r="F9" i="25"/>
  <c r="H9" i="25"/>
  <c r="J7" i="25"/>
  <c r="F6" i="25"/>
  <c r="J6" i="25"/>
  <c r="P7" i="25"/>
  <c r="H10" i="25"/>
  <c r="H6" i="25"/>
  <c r="F5" i="25"/>
  <c r="L6" i="25"/>
  <c r="R7" i="25"/>
  <c r="H5" i="25"/>
  <c r="N6" i="25"/>
  <c r="L10" i="25"/>
  <c r="P6" i="25"/>
  <c r="N10" i="25"/>
  <c r="L5" i="25"/>
  <c r="R6" i="25"/>
  <c r="F8" i="25"/>
  <c r="P10" i="25"/>
  <c r="H7" i="25"/>
  <c r="H8" i="25"/>
  <c r="L9" i="25"/>
  <c r="R10" i="25"/>
  <c r="J5" i="25"/>
  <c r="N5" i="25"/>
  <c r="P5" i="25"/>
  <c r="J8" i="25"/>
  <c r="N9" i="25"/>
  <c r="D22" i="25"/>
  <c r="C22" i="25" s="1"/>
  <c r="N11" i="25"/>
  <c r="N12" i="25"/>
  <c r="D16" i="25"/>
  <c r="C16" i="25" s="1"/>
  <c r="J12" i="25"/>
  <c r="J11" i="25"/>
  <c r="P11" i="25"/>
  <c r="P12" i="25"/>
  <c r="D18" i="25"/>
  <c r="C18" i="25" s="1"/>
  <c r="D23" i="25"/>
  <c r="C23" i="25" s="1"/>
  <c r="R11" i="25"/>
  <c r="R12" i="25"/>
  <c r="H11" i="25"/>
  <c r="D15" i="25"/>
  <c r="C15" i="25" s="1"/>
  <c r="H12" i="25"/>
  <c r="L12" i="25"/>
  <c r="L11" i="25"/>
  <c r="D17" i="25"/>
  <c r="C17" i="25" s="1"/>
  <c r="F12" i="25"/>
  <c r="F11" i="25"/>
  <c r="D21" i="25"/>
  <c r="C21" i="25" s="1"/>
  <c r="D14" i="25"/>
  <c r="L4" i="25"/>
  <c r="N4" i="25"/>
  <c r="P4" i="25"/>
  <c r="F4" i="25"/>
  <c r="R4" i="25"/>
  <c r="H4" i="25"/>
  <c r="J4" i="25"/>
  <c r="C14" i="25" l="1"/>
  <c r="C19" i="25" s="1"/>
  <c r="D19" i="25"/>
  <c r="D23" i="15" l="1"/>
  <c r="C23" i="15"/>
  <c r="B23" i="15"/>
  <c r="B21" i="15"/>
  <c r="D19" i="15"/>
  <c r="C19" i="15"/>
  <c r="B19" i="15"/>
  <c r="B17" i="15"/>
  <c r="D15" i="15"/>
  <c r="C15" i="15"/>
  <c r="B15" i="15"/>
  <c r="B13" i="15"/>
  <c r="D11" i="15"/>
  <c r="C11" i="15"/>
  <c r="B11" i="15"/>
  <c r="B9" i="15"/>
  <c r="D7" i="15"/>
  <c r="C7" i="15"/>
  <c r="B7" i="15"/>
  <c r="B5" i="15"/>
  <c r="N10" i="14"/>
  <c r="L10" i="14"/>
  <c r="J10" i="14"/>
  <c r="G10" i="14"/>
  <c r="E10" i="14"/>
  <c r="C10" i="14"/>
  <c r="N9" i="14"/>
  <c r="L9" i="14"/>
  <c r="J9" i="14"/>
  <c r="G9" i="14"/>
  <c r="E9" i="14"/>
  <c r="C9" i="14"/>
  <c r="N8" i="14"/>
  <c r="L8" i="14"/>
  <c r="J8" i="14"/>
  <c r="G8" i="14"/>
  <c r="E8" i="14"/>
  <c r="C8" i="14"/>
  <c r="N7" i="14"/>
  <c r="L7" i="14"/>
  <c r="J7" i="14"/>
  <c r="G7" i="14"/>
  <c r="E7" i="14"/>
  <c r="C7" i="14"/>
  <c r="N6" i="14"/>
  <c r="L6" i="14"/>
  <c r="J6" i="14"/>
  <c r="G6" i="14"/>
  <c r="E6" i="14"/>
  <c r="C6" i="14"/>
  <c r="B2" i="14"/>
  <c r="E19" i="15" l="1"/>
  <c r="E11" i="14"/>
  <c r="E12" i="14" s="1"/>
  <c r="I7" i="14"/>
  <c r="M7" i="14"/>
  <c r="M9" i="14"/>
  <c r="C11" i="14"/>
  <c r="D6" i="14" s="1"/>
  <c r="G11" i="14"/>
  <c r="F9" i="14"/>
  <c r="K9" i="14"/>
  <c r="E23" i="15"/>
  <c r="B3" i="15"/>
  <c r="N11" i="14"/>
  <c r="N12" i="14" s="1"/>
  <c r="F10" i="14"/>
  <c r="O8" i="14"/>
  <c r="K10" i="14"/>
  <c r="M6" i="14"/>
  <c r="E11" i="15"/>
  <c r="E15" i="15"/>
  <c r="O7" i="14"/>
  <c r="M8" i="14"/>
  <c r="H10" i="14"/>
  <c r="M10" i="14"/>
  <c r="H7" i="14"/>
  <c r="K7" i="14"/>
  <c r="I9" i="14"/>
  <c r="F6" i="14"/>
  <c r="C3" i="15"/>
  <c r="I6" i="14"/>
  <c r="D3" i="15"/>
  <c r="K6" i="14"/>
  <c r="F8" i="14"/>
  <c r="O9" i="14"/>
  <c r="E7" i="15"/>
  <c r="I10" i="14"/>
  <c r="O6" i="14"/>
  <c r="J11" i="14"/>
  <c r="K11" i="14" s="1"/>
  <c r="H9" i="14"/>
  <c r="K8" i="14"/>
  <c r="I8" i="14"/>
  <c r="H8" i="14"/>
  <c r="H6" i="14"/>
  <c r="F7" i="14"/>
  <c r="O10" i="14"/>
  <c r="L11" i="14"/>
  <c r="F11" i="14" l="1"/>
  <c r="D9" i="14"/>
  <c r="C12" i="14"/>
  <c r="O11" i="14"/>
  <c r="D10" i="14"/>
  <c r="D8" i="14"/>
  <c r="D7" i="14"/>
  <c r="H11" i="14"/>
  <c r="I11" i="14"/>
  <c r="G12" i="14"/>
  <c r="E3" i="15"/>
  <c r="L12" i="14"/>
  <c r="M11" i="14"/>
  <c r="Q6" i="14"/>
  <c r="F10" i="10" l="1"/>
  <c r="E11" i="10"/>
  <c r="F11" i="10" s="1"/>
  <c r="B108" i="5"/>
  <c r="A108" i="5"/>
  <c r="B107" i="5"/>
  <c r="A107" i="5"/>
  <c r="K104" i="4"/>
  <c r="I104" i="4"/>
  <c r="E104" i="4"/>
  <c r="D104" i="4"/>
  <c r="K103" i="4"/>
  <c r="I103" i="4"/>
  <c r="E103" i="4"/>
  <c r="D103" i="4"/>
  <c r="F137" i="2" l="1"/>
  <c r="J137" i="2"/>
  <c r="H137" i="2"/>
  <c r="N137" i="2"/>
  <c r="F138" i="2"/>
  <c r="H138" i="2"/>
  <c r="H103" i="4"/>
  <c r="J138" i="2"/>
  <c r="G104" i="4"/>
  <c r="P137" i="2"/>
  <c r="N138" i="2"/>
  <c r="R138" i="2"/>
  <c r="R137" i="2"/>
  <c r="E12" i="10"/>
  <c r="L137" i="2"/>
  <c r="L138" i="2"/>
  <c r="F104" i="4"/>
  <c r="G103" i="4"/>
  <c r="H104" i="4"/>
  <c r="P138" i="2"/>
  <c r="F103" i="4"/>
  <c r="M103" i="4"/>
  <c r="I107" i="5" s="1"/>
  <c r="M104" i="4"/>
  <c r="I108" i="5" s="1"/>
  <c r="L104" i="4" l="1"/>
  <c r="H108" i="5" s="1"/>
  <c r="L103" i="4"/>
  <c r="H107" i="5" s="1"/>
  <c r="J104" i="4"/>
  <c r="J103" i="4"/>
  <c r="R10" i="2" l="1"/>
  <c r="P10" i="2"/>
  <c r="N10" i="2"/>
  <c r="J10" i="2"/>
  <c r="H10" i="2"/>
  <c r="F10" i="2"/>
  <c r="L10" i="2"/>
  <c r="R11" i="2"/>
  <c r="R12" i="2"/>
  <c r="H12" i="2"/>
  <c r="F12" i="2"/>
  <c r="P12" i="2"/>
  <c r="N12" i="2"/>
  <c r="L12" i="2"/>
  <c r="J12" i="2"/>
  <c r="F11" i="2"/>
  <c r="N11" i="2"/>
  <c r="J11" i="2"/>
  <c r="P11" i="2"/>
  <c r="L11" i="2"/>
  <c r="H11" i="2"/>
  <c r="F181" i="2" l="1"/>
  <c r="N181" i="2"/>
  <c r="L181" i="2"/>
  <c r="J181" i="2"/>
  <c r="H181" i="2"/>
  <c r="R181" i="2"/>
  <c r="P181" i="2"/>
  <c r="D24" i="12" l="1"/>
  <c r="C24" i="12"/>
  <c r="B24" i="12"/>
  <c r="B16" i="13" l="1"/>
  <c r="B15" i="13"/>
  <c r="B14" i="13"/>
  <c r="B13" i="13"/>
  <c r="B12" i="13"/>
  <c r="B17" i="13" l="1"/>
  <c r="B8" i="12"/>
  <c r="B6" i="12"/>
  <c r="C8" i="12"/>
  <c r="D8" i="12"/>
  <c r="B10" i="12"/>
  <c r="B12" i="12"/>
  <c r="C12" i="12"/>
  <c r="D12" i="12"/>
  <c r="B14" i="12"/>
  <c r="B16" i="12"/>
  <c r="C16" i="12"/>
  <c r="D16" i="12"/>
  <c r="B18" i="12"/>
  <c r="B20" i="12"/>
  <c r="C20" i="12"/>
  <c r="D20" i="12"/>
  <c r="B22" i="12"/>
  <c r="E20" i="12" l="1"/>
  <c r="E24" i="12"/>
  <c r="E12" i="12"/>
  <c r="E16" i="12"/>
  <c r="B4" i="12"/>
  <c r="B26" i="12" s="1"/>
  <c r="D4" i="12"/>
  <c r="E8" i="12"/>
  <c r="C4" i="12"/>
  <c r="E4" i="12" l="1"/>
  <c r="C26" i="12"/>
  <c r="H6" i="10" l="1"/>
  <c r="O7" i="10"/>
  <c r="H7" i="10"/>
  <c r="Q6" i="10"/>
  <c r="C13" i="13"/>
  <c r="N11" i="10"/>
  <c r="H8" i="10"/>
  <c r="C14" i="13"/>
  <c r="O8" i="10"/>
  <c r="H10" i="10"/>
  <c r="C16" i="13"/>
  <c r="O10" i="10"/>
  <c r="O6" i="10" l="1"/>
  <c r="H9" i="10"/>
  <c r="O9" i="10"/>
  <c r="C15" i="13"/>
  <c r="C17" i="13" l="1"/>
  <c r="D8" i="10"/>
  <c r="D9" i="10"/>
  <c r="O11" i="10"/>
  <c r="D6" i="10"/>
  <c r="D7" i="10"/>
  <c r="D10" i="10"/>
  <c r="H11" i="10"/>
  <c r="H2" i="13" l="1"/>
  <c r="G2" i="13"/>
  <c r="B150" i="5"/>
  <c r="B151" i="5"/>
  <c r="B152" i="5"/>
  <c r="A150" i="5"/>
  <c r="A151" i="5"/>
  <c r="A152" i="5"/>
  <c r="A13" i="1"/>
  <c r="O201" i="2"/>
  <c r="M201" i="2"/>
  <c r="M200" i="2" s="1"/>
  <c r="M10" i="8" s="1"/>
  <c r="H148" i="4"/>
  <c r="H147" i="4" s="1"/>
  <c r="H146" i="4" s="1"/>
  <c r="G148" i="4"/>
  <c r="F148" i="4"/>
  <c r="E148" i="4"/>
  <c r="C201" i="2"/>
  <c r="C200" i="2" s="1"/>
  <c r="C13" i="1" s="1"/>
  <c r="N12" i="10"/>
  <c r="L12" i="10"/>
  <c r="G12" i="10"/>
  <c r="C195" i="2"/>
  <c r="C12" i="10"/>
  <c r="G170" i="2" l="1"/>
  <c r="K170" i="2"/>
  <c r="M170" i="2"/>
  <c r="Q170" i="2"/>
  <c r="I170" i="2"/>
  <c r="E170" i="2"/>
  <c r="C170" i="2"/>
  <c r="D170" i="2"/>
  <c r="O170" i="2"/>
  <c r="C24" i="1"/>
  <c r="L202" i="2"/>
  <c r="C197" i="2"/>
  <c r="K148" i="4"/>
  <c r="K147" i="4" s="1"/>
  <c r="K146" i="4" s="1"/>
  <c r="D201" i="2"/>
  <c r="D200" i="2" s="1"/>
  <c r="D10" i="8" s="1"/>
  <c r="I148" i="4"/>
  <c r="I147" i="4" s="1"/>
  <c r="I146" i="4" s="1"/>
  <c r="H202" i="2"/>
  <c r="D148" i="4"/>
  <c r="D147" i="4" s="1"/>
  <c r="D146" i="4" s="1"/>
  <c r="C10" i="8"/>
  <c r="N10" i="8" s="1"/>
  <c r="E147" i="4"/>
  <c r="E146" i="4" s="1"/>
  <c r="F147" i="4"/>
  <c r="F146" i="4" s="1"/>
  <c r="G147" i="4"/>
  <c r="P201" i="2"/>
  <c r="O200" i="2"/>
  <c r="O10" i="8" s="1"/>
  <c r="J202" i="2"/>
  <c r="N201" i="2"/>
  <c r="N202" i="2"/>
  <c r="P202" i="2"/>
  <c r="R202" i="2"/>
  <c r="Q201" i="2"/>
  <c r="K201" i="2"/>
  <c r="D13" i="1"/>
  <c r="F202" i="2"/>
  <c r="E201" i="2"/>
  <c r="G201" i="2"/>
  <c r="I201" i="2"/>
  <c r="N200" i="2"/>
  <c r="P10" i="8" l="1"/>
  <c r="L13" i="1"/>
  <c r="N13" i="1" s="1"/>
  <c r="J148" i="4"/>
  <c r="J147" i="4" s="1"/>
  <c r="J146" i="4" s="1"/>
  <c r="L148" i="4"/>
  <c r="H152" i="5" s="1"/>
  <c r="P200" i="2"/>
  <c r="M147" i="4"/>
  <c r="I151" i="5" s="1"/>
  <c r="M146" i="4"/>
  <c r="I150" i="5" s="1"/>
  <c r="M148" i="4"/>
  <c r="I152" i="5" s="1"/>
  <c r="G146" i="4"/>
  <c r="L146" i="4" s="1"/>
  <c r="H150" i="5" s="1"/>
  <c r="L147" i="4"/>
  <c r="H151" i="5" s="1"/>
  <c r="I200" i="2"/>
  <c r="I10" i="8" s="1"/>
  <c r="J201" i="2"/>
  <c r="D24" i="1"/>
  <c r="K200" i="2"/>
  <c r="K10" i="8" s="1"/>
  <c r="L10" i="8" s="1"/>
  <c r="L201" i="2"/>
  <c r="R201" i="2"/>
  <c r="Q200" i="2"/>
  <c r="Q10" i="8" s="1"/>
  <c r="R10" i="8" s="1"/>
  <c r="H201" i="2"/>
  <c r="G200" i="2"/>
  <c r="E200" i="2"/>
  <c r="F201" i="2"/>
  <c r="L24" i="1" l="1"/>
  <c r="N24" i="1" s="1"/>
  <c r="E13" i="1"/>
  <c r="E24" i="1" s="1"/>
  <c r="E10" i="8"/>
  <c r="F10" i="8" s="1"/>
  <c r="F13" i="1"/>
  <c r="F24" i="1" s="1"/>
  <c r="G10" i="8"/>
  <c r="H10" i="8" s="1"/>
  <c r="R200" i="2"/>
  <c r="L200" i="2"/>
  <c r="H13" i="1"/>
  <c r="G13" i="1"/>
  <c r="J200" i="2"/>
  <c r="F200" i="2"/>
  <c r="H200" i="2"/>
  <c r="B2" i="10"/>
  <c r="B2" i="1"/>
  <c r="A2" i="5"/>
  <c r="M13" i="1" l="1"/>
  <c r="G24" i="1"/>
  <c r="H24" i="1"/>
  <c r="I24" i="1" s="1"/>
  <c r="I13" i="1"/>
  <c r="J13" i="1"/>
  <c r="B63" i="4"/>
  <c r="C63" i="4" s="1"/>
  <c r="B67" i="5" s="1"/>
  <c r="R97" i="2"/>
  <c r="M24" i="1" l="1"/>
  <c r="G63" i="4"/>
  <c r="J24" i="1"/>
  <c r="K24" i="1" s="1"/>
  <c r="K13" i="1"/>
  <c r="E63" i="4"/>
  <c r="D63" i="4"/>
  <c r="A67" i="5"/>
  <c r="F97" i="2"/>
  <c r="P97" i="2"/>
  <c r="N97" i="2"/>
  <c r="L97" i="2"/>
  <c r="J97" i="2"/>
  <c r="F63" i="4"/>
  <c r="I63" i="4"/>
  <c r="H97" i="2"/>
  <c r="H63" i="4"/>
  <c r="K63" i="4"/>
  <c r="J63" i="4" l="1"/>
  <c r="L63" i="4"/>
  <c r="H67" i="5" s="1"/>
  <c r="M63" i="4"/>
  <c r="I67" i="5" s="1"/>
  <c r="R193" i="2" l="1"/>
  <c r="L193" i="2"/>
  <c r="N193" i="2"/>
  <c r="F193" i="2"/>
  <c r="J193" i="2"/>
  <c r="P193" i="2"/>
  <c r="H193" i="2"/>
  <c r="AS7" i="11"/>
  <c r="AS8" i="11"/>
  <c r="AS9" i="11"/>
  <c r="AS10" i="11"/>
  <c r="AS6" i="11"/>
  <c r="X12" i="11" l="1"/>
  <c r="V12" i="11" l="1"/>
  <c r="T12" i="11"/>
  <c r="R12" i="11"/>
  <c r="AR7" i="11"/>
  <c r="AR8" i="11"/>
  <c r="AR9" i="11"/>
  <c r="AR10" i="11"/>
  <c r="AR6" i="11"/>
  <c r="I195" i="2" l="1"/>
  <c r="I58" i="2"/>
  <c r="S117" i="2" l="1"/>
  <c r="I46" i="2"/>
  <c r="I27" i="2"/>
  <c r="I191" i="2"/>
  <c r="I52" i="2"/>
  <c r="I40" i="2"/>
  <c r="I197" i="2"/>
  <c r="I165" i="2"/>
  <c r="I33" i="2"/>
  <c r="I163" i="2"/>
  <c r="AQ7" i="11"/>
  <c r="AQ8" i="11"/>
  <c r="AQ9" i="11"/>
  <c r="AQ10" i="11"/>
  <c r="AQ6" i="11"/>
  <c r="I203" i="2" l="1"/>
  <c r="I204" i="2" s="1"/>
  <c r="AP7" i="11"/>
  <c r="AP8" i="11"/>
  <c r="AP9" i="11"/>
  <c r="AP10" i="11"/>
  <c r="AP6" i="11"/>
  <c r="AO7" i="11" l="1"/>
  <c r="AO8" i="11"/>
  <c r="AO9" i="11"/>
  <c r="AO10" i="11"/>
  <c r="AO6" i="11"/>
  <c r="AN7" i="11" l="1"/>
  <c r="AN8" i="11"/>
  <c r="AN9" i="11"/>
  <c r="AN10" i="11"/>
  <c r="AN6" i="11"/>
  <c r="L12" i="11" l="1"/>
  <c r="AM7" i="11" l="1"/>
  <c r="AM8" i="11"/>
  <c r="AM9" i="11"/>
  <c r="AM10" i="11"/>
  <c r="AM6" i="11"/>
  <c r="J199" i="2" l="1"/>
  <c r="J198" i="2"/>
  <c r="J194" i="2"/>
  <c r="J192" i="2"/>
  <c r="J180" i="2"/>
  <c r="J179" i="2"/>
  <c r="J178" i="2"/>
  <c r="J177" i="2"/>
  <c r="J176" i="2"/>
  <c r="J175" i="2"/>
  <c r="J174" i="2"/>
  <c r="J173" i="2"/>
  <c r="J172" i="2"/>
  <c r="J171" i="2"/>
  <c r="J169" i="2"/>
  <c r="J168" i="2"/>
  <c r="J167" i="2"/>
  <c r="J166" i="2"/>
  <c r="J148" i="2"/>
  <c r="J116" i="2"/>
  <c r="J62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3" i="2"/>
  <c r="J42" i="2"/>
  <c r="J41" i="2"/>
  <c r="J38" i="2"/>
  <c r="J37" i="2"/>
  <c r="J36" i="2"/>
  <c r="J35" i="2"/>
  <c r="J34" i="2"/>
  <c r="J32" i="2"/>
  <c r="J31" i="2"/>
  <c r="J30" i="2"/>
  <c r="J29" i="2"/>
  <c r="J28" i="2"/>
  <c r="J71" i="2" l="1"/>
  <c r="J104" i="2"/>
  <c r="J136" i="2"/>
  <c r="J72" i="2"/>
  <c r="J105" i="2"/>
  <c r="J147" i="2"/>
  <c r="J73" i="2"/>
  <c r="J106" i="2"/>
  <c r="J140" i="2"/>
  <c r="J74" i="2"/>
  <c r="J107" i="2"/>
  <c r="J141" i="2"/>
  <c r="J13" i="2"/>
  <c r="J21" i="2"/>
  <c r="J39" i="2"/>
  <c r="J67" i="2"/>
  <c r="J75" i="2"/>
  <c r="J83" i="2"/>
  <c r="J91" i="2"/>
  <c r="J100" i="2"/>
  <c r="J108" i="2"/>
  <c r="J124" i="2"/>
  <c r="J132" i="2"/>
  <c r="J142" i="2"/>
  <c r="J150" i="2"/>
  <c r="J158" i="2"/>
  <c r="J186" i="2"/>
  <c r="J17" i="2"/>
  <c r="J87" i="2"/>
  <c r="J120" i="2"/>
  <c r="J154" i="2"/>
  <c r="J190" i="2"/>
  <c r="J18" i="2"/>
  <c r="J88" i="2"/>
  <c r="J121" i="2"/>
  <c r="J155" i="2"/>
  <c r="J81" i="2"/>
  <c r="J114" i="2"/>
  <c r="J184" i="2"/>
  <c r="J66" i="2"/>
  <c r="J99" i="2"/>
  <c r="J131" i="2"/>
  <c r="J14" i="2"/>
  <c r="J22" i="2"/>
  <c r="J60" i="2"/>
  <c r="J68" i="2"/>
  <c r="J76" i="2"/>
  <c r="J84" i="2"/>
  <c r="J92" i="2"/>
  <c r="J101" i="2"/>
  <c r="J109" i="2"/>
  <c r="J117" i="2"/>
  <c r="J125" i="2"/>
  <c r="J133" i="2"/>
  <c r="J143" i="2"/>
  <c r="J151" i="2"/>
  <c r="J159" i="2"/>
  <c r="J187" i="2"/>
  <c r="J79" i="2"/>
  <c r="J112" i="2"/>
  <c r="J146" i="2"/>
  <c r="J182" i="2"/>
  <c r="J80" i="2"/>
  <c r="J113" i="2"/>
  <c r="J139" i="2"/>
  <c r="J183" i="2"/>
  <c r="J65" i="2"/>
  <c r="J98" i="2"/>
  <c r="J130" i="2"/>
  <c r="J20" i="2"/>
  <c r="J90" i="2"/>
  <c r="J123" i="2"/>
  <c r="J157" i="2"/>
  <c r="J196" i="2"/>
  <c r="J15" i="2"/>
  <c r="J23" i="2"/>
  <c r="J61" i="2"/>
  <c r="J69" i="2"/>
  <c r="J77" i="2"/>
  <c r="J85" i="2"/>
  <c r="J93" i="2"/>
  <c r="J102" i="2"/>
  <c r="J110" i="2"/>
  <c r="J118" i="2"/>
  <c r="J126" i="2"/>
  <c r="J134" i="2"/>
  <c r="J144" i="2"/>
  <c r="J152" i="2"/>
  <c r="J160" i="2"/>
  <c r="J188" i="2"/>
  <c r="J25" i="2"/>
  <c r="J63" i="2"/>
  <c r="J95" i="2"/>
  <c r="J128" i="2"/>
  <c r="J162" i="2"/>
  <c r="J26" i="2"/>
  <c r="J64" i="2"/>
  <c r="J96" i="2"/>
  <c r="J129" i="2"/>
  <c r="J164" i="2"/>
  <c r="J19" i="2"/>
  <c r="J89" i="2"/>
  <c r="J122" i="2"/>
  <c r="J156" i="2"/>
  <c r="J82" i="2"/>
  <c r="J115" i="2"/>
  <c r="J149" i="2"/>
  <c r="J185" i="2"/>
  <c r="J16" i="2"/>
  <c r="J24" i="2"/>
  <c r="J70" i="2"/>
  <c r="J78" i="2"/>
  <c r="J86" i="2"/>
  <c r="J94" i="2"/>
  <c r="J103" i="2"/>
  <c r="J111" i="2"/>
  <c r="J119" i="2"/>
  <c r="J127" i="2"/>
  <c r="J135" i="2"/>
  <c r="J145" i="2"/>
  <c r="J153" i="2"/>
  <c r="J161" i="2"/>
  <c r="J189" i="2"/>
  <c r="B5" i="4"/>
  <c r="G5" i="4" s="1"/>
  <c r="D5" i="4" l="1"/>
  <c r="A9" i="5"/>
  <c r="B144" i="4"/>
  <c r="B145" i="4"/>
  <c r="B143" i="4"/>
  <c r="B140" i="4"/>
  <c r="B141" i="4"/>
  <c r="B142" i="4"/>
  <c r="B134" i="4"/>
  <c r="B135" i="4"/>
  <c r="B136" i="4"/>
  <c r="D136" i="4" s="1"/>
  <c r="B137" i="4"/>
  <c r="D137" i="4" s="1"/>
  <c r="B138" i="4"/>
  <c r="D138" i="4" s="1"/>
  <c r="B139" i="4"/>
  <c r="D139" i="4" s="1"/>
  <c r="B133" i="4"/>
  <c r="B132" i="4"/>
  <c r="A136" i="5" s="1"/>
  <c r="B128" i="4"/>
  <c r="B129" i="4"/>
  <c r="B130" i="4"/>
  <c r="B131" i="4"/>
  <c r="A135" i="5" s="1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90" i="4"/>
  <c r="D90" i="4" s="1"/>
  <c r="B91" i="4"/>
  <c r="D91" i="4" s="1"/>
  <c r="B92" i="4"/>
  <c r="D92" i="4" s="1"/>
  <c r="B93" i="4"/>
  <c r="D93" i="4" s="1"/>
  <c r="B94" i="4"/>
  <c r="D94" i="4" s="1"/>
  <c r="B95" i="4"/>
  <c r="D95" i="4" s="1"/>
  <c r="B96" i="4"/>
  <c r="D96" i="4" s="1"/>
  <c r="B97" i="4"/>
  <c r="D97" i="4" s="1"/>
  <c r="B98" i="4"/>
  <c r="D98" i="4" s="1"/>
  <c r="B99" i="4"/>
  <c r="D99" i="4" s="1"/>
  <c r="B100" i="4"/>
  <c r="D100" i="4" s="1"/>
  <c r="B101" i="4"/>
  <c r="D101" i="4" s="1"/>
  <c r="B102" i="4"/>
  <c r="D102" i="4" s="1"/>
  <c r="B78" i="4"/>
  <c r="D78" i="4" s="1"/>
  <c r="B79" i="4"/>
  <c r="D79" i="4" s="1"/>
  <c r="B80" i="4"/>
  <c r="D80" i="4" s="1"/>
  <c r="B81" i="4"/>
  <c r="D81" i="4" s="1"/>
  <c r="B82" i="4"/>
  <c r="B83" i="4"/>
  <c r="D83" i="4" s="1"/>
  <c r="B84" i="4"/>
  <c r="D84" i="4" s="1"/>
  <c r="B85" i="4"/>
  <c r="D85" i="4" s="1"/>
  <c r="B86" i="4"/>
  <c r="D86" i="4" s="1"/>
  <c r="B87" i="4"/>
  <c r="D87" i="4" s="1"/>
  <c r="B88" i="4"/>
  <c r="D88" i="4" s="1"/>
  <c r="B89" i="4"/>
  <c r="D89" i="4" s="1"/>
  <c r="B67" i="4"/>
  <c r="D67" i="4" s="1"/>
  <c r="B68" i="4"/>
  <c r="D68" i="4" s="1"/>
  <c r="B69" i="4"/>
  <c r="D69" i="4" s="1"/>
  <c r="B70" i="4"/>
  <c r="D70" i="4" s="1"/>
  <c r="B71" i="4"/>
  <c r="D71" i="4" s="1"/>
  <c r="B72" i="4"/>
  <c r="D72" i="4" s="1"/>
  <c r="B73" i="4"/>
  <c r="D73" i="4" s="1"/>
  <c r="B74" i="4"/>
  <c r="D74" i="4" s="1"/>
  <c r="B75" i="4"/>
  <c r="D75" i="4" s="1"/>
  <c r="B76" i="4"/>
  <c r="D76" i="4" s="1"/>
  <c r="B77" i="4"/>
  <c r="D77" i="4" s="1"/>
  <c r="B54" i="4"/>
  <c r="D54" i="4" s="1"/>
  <c r="B55" i="4"/>
  <c r="D55" i="4" s="1"/>
  <c r="B56" i="4"/>
  <c r="D56" i="4" s="1"/>
  <c r="B57" i="4"/>
  <c r="D57" i="4" s="1"/>
  <c r="B58" i="4"/>
  <c r="D58" i="4" s="1"/>
  <c r="B59" i="4"/>
  <c r="D59" i="4" s="1"/>
  <c r="B60" i="4"/>
  <c r="D60" i="4" s="1"/>
  <c r="B61" i="4"/>
  <c r="D61" i="4" s="1"/>
  <c r="B62" i="4"/>
  <c r="D62" i="4" s="1"/>
  <c r="B64" i="4"/>
  <c r="D64" i="4" s="1"/>
  <c r="B65" i="4"/>
  <c r="D65" i="4" s="1"/>
  <c r="B66" i="4"/>
  <c r="D66" i="4" s="1"/>
  <c r="B46" i="4"/>
  <c r="D46" i="4" s="1"/>
  <c r="B47" i="4"/>
  <c r="D47" i="4" s="1"/>
  <c r="B48" i="4"/>
  <c r="D48" i="4" s="1"/>
  <c r="B49" i="4"/>
  <c r="D49" i="4" s="1"/>
  <c r="B50" i="4"/>
  <c r="D50" i="4" s="1"/>
  <c r="B51" i="4"/>
  <c r="D51" i="4" s="1"/>
  <c r="B52" i="4"/>
  <c r="D52" i="4" s="1"/>
  <c r="B53" i="4"/>
  <c r="D53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44" i="4"/>
  <c r="D44" i="4" s="1"/>
  <c r="B45" i="4"/>
  <c r="D45" i="4" s="1"/>
  <c r="B27" i="4"/>
  <c r="D27" i="4" s="1"/>
  <c r="B28" i="4"/>
  <c r="B29" i="4"/>
  <c r="D29" i="4" s="1"/>
  <c r="B30" i="4"/>
  <c r="D30" i="4" s="1"/>
  <c r="B31" i="4"/>
  <c r="D31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B26" i="4"/>
  <c r="D26" i="4" s="1"/>
  <c r="B25" i="4"/>
  <c r="B24" i="4"/>
  <c r="B23" i="4"/>
  <c r="B22" i="4"/>
  <c r="B21" i="4"/>
  <c r="D21" i="4" s="1"/>
  <c r="B20" i="4"/>
  <c r="B4" i="4"/>
  <c r="D4" i="4" s="1"/>
  <c r="C5" i="4"/>
  <c r="B9" i="5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B19" i="4"/>
  <c r="B3" i="4"/>
  <c r="A12" i="1"/>
  <c r="A11" i="1"/>
  <c r="A10" i="1"/>
  <c r="A9" i="1"/>
  <c r="A8" i="1"/>
  <c r="A7" i="1"/>
  <c r="G108" i="5" l="1"/>
  <c r="G107" i="5" s="1"/>
  <c r="C108" i="5"/>
  <c r="C107" i="5" s="1"/>
  <c r="D108" i="5"/>
  <c r="D107" i="5" s="1"/>
  <c r="E108" i="5"/>
  <c r="E107" i="5" s="1"/>
  <c r="F108" i="5"/>
  <c r="F107" i="5" s="1"/>
  <c r="E152" i="5"/>
  <c r="E151" i="5" s="1"/>
  <c r="E150" i="5" s="1"/>
  <c r="D152" i="5"/>
  <c r="D151" i="5" s="1"/>
  <c r="D150" i="5" s="1"/>
  <c r="C152" i="5"/>
  <c r="C151" i="5" s="1"/>
  <c r="C150" i="5" s="1"/>
  <c r="G152" i="5"/>
  <c r="G151" i="5" s="1"/>
  <c r="G150" i="5" s="1"/>
  <c r="F152" i="5"/>
  <c r="F151" i="5" s="1"/>
  <c r="F150" i="5" s="1"/>
  <c r="D67" i="5"/>
  <c r="C67" i="5"/>
  <c r="G67" i="5"/>
  <c r="E67" i="5"/>
  <c r="F67" i="5"/>
  <c r="A127" i="5"/>
  <c r="D123" i="4"/>
  <c r="A119" i="5"/>
  <c r="D115" i="4"/>
  <c r="A111" i="5"/>
  <c r="D107" i="4"/>
  <c r="A137" i="5"/>
  <c r="D133" i="4"/>
  <c r="A145" i="5"/>
  <c r="D141" i="4"/>
  <c r="A126" i="5"/>
  <c r="D122" i="4"/>
  <c r="A110" i="5"/>
  <c r="D106" i="4"/>
  <c r="A144" i="5"/>
  <c r="D140" i="4"/>
  <c r="A125" i="5"/>
  <c r="D121" i="4"/>
  <c r="A117" i="5"/>
  <c r="D113" i="4"/>
  <c r="A109" i="5"/>
  <c r="D105" i="4"/>
  <c r="D82" i="4" s="1"/>
  <c r="A22" i="5"/>
  <c r="D18" i="4"/>
  <c r="A124" i="5"/>
  <c r="D120" i="4"/>
  <c r="A116" i="5"/>
  <c r="D112" i="4"/>
  <c r="A131" i="5"/>
  <c r="D127" i="4"/>
  <c r="A123" i="5"/>
  <c r="D119" i="4"/>
  <c r="A115" i="5"/>
  <c r="D111" i="4"/>
  <c r="A134" i="5"/>
  <c r="D130" i="4"/>
  <c r="A148" i="5"/>
  <c r="D144" i="4"/>
  <c r="A128" i="5"/>
  <c r="D124" i="4"/>
  <c r="A120" i="5"/>
  <c r="D116" i="4"/>
  <c r="A112" i="5"/>
  <c r="D108" i="4"/>
  <c r="A146" i="5"/>
  <c r="A149" i="5"/>
  <c r="A130" i="5"/>
  <c r="D126" i="4"/>
  <c r="A122" i="5"/>
  <c r="D118" i="4"/>
  <c r="A114" i="5"/>
  <c r="D110" i="4"/>
  <c r="A139" i="5"/>
  <c r="D135" i="4"/>
  <c r="A129" i="5"/>
  <c r="D125" i="4"/>
  <c r="A121" i="5"/>
  <c r="D117" i="4"/>
  <c r="A113" i="5"/>
  <c r="D109" i="4"/>
  <c r="A132" i="5"/>
  <c r="D128" i="4"/>
  <c r="A138" i="5"/>
  <c r="D134" i="4"/>
  <c r="C32" i="4"/>
  <c r="B36" i="5" s="1"/>
  <c r="A36" i="5"/>
  <c r="C55" i="4"/>
  <c r="B59" i="5" s="1"/>
  <c r="A59" i="5"/>
  <c r="C14" i="4"/>
  <c r="B18" i="5" s="1"/>
  <c r="A18" i="5"/>
  <c r="C6" i="4"/>
  <c r="B10" i="5" s="1"/>
  <c r="A10" i="5"/>
  <c r="C50" i="4"/>
  <c r="B54" i="5" s="1"/>
  <c r="A54" i="5"/>
  <c r="C70" i="4"/>
  <c r="B74" i="5" s="1"/>
  <c r="A74" i="5"/>
  <c r="C102" i="4"/>
  <c r="B106" i="5" s="1"/>
  <c r="A106" i="5"/>
  <c r="C13" i="4"/>
  <c r="B17" i="5" s="1"/>
  <c r="A17" i="5"/>
  <c r="C26" i="4"/>
  <c r="B30" i="5" s="1"/>
  <c r="A30" i="5"/>
  <c r="C30" i="4"/>
  <c r="B34" i="5" s="1"/>
  <c r="A34" i="5"/>
  <c r="C49" i="4"/>
  <c r="B53" i="5" s="1"/>
  <c r="A53" i="5"/>
  <c r="C77" i="4"/>
  <c r="B81" i="5" s="1"/>
  <c r="A81" i="5"/>
  <c r="C84" i="4"/>
  <c r="B88" i="5" s="1"/>
  <c r="A88" i="5"/>
  <c r="C93" i="4"/>
  <c r="B97" i="5" s="1"/>
  <c r="A97" i="5"/>
  <c r="C12" i="4"/>
  <c r="B16" i="5" s="1"/>
  <c r="A16" i="5"/>
  <c r="C4" i="4"/>
  <c r="B8" i="5" s="1"/>
  <c r="A8" i="5"/>
  <c r="C37" i="4"/>
  <c r="B41" i="5" s="1"/>
  <c r="A41" i="5"/>
  <c r="C29" i="4"/>
  <c r="B33" i="5" s="1"/>
  <c r="A33" i="5"/>
  <c r="C40" i="4"/>
  <c r="B44" i="5" s="1"/>
  <c r="A44" i="5"/>
  <c r="C48" i="4"/>
  <c r="B52" i="5" s="1"/>
  <c r="A52" i="5"/>
  <c r="C60" i="4"/>
  <c r="B64" i="5" s="1"/>
  <c r="A64" i="5"/>
  <c r="C76" i="4"/>
  <c r="B80" i="5" s="1"/>
  <c r="A80" i="5"/>
  <c r="C68" i="4"/>
  <c r="B72" i="5" s="1"/>
  <c r="A72" i="5"/>
  <c r="C83" i="4"/>
  <c r="B87" i="5" s="1"/>
  <c r="A87" i="5"/>
  <c r="C100" i="4"/>
  <c r="B104" i="5" s="1"/>
  <c r="A104" i="5"/>
  <c r="C92" i="4"/>
  <c r="B96" i="5" s="1"/>
  <c r="A96" i="5"/>
  <c r="C114" i="4"/>
  <c r="B118" i="5" s="1"/>
  <c r="A118" i="5"/>
  <c r="C139" i="4"/>
  <c r="B143" i="5" s="1"/>
  <c r="A143" i="5"/>
  <c r="C7" i="4"/>
  <c r="B11" i="5" s="1"/>
  <c r="A11" i="5"/>
  <c r="C71" i="4"/>
  <c r="B75" i="5" s="1"/>
  <c r="A75" i="5"/>
  <c r="C41" i="4"/>
  <c r="B45" i="5" s="1"/>
  <c r="A45" i="5"/>
  <c r="C61" i="4"/>
  <c r="B65" i="5" s="1"/>
  <c r="A65" i="5"/>
  <c r="C69" i="4"/>
  <c r="B73" i="5" s="1"/>
  <c r="A73" i="5"/>
  <c r="C101" i="4"/>
  <c r="B105" i="5" s="1"/>
  <c r="A105" i="5"/>
  <c r="C19" i="4"/>
  <c r="B23" i="5" s="1"/>
  <c r="A23" i="5"/>
  <c r="C11" i="4"/>
  <c r="B15" i="5" s="1"/>
  <c r="A15" i="5"/>
  <c r="C20" i="4"/>
  <c r="B24" i="5" s="1"/>
  <c r="A24" i="5"/>
  <c r="C36" i="4"/>
  <c r="B40" i="5" s="1"/>
  <c r="A40" i="5"/>
  <c r="C28" i="4"/>
  <c r="B32" i="5" s="1"/>
  <c r="A32" i="5"/>
  <c r="C39" i="4"/>
  <c r="B43" i="5" s="1"/>
  <c r="A43" i="5"/>
  <c r="C47" i="4"/>
  <c r="B51" i="5" s="1"/>
  <c r="A51" i="5"/>
  <c r="C59" i="4"/>
  <c r="B63" i="5" s="1"/>
  <c r="A63" i="5"/>
  <c r="C75" i="4"/>
  <c r="B79" i="5" s="1"/>
  <c r="A79" i="5"/>
  <c r="C67" i="4"/>
  <c r="B71" i="5" s="1"/>
  <c r="A71" i="5"/>
  <c r="C82" i="4"/>
  <c r="B86" i="5" s="1"/>
  <c r="A86" i="5"/>
  <c r="C99" i="4"/>
  <c r="B103" i="5" s="1"/>
  <c r="A103" i="5"/>
  <c r="C91" i="4"/>
  <c r="B95" i="5" s="1"/>
  <c r="A95" i="5"/>
  <c r="C138" i="4"/>
  <c r="B142" i="5" s="1"/>
  <c r="A142" i="5"/>
  <c r="C143" i="4"/>
  <c r="B147" i="5" s="1"/>
  <c r="A147" i="5"/>
  <c r="C51" i="4"/>
  <c r="B55" i="5" s="1"/>
  <c r="A55" i="5"/>
  <c r="C95" i="4"/>
  <c r="B99" i="5" s="1"/>
  <c r="A99" i="5"/>
  <c r="C25" i="4"/>
  <c r="B29" i="5" s="1"/>
  <c r="A29" i="5"/>
  <c r="C54" i="4"/>
  <c r="B58" i="5" s="1"/>
  <c r="A58" i="5"/>
  <c r="C94" i="4"/>
  <c r="B98" i="5" s="1"/>
  <c r="A98" i="5"/>
  <c r="C10" i="4"/>
  <c r="B14" i="5" s="1"/>
  <c r="A14" i="5"/>
  <c r="C35" i="4"/>
  <c r="B39" i="5" s="1"/>
  <c r="A39" i="5"/>
  <c r="C38" i="4"/>
  <c r="B42" i="5" s="1"/>
  <c r="A42" i="5"/>
  <c r="C46" i="4"/>
  <c r="B50" i="5" s="1"/>
  <c r="A50" i="5"/>
  <c r="C58" i="4"/>
  <c r="B62" i="5" s="1"/>
  <c r="A62" i="5"/>
  <c r="C74" i="4"/>
  <c r="B78" i="5" s="1"/>
  <c r="A78" i="5"/>
  <c r="C89" i="4"/>
  <c r="B93" i="5" s="1"/>
  <c r="A93" i="5"/>
  <c r="C81" i="4"/>
  <c r="B85" i="5" s="1"/>
  <c r="A85" i="5"/>
  <c r="C98" i="4"/>
  <c r="B102" i="5" s="1"/>
  <c r="A102" i="5"/>
  <c r="C90" i="4"/>
  <c r="B94" i="5" s="1"/>
  <c r="A94" i="5"/>
  <c r="C137" i="4"/>
  <c r="B141" i="5" s="1"/>
  <c r="A141" i="5"/>
  <c r="C24" i="4"/>
  <c r="B28" i="5" s="1"/>
  <c r="A28" i="5"/>
  <c r="C86" i="4"/>
  <c r="B90" i="5" s="1"/>
  <c r="A90" i="5"/>
  <c r="C42" i="4"/>
  <c r="B46" i="5" s="1"/>
  <c r="A46" i="5"/>
  <c r="C85" i="4"/>
  <c r="B89" i="5" s="1"/>
  <c r="A89" i="5"/>
  <c r="C22" i="4"/>
  <c r="B26" i="5" s="1"/>
  <c r="A26" i="5"/>
  <c r="C45" i="4"/>
  <c r="B49" i="5" s="1"/>
  <c r="A49" i="5"/>
  <c r="C73" i="4"/>
  <c r="B77" i="5" s="1"/>
  <c r="A77" i="5"/>
  <c r="C136" i="4"/>
  <c r="B140" i="5" s="1"/>
  <c r="A140" i="5"/>
  <c r="C15" i="4"/>
  <c r="B19" i="5" s="1"/>
  <c r="A19" i="5"/>
  <c r="C43" i="4"/>
  <c r="B47" i="5" s="1"/>
  <c r="A47" i="5"/>
  <c r="C64" i="4"/>
  <c r="B68" i="5" s="1"/>
  <c r="A68" i="5"/>
  <c r="C78" i="4"/>
  <c r="B82" i="5" s="1"/>
  <c r="A82" i="5"/>
  <c r="C31" i="4"/>
  <c r="B35" i="5" s="1"/>
  <c r="A35" i="5"/>
  <c r="C62" i="4"/>
  <c r="B66" i="5" s="1"/>
  <c r="A66" i="5"/>
  <c r="C21" i="4"/>
  <c r="B25" i="5" s="1"/>
  <c r="A25" i="5"/>
  <c r="C27" i="4"/>
  <c r="B31" i="5" s="1"/>
  <c r="A31" i="5"/>
  <c r="C17" i="4"/>
  <c r="B21" i="5" s="1"/>
  <c r="A21" i="5"/>
  <c r="C9" i="4"/>
  <c r="B13" i="5" s="1"/>
  <c r="A13" i="5"/>
  <c r="C34" i="4"/>
  <c r="B38" i="5" s="1"/>
  <c r="A38" i="5"/>
  <c r="C53" i="4"/>
  <c r="B57" i="5" s="1"/>
  <c r="A57" i="5"/>
  <c r="C66" i="4"/>
  <c r="B70" i="5" s="1"/>
  <c r="A70" i="5"/>
  <c r="C57" i="4"/>
  <c r="B61" i="5" s="1"/>
  <c r="A61" i="5"/>
  <c r="C88" i="4"/>
  <c r="B92" i="5" s="1"/>
  <c r="A92" i="5"/>
  <c r="C80" i="4"/>
  <c r="B84" i="5" s="1"/>
  <c r="A84" i="5"/>
  <c r="C97" i="4"/>
  <c r="B101" i="5" s="1"/>
  <c r="A101" i="5"/>
  <c r="C16" i="4"/>
  <c r="B20" i="5" s="1"/>
  <c r="A20" i="5"/>
  <c r="C8" i="4"/>
  <c r="B12" i="5" s="1"/>
  <c r="E8" i="4"/>
  <c r="A12" i="5"/>
  <c r="C23" i="4"/>
  <c r="B27" i="5" s="1"/>
  <c r="A27" i="5"/>
  <c r="C33" i="4"/>
  <c r="B37" i="5" s="1"/>
  <c r="A37" i="5"/>
  <c r="C44" i="4"/>
  <c r="B48" i="5" s="1"/>
  <c r="A48" i="5"/>
  <c r="C52" i="4"/>
  <c r="B56" i="5" s="1"/>
  <c r="A56" i="5"/>
  <c r="C65" i="4"/>
  <c r="B69" i="5" s="1"/>
  <c r="A69" i="5"/>
  <c r="C56" i="4"/>
  <c r="B60" i="5" s="1"/>
  <c r="A60" i="5"/>
  <c r="C72" i="4"/>
  <c r="B76" i="5" s="1"/>
  <c r="A76" i="5"/>
  <c r="C87" i="4"/>
  <c r="B91" i="5" s="1"/>
  <c r="A91" i="5"/>
  <c r="C79" i="4"/>
  <c r="B83" i="5" s="1"/>
  <c r="A83" i="5"/>
  <c r="C96" i="4"/>
  <c r="B100" i="5" s="1"/>
  <c r="A100" i="5"/>
  <c r="C129" i="4"/>
  <c r="B133" i="5" s="1"/>
  <c r="A133" i="5"/>
  <c r="C125" i="4"/>
  <c r="B129" i="5" s="1"/>
  <c r="C116" i="4"/>
  <c r="B120" i="5" s="1"/>
  <c r="C115" i="4"/>
  <c r="B119" i="5" s="1"/>
  <c r="C133" i="4"/>
  <c r="B137" i="5" s="1"/>
  <c r="C106" i="4"/>
  <c r="B110" i="5" s="1"/>
  <c r="C18" i="4"/>
  <c r="B22" i="5" s="1"/>
  <c r="C120" i="4"/>
  <c r="B124" i="5" s="1"/>
  <c r="C112" i="4"/>
  <c r="B116" i="5" s="1"/>
  <c r="C131" i="4"/>
  <c r="B135" i="5" s="1"/>
  <c r="C145" i="4"/>
  <c r="B149" i="5" s="1"/>
  <c r="C124" i="4"/>
  <c r="B128" i="5" s="1"/>
  <c r="C108" i="4"/>
  <c r="B112" i="5" s="1"/>
  <c r="C132" i="4"/>
  <c r="B136" i="5" s="1"/>
  <c r="C142" i="4"/>
  <c r="B146" i="5" s="1"/>
  <c r="C123" i="4"/>
  <c r="B127" i="5" s="1"/>
  <c r="C107" i="4"/>
  <c r="B111" i="5" s="1"/>
  <c r="C3" i="4"/>
  <c r="B7" i="5" s="1"/>
  <c r="A7" i="5"/>
  <c r="C121" i="4"/>
  <c r="B125" i="5" s="1"/>
  <c r="C113" i="4"/>
  <c r="B117" i="5" s="1"/>
  <c r="C105" i="4"/>
  <c r="B109" i="5" s="1"/>
  <c r="C127" i="4"/>
  <c r="B131" i="5" s="1"/>
  <c r="C119" i="4"/>
  <c r="B123" i="5" s="1"/>
  <c r="C111" i="4"/>
  <c r="B115" i="5" s="1"/>
  <c r="C130" i="4"/>
  <c r="B134" i="5" s="1"/>
  <c r="C144" i="4"/>
  <c r="B148" i="5" s="1"/>
  <c r="C117" i="4"/>
  <c r="B121" i="5" s="1"/>
  <c r="C109" i="4"/>
  <c r="B113" i="5" s="1"/>
  <c r="C128" i="4"/>
  <c r="B132" i="5" s="1"/>
  <c r="C134" i="4"/>
  <c r="B138" i="5" s="1"/>
  <c r="C141" i="4"/>
  <c r="B145" i="5" s="1"/>
  <c r="C122" i="4"/>
  <c r="B126" i="5" s="1"/>
  <c r="C140" i="4"/>
  <c r="B144" i="5" s="1"/>
  <c r="C126" i="4"/>
  <c r="B130" i="5" s="1"/>
  <c r="C118" i="4"/>
  <c r="B122" i="5" s="1"/>
  <c r="C110" i="4"/>
  <c r="B114" i="5" s="1"/>
  <c r="C135" i="4"/>
  <c r="B139" i="5" s="1"/>
  <c r="C191" i="2" l="1"/>
  <c r="D142" i="4" s="1"/>
  <c r="C144" i="5"/>
  <c r="C138" i="5"/>
  <c r="C137" i="5" s="1"/>
  <c r="K137" i="5" s="1"/>
  <c r="C132" i="5"/>
  <c r="C131" i="5" s="1"/>
  <c r="C130" i="5"/>
  <c r="C129" i="5"/>
  <c r="C127" i="5"/>
  <c r="C126" i="5"/>
  <c r="C125" i="5"/>
  <c r="C124" i="5"/>
  <c r="C123" i="5"/>
  <c r="C122" i="5"/>
  <c r="C121" i="5"/>
  <c r="C120" i="5"/>
  <c r="C7" i="8"/>
  <c r="C116" i="5"/>
  <c r="C112" i="5"/>
  <c r="C106" i="5"/>
  <c r="C100" i="5"/>
  <c r="C6" i="8"/>
  <c r="C71" i="5"/>
  <c r="C70" i="5"/>
  <c r="C5" i="8"/>
  <c r="C58" i="2"/>
  <c r="C9" i="5"/>
  <c r="C4" i="8"/>
  <c r="K141" i="4"/>
  <c r="K140" i="4"/>
  <c r="G144" i="5" s="1"/>
  <c r="K135" i="4"/>
  <c r="K134" i="4"/>
  <c r="G138" i="5" s="1"/>
  <c r="G137" i="5" s="1"/>
  <c r="K133" i="4"/>
  <c r="K128" i="4"/>
  <c r="G132" i="5" s="1"/>
  <c r="G131" i="5" s="1"/>
  <c r="K127" i="4"/>
  <c r="K126" i="4"/>
  <c r="G130" i="5" s="1"/>
  <c r="K125" i="4"/>
  <c r="G129" i="5" s="1"/>
  <c r="K124" i="4"/>
  <c r="K123" i="4"/>
  <c r="G127" i="5" s="1"/>
  <c r="K122" i="4"/>
  <c r="G126" i="5" s="1"/>
  <c r="K121" i="4"/>
  <c r="G125" i="5" s="1"/>
  <c r="K120" i="4"/>
  <c r="G124" i="5" s="1"/>
  <c r="K119" i="4"/>
  <c r="G123" i="5" s="1"/>
  <c r="K118" i="4"/>
  <c r="G122" i="5" s="1"/>
  <c r="K117" i="4"/>
  <c r="G121" i="5" s="1"/>
  <c r="K116" i="4"/>
  <c r="G120" i="5" s="1"/>
  <c r="K115" i="4"/>
  <c r="O7" i="8"/>
  <c r="K113" i="4"/>
  <c r="K112" i="4"/>
  <c r="K111" i="4"/>
  <c r="K110" i="4"/>
  <c r="K109" i="4"/>
  <c r="K108" i="4"/>
  <c r="K107" i="4"/>
  <c r="K106" i="4"/>
  <c r="K102" i="4"/>
  <c r="K101" i="4"/>
  <c r="K100" i="4"/>
  <c r="K99" i="4"/>
  <c r="K98" i="4"/>
  <c r="K97" i="4"/>
  <c r="K96" i="4"/>
  <c r="K95" i="4"/>
  <c r="K94" i="4"/>
  <c r="K93" i="4"/>
  <c r="K92" i="4"/>
  <c r="K91" i="4"/>
  <c r="O6" i="8"/>
  <c r="K67" i="4"/>
  <c r="G71" i="5" s="1"/>
  <c r="K66" i="4"/>
  <c r="G70" i="5" s="1"/>
  <c r="O5" i="8"/>
  <c r="O58" i="2"/>
  <c r="M195" i="2"/>
  <c r="M9" i="8" s="1"/>
  <c r="M7" i="8"/>
  <c r="M6" i="8"/>
  <c r="M5" i="8"/>
  <c r="M58" i="2"/>
  <c r="M4" i="8"/>
  <c r="H145" i="4"/>
  <c r="H144" i="4"/>
  <c r="H143" i="4" s="1"/>
  <c r="I9" i="8"/>
  <c r="H142" i="4"/>
  <c r="H141" i="4"/>
  <c r="H140" i="4"/>
  <c r="H135" i="4"/>
  <c r="H134" i="4"/>
  <c r="H133" i="4"/>
  <c r="H132" i="4"/>
  <c r="H131" i="4"/>
  <c r="H130" i="4"/>
  <c r="I8" i="8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I7" i="8"/>
  <c r="H113" i="4"/>
  <c r="H112" i="4"/>
  <c r="H111" i="4"/>
  <c r="H110" i="4"/>
  <c r="H109" i="4"/>
  <c r="H108" i="4"/>
  <c r="H107" i="4"/>
  <c r="H106" i="4"/>
  <c r="H105" i="4"/>
  <c r="H102" i="4"/>
  <c r="H101" i="4"/>
  <c r="H100" i="4"/>
  <c r="H99" i="4"/>
  <c r="H98" i="4"/>
  <c r="H97" i="4"/>
  <c r="H96" i="4"/>
  <c r="H95" i="4"/>
  <c r="H94" i="4"/>
  <c r="H93" i="4"/>
  <c r="H92" i="4"/>
  <c r="H91" i="4"/>
  <c r="I6" i="8"/>
  <c r="H67" i="4"/>
  <c r="H66" i="4"/>
  <c r="I5" i="8"/>
  <c r="H22" i="4"/>
  <c r="I141" i="4"/>
  <c r="I140" i="4"/>
  <c r="I135" i="4"/>
  <c r="I134" i="4"/>
  <c r="I133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K7" i="8"/>
  <c r="I113" i="4"/>
  <c r="I112" i="4"/>
  <c r="I111" i="4"/>
  <c r="I110" i="4"/>
  <c r="I109" i="4"/>
  <c r="I108" i="4"/>
  <c r="I107" i="4"/>
  <c r="I106" i="4"/>
  <c r="I105" i="4"/>
  <c r="I102" i="4"/>
  <c r="I101" i="4"/>
  <c r="I100" i="4"/>
  <c r="I99" i="4"/>
  <c r="I98" i="4"/>
  <c r="I97" i="4"/>
  <c r="I96" i="4"/>
  <c r="I95" i="4"/>
  <c r="I94" i="4"/>
  <c r="I93" i="4"/>
  <c r="I92" i="4"/>
  <c r="I91" i="4"/>
  <c r="K6" i="8"/>
  <c r="I67" i="4"/>
  <c r="I66" i="4"/>
  <c r="K5" i="8"/>
  <c r="K58" i="2"/>
  <c r="K4" i="8"/>
  <c r="G141" i="4"/>
  <c r="G140" i="4"/>
  <c r="G135" i="4"/>
  <c r="G134" i="4"/>
  <c r="G133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7" i="8"/>
  <c r="G113" i="4"/>
  <c r="G112" i="4"/>
  <c r="G111" i="4"/>
  <c r="G110" i="4"/>
  <c r="G109" i="4"/>
  <c r="G108" i="4"/>
  <c r="G107" i="4"/>
  <c r="G106" i="4"/>
  <c r="G105" i="4"/>
  <c r="G102" i="4"/>
  <c r="G101" i="4"/>
  <c r="G100" i="4"/>
  <c r="G99" i="4"/>
  <c r="G98" i="4"/>
  <c r="G97" i="4"/>
  <c r="G96" i="4"/>
  <c r="G95" i="4"/>
  <c r="G94" i="4"/>
  <c r="G93" i="4"/>
  <c r="G92" i="4"/>
  <c r="G91" i="4"/>
  <c r="G6" i="8"/>
  <c r="G67" i="4"/>
  <c r="G66" i="4"/>
  <c r="G5" i="8"/>
  <c r="G58" i="2"/>
  <c r="G4" i="8"/>
  <c r="F141" i="4"/>
  <c r="F140" i="4"/>
  <c r="E144" i="5" s="1"/>
  <c r="F135" i="4"/>
  <c r="F134" i="4"/>
  <c r="E138" i="5" s="1"/>
  <c r="E137" i="5" s="1"/>
  <c r="F133" i="4"/>
  <c r="F128" i="4"/>
  <c r="E132" i="5" s="1"/>
  <c r="E131" i="5" s="1"/>
  <c r="F127" i="4"/>
  <c r="F126" i="4"/>
  <c r="E130" i="5" s="1"/>
  <c r="F125" i="4"/>
  <c r="E129" i="5" s="1"/>
  <c r="F124" i="4"/>
  <c r="F123" i="4"/>
  <c r="E127" i="5" s="1"/>
  <c r="F122" i="4"/>
  <c r="E126" i="5" s="1"/>
  <c r="F121" i="4"/>
  <c r="E125" i="5" s="1"/>
  <c r="F120" i="4"/>
  <c r="E124" i="5" s="1"/>
  <c r="F119" i="4"/>
  <c r="E123" i="5" s="1"/>
  <c r="F118" i="4"/>
  <c r="E122" i="5" s="1"/>
  <c r="F117" i="4"/>
  <c r="E121" i="5" s="1"/>
  <c r="F116" i="4"/>
  <c r="E120" i="5" s="1"/>
  <c r="F115" i="4"/>
  <c r="E7" i="8"/>
  <c r="F113" i="4"/>
  <c r="E117" i="5" s="1"/>
  <c r="F112" i="4"/>
  <c r="E116" i="5" s="1"/>
  <c r="F111" i="4"/>
  <c r="E115" i="5" s="1"/>
  <c r="F110" i="4"/>
  <c r="E114" i="5" s="1"/>
  <c r="F109" i="4"/>
  <c r="E113" i="5" s="1"/>
  <c r="F108" i="4"/>
  <c r="E112" i="5" s="1"/>
  <c r="F107" i="4"/>
  <c r="E111" i="5" s="1"/>
  <c r="F106" i="4"/>
  <c r="E110" i="5" s="1"/>
  <c r="F105" i="4"/>
  <c r="F102" i="4"/>
  <c r="E106" i="5" s="1"/>
  <c r="F101" i="4"/>
  <c r="E105" i="5" s="1"/>
  <c r="F100" i="4"/>
  <c r="F99" i="4"/>
  <c r="E103" i="5" s="1"/>
  <c r="F98" i="4"/>
  <c r="E102" i="5" s="1"/>
  <c r="F97" i="4"/>
  <c r="E101" i="5" s="1"/>
  <c r="F96" i="4"/>
  <c r="E100" i="5" s="1"/>
  <c r="F95" i="4"/>
  <c r="E99" i="5" s="1"/>
  <c r="F94" i="4"/>
  <c r="E98" i="5" s="1"/>
  <c r="F93" i="4"/>
  <c r="E97" i="5" s="1"/>
  <c r="F92" i="4"/>
  <c r="F91" i="4"/>
  <c r="E95" i="5" s="1"/>
  <c r="E6" i="8"/>
  <c r="F67" i="4"/>
  <c r="E71" i="5" s="1"/>
  <c r="F66" i="4"/>
  <c r="E70" i="5" s="1"/>
  <c r="E5" i="8"/>
  <c r="E58" i="2"/>
  <c r="E4" i="8"/>
  <c r="E141" i="4"/>
  <c r="E140" i="4"/>
  <c r="D144" i="5" s="1"/>
  <c r="E135" i="4"/>
  <c r="E134" i="4"/>
  <c r="D138" i="5" s="1"/>
  <c r="D137" i="5" s="1"/>
  <c r="E133" i="4"/>
  <c r="E128" i="4"/>
  <c r="D132" i="5" s="1"/>
  <c r="D131" i="5" s="1"/>
  <c r="E127" i="4"/>
  <c r="E126" i="4"/>
  <c r="D130" i="5" s="1"/>
  <c r="E125" i="4"/>
  <c r="D129" i="5" s="1"/>
  <c r="E124" i="4"/>
  <c r="E123" i="4"/>
  <c r="D127" i="5" s="1"/>
  <c r="E122" i="4"/>
  <c r="D126" i="5" s="1"/>
  <c r="E121" i="4"/>
  <c r="D125" i="5" s="1"/>
  <c r="E120" i="4"/>
  <c r="D124" i="5" s="1"/>
  <c r="E119" i="4"/>
  <c r="D123" i="5" s="1"/>
  <c r="E118" i="4"/>
  <c r="D122" i="5" s="1"/>
  <c r="E117" i="4"/>
  <c r="D121" i="5" s="1"/>
  <c r="E116" i="4"/>
  <c r="D120" i="5" s="1"/>
  <c r="E115" i="4"/>
  <c r="D7" i="8"/>
  <c r="E113" i="4"/>
  <c r="D117" i="5" s="1"/>
  <c r="E112" i="4"/>
  <c r="D116" i="5" s="1"/>
  <c r="E111" i="4"/>
  <c r="D115" i="5" s="1"/>
  <c r="E110" i="4"/>
  <c r="D114" i="5" s="1"/>
  <c r="E109" i="4"/>
  <c r="D113" i="5" s="1"/>
  <c r="E108" i="4"/>
  <c r="D112" i="5" s="1"/>
  <c r="E107" i="4"/>
  <c r="D111" i="5" s="1"/>
  <c r="E106" i="4"/>
  <c r="D110" i="5" s="1"/>
  <c r="E105" i="4"/>
  <c r="E102" i="4"/>
  <c r="D106" i="5" s="1"/>
  <c r="E101" i="4"/>
  <c r="D105" i="5" s="1"/>
  <c r="E100" i="4"/>
  <c r="E99" i="4"/>
  <c r="D103" i="5" s="1"/>
  <c r="E98" i="4"/>
  <c r="D102" i="5" s="1"/>
  <c r="E97" i="4"/>
  <c r="D101" i="5" s="1"/>
  <c r="E96" i="4"/>
  <c r="D100" i="5" s="1"/>
  <c r="E95" i="4"/>
  <c r="D99" i="5" s="1"/>
  <c r="E94" i="4"/>
  <c r="D98" i="5" s="1"/>
  <c r="E93" i="4"/>
  <c r="D97" i="5" s="1"/>
  <c r="E92" i="4"/>
  <c r="E91" i="4"/>
  <c r="D95" i="5" s="1"/>
  <c r="D6" i="8"/>
  <c r="E67" i="4"/>
  <c r="D71" i="5" s="1"/>
  <c r="E66" i="4"/>
  <c r="D70" i="5" s="1"/>
  <c r="D5" i="8"/>
  <c r="D58" i="2"/>
  <c r="Q195" i="2"/>
  <c r="Q9" i="8" s="1"/>
  <c r="Q7" i="8"/>
  <c r="Q6" i="8"/>
  <c r="Q5" i="8"/>
  <c r="Q58" i="2"/>
  <c r="Q4" i="8"/>
  <c r="K114" i="4" l="1"/>
  <c r="L7" i="8"/>
  <c r="L4" i="8"/>
  <c r="H5" i="8"/>
  <c r="N4" i="8"/>
  <c r="H6" i="8"/>
  <c r="L6" i="8"/>
  <c r="L5" i="8"/>
  <c r="P6" i="8"/>
  <c r="N6" i="8"/>
  <c r="H7" i="8"/>
  <c r="P5" i="8"/>
  <c r="N5" i="8"/>
  <c r="P7" i="8"/>
  <c r="N7" i="8"/>
  <c r="J58" i="2"/>
  <c r="D25" i="4"/>
  <c r="C146" i="5"/>
  <c r="C145" i="5" s="1"/>
  <c r="K145" i="5" s="1"/>
  <c r="J191" i="2"/>
  <c r="F6" i="8"/>
  <c r="E128" i="5"/>
  <c r="M197" i="2"/>
  <c r="G191" i="2"/>
  <c r="G142" i="4" s="1"/>
  <c r="K197" i="2"/>
  <c r="I145" i="4" s="1"/>
  <c r="M127" i="4"/>
  <c r="F114" i="4"/>
  <c r="J118" i="4"/>
  <c r="F122" i="5" s="1"/>
  <c r="L123" i="4"/>
  <c r="H127" i="5" s="1"/>
  <c r="J121" i="4"/>
  <c r="F125" i="5" s="1"/>
  <c r="M124" i="4"/>
  <c r="I128" i="5" s="1"/>
  <c r="E191" i="2"/>
  <c r="F142" i="4" s="1"/>
  <c r="E146" i="5" s="1"/>
  <c r="E145" i="5" s="1"/>
  <c r="J116" i="4"/>
  <c r="F120" i="5" s="1"/>
  <c r="J124" i="4"/>
  <c r="G197" i="2"/>
  <c r="G145" i="4" s="1"/>
  <c r="C128" i="5"/>
  <c r="J125" i="4"/>
  <c r="F129" i="5" s="1"/>
  <c r="J126" i="4"/>
  <c r="F130" i="5" s="1"/>
  <c r="L121" i="4"/>
  <c r="H125" i="5" s="1"/>
  <c r="E119" i="5"/>
  <c r="E197" i="2"/>
  <c r="F145" i="4" s="1"/>
  <c r="E149" i="5" s="1"/>
  <c r="E148" i="5" s="1"/>
  <c r="E147" i="5" s="1"/>
  <c r="G33" i="2"/>
  <c r="G52" i="2"/>
  <c r="J93" i="4"/>
  <c r="F97" i="5" s="1"/>
  <c r="J101" i="4"/>
  <c r="F105" i="5" s="1"/>
  <c r="J111" i="4"/>
  <c r="F115" i="5" s="1"/>
  <c r="J119" i="4"/>
  <c r="F123" i="5" s="1"/>
  <c r="J127" i="4"/>
  <c r="J140" i="4"/>
  <c r="F144" i="5" s="1"/>
  <c r="K27" i="2"/>
  <c r="K46" i="2"/>
  <c r="K165" i="2"/>
  <c r="I131" i="4" s="1"/>
  <c r="L133" i="4"/>
  <c r="H137" i="5" s="1"/>
  <c r="L141" i="4"/>
  <c r="H145" i="5" s="1"/>
  <c r="L118" i="4"/>
  <c r="H122" i="5" s="1"/>
  <c r="J120" i="4"/>
  <c r="F124" i="5" s="1"/>
  <c r="J141" i="4"/>
  <c r="I114" i="4"/>
  <c r="M52" i="2"/>
  <c r="R5" i="8"/>
  <c r="F132" i="4"/>
  <c r="E136" i="5" s="1"/>
  <c r="J134" i="4"/>
  <c r="F138" i="5" s="1"/>
  <c r="F137" i="5" s="1"/>
  <c r="L124" i="4"/>
  <c r="H128" i="5" s="1"/>
  <c r="J7" i="8"/>
  <c r="C27" i="2"/>
  <c r="C46" i="2"/>
  <c r="C165" i="2"/>
  <c r="D131" i="4" s="1"/>
  <c r="L135" i="4"/>
  <c r="H139" i="5" s="1"/>
  <c r="J133" i="4"/>
  <c r="J95" i="4"/>
  <c r="F99" i="5" s="1"/>
  <c r="M33" i="2"/>
  <c r="L116" i="4"/>
  <c r="H120" i="5" s="1"/>
  <c r="E33" i="2"/>
  <c r="E52" i="2"/>
  <c r="F5" i="8"/>
  <c r="E104" i="5"/>
  <c r="G27" i="2"/>
  <c r="G46" i="2"/>
  <c r="G165" i="2"/>
  <c r="G131" i="4" s="1"/>
  <c r="J135" i="4"/>
  <c r="K40" i="2"/>
  <c r="I22" i="4" s="1"/>
  <c r="J117" i="4"/>
  <c r="F121" i="5" s="1"/>
  <c r="H114" i="4"/>
  <c r="M191" i="2"/>
  <c r="L115" i="4"/>
  <c r="H119" i="5" s="1"/>
  <c r="L126" i="4"/>
  <c r="H130" i="5" s="1"/>
  <c r="J110" i="4"/>
  <c r="F114" i="5" s="1"/>
  <c r="E40" i="2"/>
  <c r="F22" i="4" s="1"/>
  <c r="E26" i="5" s="1"/>
  <c r="J128" i="4"/>
  <c r="F132" i="5" s="1"/>
  <c r="F131" i="5" s="1"/>
  <c r="J123" i="4"/>
  <c r="F127" i="5" s="1"/>
  <c r="M165" i="2"/>
  <c r="M92" i="4"/>
  <c r="M100" i="4"/>
  <c r="D145" i="4"/>
  <c r="L105" i="4"/>
  <c r="H109" i="5" s="1"/>
  <c r="J105" i="4"/>
  <c r="G163" i="2"/>
  <c r="G130" i="4"/>
  <c r="L122" i="4"/>
  <c r="H126" i="5" s="1"/>
  <c r="J106" i="4"/>
  <c r="F110" i="5" s="1"/>
  <c r="E195" i="2"/>
  <c r="E9" i="8" s="1"/>
  <c r="F144" i="4"/>
  <c r="F143" i="4" s="1"/>
  <c r="L92" i="4"/>
  <c r="J92" i="4"/>
  <c r="L100" i="4"/>
  <c r="H104" i="5" s="1"/>
  <c r="J100" i="4"/>
  <c r="G132" i="4"/>
  <c r="K163" i="2"/>
  <c r="I130" i="4"/>
  <c r="K191" i="2"/>
  <c r="I142" i="4" s="1"/>
  <c r="J5" i="8"/>
  <c r="M40" i="2"/>
  <c r="C33" i="2"/>
  <c r="C52" i="2"/>
  <c r="C97" i="5"/>
  <c r="L93" i="4"/>
  <c r="L101" i="4"/>
  <c r="H105" i="5" s="1"/>
  <c r="C105" i="5"/>
  <c r="C104" i="5" s="1"/>
  <c r="C115" i="5"/>
  <c r="L111" i="4"/>
  <c r="H115" i="5" s="1"/>
  <c r="D114" i="4"/>
  <c r="L134" i="4"/>
  <c r="H138" i="5" s="1"/>
  <c r="C99" i="5"/>
  <c r="L95" i="4"/>
  <c r="L127" i="4"/>
  <c r="L102" i="4"/>
  <c r="H106" i="5" s="1"/>
  <c r="J102" i="4"/>
  <c r="F106" i="5" s="1"/>
  <c r="C117" i="5"/>
  <c r="L113" i="4"/>
  <c r="H117" i="5" s="1"/>
  <c r="E96" i="5"/>
  <c r="C111" i="5"/>
  <c r="L107" i="4"/>
  <c r="H111" i="5" s="1"/>
  <c r="L120" i="4"/>
  <c r="H124" i="5" s="1"/>
  <c r="L140" i="4"/>
  <c r="H144" i="5" s="1"/>
  <c r="L112" i="4"/>
  <c r="H116" i="5" s="1"/>
  <c r="J112" i="4"/>
  <c r="F116" i="5" s="1"/>
  <c r="K195" i="2"/>
  <c r="K9" i="8" s="1"/>
  <c r="I144" i="4"/>
  <c r="I143" i="4" s="1"/>
  <c r="C163" i="2"/>
  <c r="C203" i="2" s="1"/>
  <c r="J113" i="4"/>
  <c r="F117" i="5" s="1"/>
  <c r="L96" i="4"/>
  <c r="J96" i="4"/>
  <c r="F100" i="5" s="1"/>
  <c r="C101" i="5"/>
  <c r="L97" i="4"/>
  <c r="L128" i="4"/>
  <c r="H132" i="5" s="1"/>
  <c r="J97" i="4"/>
  <c r="F101" i="5" s="1"/>
  <c r="J107" i="4"/>
  <c r="F111" i="5" s="1"/>
  <c r="J115" i="4"/>
  <c r="G195" i="2"/>
  <c r="G9" i="8" s="1"/>
  <c r="G144" i="4"/>
  <c r="I132" i="4"/>
  <c r="I4" i="8"/>
  <c r="J4" i="8" s="1"/>
  <c r="G7" i="1"/>
  <c r="J6" i="8"/>
  <c r="M27" i="2"/>
  <c r="M46" i="2"/>
  <c r="C102" i="5"/>
  <c r="L98" i="4"/>
  <c r="C119" i="5"/>
  <c r="C110" i="5"/>
  <c r="L106" i="4"/>
  <c r="H110" i="5" s="1"/>
  <c r="J122" i="4"/>
  <c r="F126" i="5" s="1"/>
  <c r="M163" i="2"/>
  <c r="E163" i="2"/>
  <c r="F130" i="4"/>
  <c r="J66" i="4"/>
  <c r="F70" i="5" s="1"/>
  <c r="J98" i="4"/>
  <c r="F102" i="5" s="1"/>
  <c r="L108" i="4"/>
  <c r="H112" i="5" s="1"/>
  <c r="J108" i="4"/>
  <c r="F112" i="5" s="1"/>
  <c r="K33" i="2"/>
  <c r="K52" i="2"/>
  <c r="J99" i="4"/>
  <c r="F103" i="5" s="1"/>
  <c r="C40" i="2"/>
  <c r="D22" i="4" s="1"/>
  <c r="L91" i="4"/>
  <c r="C95" i="5"/>
  <c r="C103" i="5"/>
  <c r="L99" i="4"/>
  <c r="H103" i="5" s="1"/>
  <c r="C113" i="5"/>
  <c r="L109" i="4"/>
  <c r="H113" i="5" s="1"/>
  <c r="L119" i="4"/>
  <c r="H123" i="5" s="1"/>
  <c r="G114" i="4"/>
  <c r="C98" i="5"/>
  <c r="L94" i="4"/>
  <c r="J94" i="4"/>
  <c r="F98" i="5" s="1"/>
  <c r="E27" i="2"/>
  <c r="E46" i="2"/>
  <c r="E109" i="5"/>
  <c r="F7" i="8"/>
  <c r="E165" i="2"/>
  <c r="F131" i="4" s="1"/>
  <c r="E135" i="5" s="1"/>
  <c r="G40" i="2"/>
  <c r="G22" i="4" s="1"/>
  <c r="J67" i="4"/>
  <c r="F71" i="5" s="1"/>
  <c r="J91" i="4"/>
  <c r="F95" i="5" s="1"/>
  <c r="J109" i="4"/>
  <c r="F113" i="5" s="1"/>
  <c r="C114" i="5"/>
  <c r="L110" i="4"/>
  <c r="H114" i="5" s="1"/>
  <c r="D132" i="4"/>
  <c r="L125" i="4"/>
  <c r="H129" i="5" s="1"/>
  <c r="L117" i="4"/>
  <c r="H121" i="5" s="1"/>
  <c r="O4" i="8"/>
  <c r="D4" i="8"/>
  <c r="D104" i="5"/>
  <c r="G128" i="5"/>
  <c r="D128" i="5"/>
  <c r="G119" i="5"/>
  <c r="D119" i="5"/>
  <c r="D109" i="5"/>
  <c r="D96" i="5"/>
  <c r="M113" i="4"/>
  <c r="I117" i="5" s="1"/>
  <c r="G117" i="5"/>
  <c r="M112" i="4"/>
  <c r="I116" i="5" s="1"/>
  <c r="G116" i="5"/>
  <c r="M111" i="4"/>
  <c r="I115" i="5" s="1"/>
  <c r="G115" i="5"/>
  <c r="M110" i="4"/>
  <c r="I114" i="5" s="1"/>
  <c r="G114" i="5"/>
  <c r="M109" i="4"/>
  <c r="I113" i="5" s="1"/>
  <c r="G113" i="5"/>
  <c r="M108" i="4"/>
  <c r="I112" i="5" s="1"/>
  <c r="G112" i="5"/>
  <c r="M107" i="4"/>
  <c r="I111" i="5" s="1"/>
  <c r="G111" i="5"/>
  <c r="M106" i="4"/>
  <c r="I110" i="5" s="1"/>
  <c r="G110" i="5"/>
  <c r="M102" i="4"/>
  <c r="G106" i="5"/>
  <c r="M101" i="4"/>
  <c r="G105" i="5"/>
  <c r="M99" i="4"/>
  <c r="G103" i="5"/>
  <c r="M98" i="4"/>
  <c r="G102" i="5"/>
  <c r="M97" i="4"/>
  <c r="G101" i="5"/>
  <c r="M96" i="4"/>
  <c r="G100" i="5"/>
  <c r="M95" i="4"/>
  <c r="G99" i="5"/>
  <c r="M94" i="4"/>
  <c r="G98" i="5"/>
  <c r="M93" i="4"/>
  <c r="G97" i="5"/>
  <c r="M91" i="4"/>
  <c r="G95" i="5"/>
  <c r="K105" i="4"/>
  <c r="M105" i="4" s="1"/>
  <c r="I109" i="5" s="1"/>
  <c r="M140" i="4"/>
  <c r="I144" i="5" s="1"/>
  <c r="M141" i="4"/>
  <c r="I145" i="5" s="1"/>
  <c r="M135" i="4"/>
  <c r="I139" i="5" s="1"/>
  <c r="M134" i="4"/>
  <c r="I138" i="5" s="1"/>
  <c r="M133" i="4"/>
  <c r="I137" i="5" s="1"/>
  <c r="M128" i="4"/>
  <c r="I132" i="5" s="1"/>
  <c r="M126" i="4"/>
  <c r="I130" i="5" s="1"/>
  <c r="M125" i="4"/>
  <c r="I129" i="5" s="1"/>
  <c r="M123" i="4"/>
  <c r="I127" i="5" s="1"/>
  <c r="M122" i="4"/>
  <c r="I126" i="5" s="1"/>
  <c r="M121" i="4"/>
  <c r="I125" i="5" s="1"/>
  <c r="M120" i="4"/>
  <c r="I124" i="5" s="1"/>
  <c r="M119" i="4"/>
  <c r="I123" i="5" s="1"/>
  <c r="M118" i="4"/>
  <c r="I122" i="5" s="1"/>
  <c r="M117" i="4"/>
  <c r="I121" i="5" s="1"/>
  <c r="M116" i="4"/>
  <c r="I120" i="5" s="1"/>
  <c r="Q197" i="2"/>
  <c r="O197" i="2"/>
  <c r="K145" i="4" s="1"/>
  <c r="G149" i="5" s="1"/>
  <c r="D197" i="2"/>
  <c r="E145" i="4" s="1"/>
  <c r="D149" i="5" s="1"/>
  <c r="D148" i="5" s="1"/>
  <c r="D147" i="5" s="1"/>
  <c r="Q191" i="2"/>
  <c r="O191" i="2"/>
  <c r="K142" i="4" s="1"/>
  <c r="G146" i="5" s="1"/>
  <c r="G145" i="5" s="1"/>
  <c r="D191" i="2"/>
  <c r="E142" i="4" s="1"/>
  <c r="D146" i="5" s="1"/>
  <c r="D145" i="5" s="1"/>
  <c r="K132" i="4"/>
  <c r="G136" i="5" s="1"/>
  <c r="E132" i="4"/>
  <c r="D136" i="5" s="1"/>
  <c r="Q165" i="2"/>
  <c r="O165" i="2"/>
  <c r="K131" i="4" s="1"/>
  <c r="G135" i="5" s="1"/>
  <c r="D165" i="2"/>
  <c r="E131" i="4" s="1"/>
  <c r="D135" i="5" s="1"/>
  <c r="Q52" i="2"/>
  <c r="O52" i="2"/>
  <c r="D52" i="2"/>
  <c r="Q27" i="2"/>
  <c r="O33" i="2"/>
  <c r="O27" i="2"/>
  <c r="D27" i="2"/>
  <c r="Q33" i="2"/>
  <c r="D33" i="2"/>
  <c r="Q46" i="2"/>
  <c r="O46" i="2"/>
  <c r="D46" i="2"/>
  <c r="Q40" i="2"/>
  <c r="O40" i="2"/>
  <c r="K22" i="4" s="1"/>
  <c r="G26" i="5" s="1"/>
  <c r="D40" i="2"/>
  <c r="E22" i="4" s="1"/>
  <c r="D26" i="5" s="1"/>
  <c r="Q163" i="2"/>
  <c r="K130" i="4"/>
  <c r="O163" i="2"/>
  <c r="E130" i="4"/>
  <c r="D163" i="2"/>
  <c r="K144" i="4"/>
  <c r="O195" i="2"/>
  <c r="O9" i="8" s="1"/>
  <c r="E144" i="4"/>
  <c r="E143" i="4" s="1"/>
  <c r="D195" i="2"/>
  <c r="D9" i="8" s="1"/>
  <c r="E114" i="4"/>
  <c r="M115" i="4"/>
  <c r="I119" i="5" s="1"/>
  <c r="AL7" i="11"/>
  <c r="AL8" i="11"/>
  <c r="AL9" i="11"/>
  <c r="AL10" i="11"/>
  <c r="AL6" i="11"/>
  <c r="K203" i="2" l="1"/>
  <c r="L203" i="2" s="1"/>
  <c r="I11" i="8"/>
  <c r="Q8" i="8"/>
  <c r="Q11" i="8" s="1"/>
  <c r="Q203" i="2"/>
  <c r="O8" i="8"/>
  <c r="O203" i="2"/>
  <c r="G8" i="8"/>
  <c r="G203" i="2"/>
  <c r="M8" i="8"/>
  <c r="M203" i="2"/>
  <c r="K8" i="8"/>
  <c r="E8" i="8"/>
  <c r="E11" i="8" s="1"/>
  <c r="E203" i="2"/>
  <c r="D8" i="8"/>
  <c r="D11" i="8" s="1"/>
  <c r="D203" i="2"/>
  <c r="G19" i="1"/>
  <c r="C204" i="2"/>
  <c r="J33" i="2"/>
  <c r="D20" i="4"/>
  <c r="J46" i="2"/>
  <c r="D23" i="4"/>
  <c r="J27" i="2"/>
  <c r="D19" i="4"/>
  <c r="J52" i="2"/>
  <c r="D24" i="4"/>
  <c r="C135" i="5"/>
  <c r="J165" i="2"/>
  <c r="C26" i="5"/>
  <c r="J40" i="2"/>
  <c r="C149" i="5"/>
  <c r="C148" i="5" s="1"/>
  <c r="C147" i="5" s="1"/>
  <c r="J197" i="2"/>
  <c r="C9" i="8"/>
  <c r="N9" i="8" s="1"/>
  <c r="J195" i="2"/>
  <c r="M132" i="4"/>
  <c r="I136" i="5" s="1"/>
  <c r="J170" i="2"/>
  <c r="C8" i="8"/>
  <c r="J163" i="2"/>
  <c r="E118" i="5"/>
  <c r="C118" i="5"/>
  <c r="K118" i="5" s="1"/>
  <c r="J114" i="4"/>
  <c r="J145" i="4"/>
  <c r="F149" i="5" s="1"/>
  <c r="F148" i="5" s="1"/>
  <c r="F147" i="5" s="1"/>
  <c r="J142" i="4"/>
  <c r="F146" i="5" s="1"/>
  <c r="F145" i="5" s="1"/>
  <c r="J131" i="4"/>
  <c r="F135" i="5" s="1"/>
  <c r="L142" i="4"/>
  <c r="H146" i="5" s="1"/>
  <c r="E134" i="5"/>
  <c r="F119" i="5"/>
  <c r="F104" i="5"/>
  <c r="J130" i="4"/>
  <c r="L130" i="4"/>
  <c r="H134" i="5" s="1"/>
  <c r="L114" i="4"/>
  <c r="H118" i="5" s="1"/>
  <c r="F96" i="5"/>
  <c r="J22" i="4"/>
  <c r="F26" i="5" s="1"/>
  <c r="F128" i="5"/>
  <c r="C96" i="5"/>
  <c r="F109" i="5"/>
  <c r="D143" i="4"/>
  <c r="L144" i="4"/>
  <c r="H148" i="5" s="1"/>
  <c r="J132" i="4"/>
  <c r="F136" i="5" s="1"/>
  <c r="C136" i="5"/>
  <c r="L132" i="4"/>
  <c r="H136" i="5" s="1"/>
  <c r="C109" i="5"/>
  <c r="G143" i="4"/>
  <c r="J144" i="4"/>
  <c r="J143" i="4" s="1"/>
  <c r="D134" i="5"/>
  <c r="G134" i="5"/>
  <c r="G104" i="5"/>
  <c r="G109" i="5"/>
  <c r="G96" i="5"/>
  <c r="M144" i="4"/>
  <c r="I148" i="5" s="1"/>
  <c r="K143" i="4"/>
  <c r="G148" i="5"/>
  <c r="G147" i="5" s="1"/>
  <c r="M142" i="4"/>
  <c r="I146" i="5" s="1"/>
  <c r="M130" i="4"/>
  <c r="I134" i="5" s="1"/>
  <c r="AK7" i="11"/>
  <c r="AK8" i="11"/>
  <c r="AK9" i="11"/>
  <c r="AK10" i="11"/>
  <c r="AK6" i="11"/>
  <c r="P8" i="8" l="1"/>
  <c r="N8" i="8"/>
  <c r="P9" i="8"/>
  <c r="H8" i="8"/>
  <c r="H9" i="8"/>
  <c r="L8" i="8"/>
  <c r="L9" i="8"/>
  <c r="K11" i="8"/>
  <c r="M11" i="8"/>
  <c r="K147" i="5"/>
  <c r="G11" i="8"/>
  <c r="F9" i="8"/>
  <c r="F8" i="8"/>
  <c r="C11" i="8"/>
  <c r="R11" i="8" s="1"/>
  <c r="O11" i="8"/>
  <c r="J8" i="8"/>
  <c r="C134" i="5"/>
  <c r="K134" i="5" s="1"/>
  <c r="L131" i="4"/>
  <c r="H135" i="5" s="1"/>
  <c r="M131" i="4"/>
  <c r="I135" i="5" s="1"/>
  <c r="L145" i="4"/>
  <c r="H149" i="5" s="1"/>
  <c r="M145" i="4"/>
  <c r="I149" i="5" s="1"/>
  <c r="F134" i="5"/>
  <c r="F118" i="5"/>
  <c r="L143" i="4"/>
  <c r="H147" i="5" s="1"/>
  <c r="B25" i="9" l="1"/>
  <c r="C25" i="9"/>
  <c r="AJ7" i="11"/>
  <c r="AJ8" i="11"/>
  <c r="AJ9" i="11"/>
  <c r="AJ10" i="11"/>
  <c r="AJ6" i="11"/>
  <c r="AI6" i="11"/>
  <c r="F12" i="11"/>
  <c r="AI7" i="11" l="1"/>
  <c r="AI8" i="11"/>
  <c r="AI9" i="11"/>
  <c r="AI10" i="11"/>
  <c r="AH7" i="11"/>
  <c r="AH8" i="11"/>
  <c r="AH9" i="11"/>
  <c r="AH10" i="11"/>
  <c r="AH6" i="11"/>
  <c r="D12" i="11" l="1"/>
  <c r="AI5" i="11"/>
  <c r="AH5" i="11" l="1"/>
  <c r="C12" i="11" l="1"/>
  <c r="B12" i="11" l="1"/>
  <c r="A1" i="8" l="1"/>
  <c r="A2" i="11" l="1"/>
  <c r="R6" i="8"/>
  <c r="R7" i="8"/>
  <c r="R4" i="8"/>
  <c r="H4" i="8"/>
  <c r="F4" i="8"/>
  <c r="R8" i="8"/>
  <c r="P4" i="8"/>
  <c r="R9" i="8"/>
  <c r="D14" i="8" l="1"/>
  <c r="C14" i="8" s="1"/>
  <c r="P11" i="8"/>
  <c r="D25" i="9" s="1"/>
  <c r="H11" i="8"/>
  <c r="L11" i="8"/>
  <c r="N11" i="8"/>
  <c r="J11" i="8"/>
  <c r="F11" i="8"/>
  <c r="D16" i="8"/>
  <c r="C16" i="8" s="1"/>
  <c r="D18" i="8"/>
  <c r="C18" i="8" s="1"/>
  <c r="D22" i="8"/>
  <c r="C22" i="8" s="1"/>
  <c r="D23" i="8"/>
  <c r="C23" i="8" s="1"/>
  <c r="D17" i="8"/>
  <c r="C17" i="8" s="1"/>
  <c r="D21" i="8"/>
  <c r="C21" i="8" s="1"/>
  <c r="D15" i="8"/>
  <c r="C15" i="8" s="1"/>
  <c r="D19" i="8" l="1"/>
  <c r="C19" i="8"/>
  <c r="D5" i="6" l="1"/>
  <c r="C21" i="6" l="1"/>
  <c r="D21" i="6"/>
  <c r="B21" i="6"/>
  <c r="E21" i="6" l="1"/>
  <c r="D20" i="6"/>
  <c r="C20" i="6"/>
  <c r="B20" i="6"/>
  <c r="D19" i="6"/>
  <c r="C19" i="6"/>
  <c r="B19" i="6"/>
  <c r="D18" i="6"/>
  <c r="C18" i="6"/>
  <c r="B18" i="6"/>
  <c r="E19" i="6" l="1"/>
  <c r="E18" i="6"/>
  <c r="E20" i="6"/>
  <c r="D22" i="6" l="1"/>
  <c r="B22" i="6" l="1"/>
  <c r="C22" i="6"/>
  <c r="E22" i="6"/>
  <c r="D7" i="6" l="1"/>
  <c r="D6" i="6"/>
  <c r="D4" i="6"/>
  <c r="L199" i="2" l="1"/>
  <c r="N199" i="2"/>
  <c r="P199" i="2"/>
  <c r="R199" i="2"/>
  <c r="N191" i="2"/>
  <c r="R191" i="2"/>
  <c r="R192" i="2"/>
  <c r="R194" i="2"/>
  <c r="H195" i="2"/>
  <c r="R196" i="2"/>
  <c r="R197" i="2"/>
  <c r="R198" i="2"/>
  <c r="L50" i="2"/>
  <c r="N50" i="2"/>
  <c r="P50" i="2"/>
  <c r="R50" i="2"/>
  <c r="N51" i="2"/>
  <c r="R51" i="2"/>
  <c r="R52" i="2"/>
  <c r="R53" i="2"/>
  <c r="H54" i="2"/>
  <c r="R54" i="2"/>
  <c r="R55" i="2"/>
  <c r="R56" i="2"/>
  <c r="L58" i="2"/>
  <c r="N58" i="2"/>
  <c r="P58" i="2"/>
  <c r="R58" i="2"/>
  <c r="N59" i="2"/>
  <c r="R59" i="2"/>
  <c r="R60" i="2"/>
  <c r="R61" i="2"/>
  <c r="H62" i="2"/>
  <c r="R62" i="2"/>
  <c r="L66" i="2"/>
  <c r="N66" i="2"/>
  <c r="P66" i="2"/>
  <c r="R66" i="2"/>
  <c r="N67" i="2"/>
  <c r="R67" i="2"/>
  <c r="R68" i="2"/>
  <c r="R69" i="2"/>
  <c r="H70" i="2"/>
  <c r="R72" i="2"/>
  <c r="R73" i="2"/>
  <c r="L74" i="2"/>
  <c r="N74" i="2"/>
  <c r="P74" i="2"/>
  <c r="R74" i="2"/>
  <c r="N75" i="2"/>
  <c r="R75" i="2"/>
  <c r="R76" i="2"/>
  <c r="H78" i="2"/>
  <c r="R78" i="2"/>
  <c r="R79" i="2"/>
  <c r="R81" i="2"/>
  <c r="L82" i="2"/>
  <c r="N82" i="2"/>
  <c r="P82" i="2"/>
  <c r="R82" i="2"/>
  <c r="N83" i="2"/>
  <c r="R83" i="2"/>
  <c r="R84" i="2"/>
  <c r="R85" i="2"/>
  <c r="H86" i="2"/>
  <c r="R86" i="2"/>
  <c r="R87" i="2"/>
  <c r="R89" i="2"/>
  <c r="L90" i="2"/>
  <c r="N90" i="2"/>
  <c r="P90" i="2"/>
  <c r="R90" i="2"/>
  <c r="N91" i="2"/>
  <c r="R91" i="2"/>
  <c r="R92" i="2"/>
  <c r="R93" i="2"/>
  <c r="H94" i="2"/>
  <c r="R94" i="2"/>
  <c r="R95" i="2"/>
  <c r="R96" i="2"/>
  <c r="R98" i="2"/>
  <c r="L99" i="2"/>
  <c r="N99" i="2"/>
  <c r="P99" i="2"/>
  <c r="R99" i="2"/>
  <c r="N100" i="2"/>
  <c r="R100" i="2"/>
  <c r="R101" i="2"/>
  <c r="R102" i="2"/>
  <c r="H103" i="2"/>
  <c r="R103" i="2"/>
  <c r="L107" i="2"/>
  <c r="N107" i="2"/>
  <c r="P107" i="2"/>
  <c r="R107" i="2"/>
  <c r="N108" i="2"/>
  <c r="R108" i="2"/>
  <c r="H109" i="2"/>
  <c r="R110" i="2"/>
  <c r="H111" i="2"/>
  <c r="R113" i="2"/>
  <c r="R114" i="2"/>
  <c r="L115" i="2"/>
  <c r="N115" i="2"/>
  <c r="P115" i="2"/>
  <c r="R115" i="2"/>
  <c r="N116" i="2"/>
  <c r="R116" i="2"/>
  <c r="H117" i="2"/>
  <c r="R117" i="2"/>
  <c r="R118" i="2"/>
  <c r="H119" i="2"/>
  <c r="R119" i="2"/>
  <c r="R122" i="2"/>
  <c r="L123" i="2"/>
  <c r="N123" i="2"/>
  <c r="P123" i="2"/>
  <c r="R123" i="2"/>
  <c r="N124" i="2"/>
  <c r="R124" i="2"/>
  <c r="H125" i="2"/>
  <c r="R125" i="2"/>
  <c r="H127" i="2"/>
  <c r="R127" i="2"/>
  <c r="R128" i="2"/>
  <c r="R129" i="2"/>
  <c r="R130" i="2"/>
  <c r="L131" i="2"/>
  <c r="N131" i="2"/>
  <c r="P131" i="2"/>
  <c r="R131" i="2"/>
  <c r="N132" i="2"/>
  <c r="R132" i="2"/>
  <c r="H133" i="2"/>
  <c r="L133" i="2"/>
  <c r="R133" i="2"/>
  <c r="R134" i="2"/>
  <c r="H135" i="2"/>
  <c r="R136" i="2"/>
  <c r="R139" i="2"/>
  <c r="R140" i="2"/>
  <c r="L141" i="2"/>
  <c r="N141" i="2"/>
  <c r="P141" i="2"/>
  <c r="R141" i="2"/>
  <c r="N142" i="2"/>
  <c r="R142" i="2"/>
  <c r="H143" i="2"/>
  <c r="L143" i="2"/>
  <c r="R143" i="2"/>
  <c r="R144" i="2"/>
  <c r="H145" i="2"/>
  <c r="R147" i="2"/>
  <c r="L149" i="2"/>
  <c r="N149" i="2"/>
  <c r="P149" i="2"/>
  <c r="R149" i="2"/>
  <c r="N150" i="2"/>
  <c r="R150" i="2"/>
  <c r="H151" i="2"/>
  <c r="L151" i="2"/>
  <c r="R151" i="2"/>
  <c r="R152" i="2"/>
  <c r="H153" i="2"/>
  <c r="R153" i="2"/>
  <c r="R154" i="2"/>
  <c r="R156" i="2"/>
  <c r="L157" i="2"/>
  <c r="N157" i="2"/>
  <c r="P157" i="2"/>
  <c r="R157" i="2"/>
  <c r="N158" i="2"/>
  <c r="R158" i="2"/>
  <c r="H159" i="2"/>
  <c r="L159" i="2"/>
  <c r="R159" i="2"/>
  <c r="R160" i="2"/>
  <c r="H161" i="2"/>
  <c r="R162" i="2"/>
  <c r="R163" i="2"/>
  <c r="R164" i="2"/>
  <c r="L165" i="2"/>
  <c r="N165" i="2"/>
  <c r="P165" i="2"/>
  <c r="R165" i="2"/>
  <c r="N166" i="2"/>
  <c r="R166" i="2"/>
  <c r="H167" i="2"/>
  <c r="L167" i="2"/>
  <c r="R167" i="2"/>
  <c r="R168" i="2"/>
  <c r="H169" i="2"/>
  <c r="R171" i="2"/>
  <c r="R172" i="2"/>
  <c r="L173" i="2"/>
  <c r="N173" i="2"/>
  <c r="P173" i="2"/>
  <c r="R173" i="2"/>
  <c r="N174" i="2"/>
  <c r="R174" i="2"/>
  <c r="H175" i="2"/>
  <c r="L175" i="2"/>
  <c r="R175" i="2"/>
  <c r="R176" i="2"/>
  <c r="H177" i="2"/>
  <c r="R179" i="2"/>
  <c r="R180" i="2"/>
  <c r="L182" i="2"/>
  <c r="N182" i="2"/>
  <c r="P182" i="2"/>
  <c r="R182" i="2"/>
  <c r="N183" i="2"/>
  <c r="R183" i="2"/>
  <c r="H184" i="2"/>
  <c r="L184" i="2"/>
  <c r="R184" i="2"/>
  <c r="R185" i="2"/>
  <c r="H186" i="2"/>
  <c r="R186" i="2"/>
  <c r="R187" i="2"/>
  <c r="R188" i="2"/>
  <c r="R189" i="2"/>
  <c r="L190" i="2"/>
  <c r="N190" i="2"/>
  <c r="P190" i="2"/>
  <c r="R190" i="2"/>
  <c r="R106" i="2" l="1"/>
  <c r="R57" i="2"/>
  <c r="R112" i="2"/>
  <c r="R126" i="2"/>
  <c r="R148" i="2"/>
  <c r="H185" i="2"/>
  <c r="H176" i="2"/>
  <c r="H69" i="2"/>
  <c r="H61" i="2"/>
  <c r="H53" i="2"/>
  <c r="H194" i="2"/>
  <c r="F185" i="2"/>
  <c r="F176" i="2"/>
  <c r="F168" i="2"/>
  <c r="F160" i="2"/>
  <c r="F152" i="2"/>
  <c r="F144" i="2"/>
  <c r="F134" i="2"/>
  <c r="F126" i="2"/>
  <c r="F118" i="2"/>
  <c r="F110" i="2"/>
  <c r="F102" i="2"/>
  <c r="H101" i="2"/>
  <c r="F93" i="2"/>
  <c r="H92" i="2"/>
  <c r="F85" i="2"/>
  <c r="H84" i="2"/>
  <c r="F77" i="2"/>
  <c r="H76" i="2"/>
  <c r="F69" i="2"/>
  <c r="H68" i="2"/>
  <c r="F61" i="2"/>
  <c r="H60" i="2"/>
  <c r="F53" i="2"/>
  <c r="H52" i="2"/>
  <c r="F194" i="2"/>
  <c r="H192" i="2"/>
  <c r="F184" i="2"/>
  <c r="F175" i="2"/>
  <c r="F167" i="2"/>
  <c r="F159" i="2"/>
  <c r="F151" i="2"/>
  <c r="F143" i="2"/>
  <c r="H75" i="2"/>
  <c r="H67" i="2"/>
  <c r="H59" i="2"/>
  <c r="H51" i="2"/>
  <c r="H191" i="2"/>
  <c r="R77" i="2"/>
  <c r="N77" i="2"/>
  <c r="N69" i="2"/>
  <c r="N61" i="2"/>
  <c r="N53" i="2"/>
  <c r="R109" i="2"/>
  <c r="L61" i="2"/>
  <c r="L194" i="2"/>
  <c r="H168" i="2"/>
  <c r="H77" i="2"/>
  <c r="L191" i="2"/>
  <c r="H183" i="2"/>
  <c r="H166" i="2"/>
  <c r="H150" i="2"/>
  <c r="H142" i="2"/>
  <c r="H116" i="2"/>
  <c r="H91" i="2"/>
  <c r="H174" i="2"/>
  <c r="H158" i="2"/>
  <c r="H132" i="2"/>
  <c r="H124" i="2"/>
  <c r="H108" i="2"/>
  <c r="H100" i="2"/>
  <c r="H83" i="2"/>
  <c r="L69" i="2"/>
  <c r="L53" i="2"/>
  <c r="P191" i="2"/>
  <c r="R104" i="2"/>
  <c r="R80" i="2"/>
  <c r="R145" i="2"/>
  <c r="R120" i="2"/>
  <c r="R71" i="2"/>
  <c r="R135" i="2"/>
  <c r="R64" i="2"/>
  <c r="R88" i="2"/>
  <c r="P85" i="2"/>
  <c r="P77" i="2"/>
  <c r="P69" i="2"/>
  <c r="P61" i="2"/>
  <c r="P53" i="2"/>
  <c r="P194" i="2"/>
  <c r="F199" i="2"/>
  <c r="N194" i="2"/>
  <c r="R155" i="2"/>
  <c r="R178" i="2"/>
  <c r="R146" i="2"/>
  <c r="R63" i="2"/>
  <c r="R169" i="2"/>
  <c r="R111" i="2"/>
  <c r="R105" i="2"/>
  <c r="R161" i="2"/>
  <c r="N93" i="2"/>
  <c r="N85" i="2"/>
  <c r="R65" i="2"/>
  <c r="L176" i="2"/>
  <c r="L168" i="2"/>
  <c r="L93" i="2"/>
  <c r="L85" i="2"/>
  <c r="L77" i="2"/>
  <c r="N189" i="2"/>
  <c r="N156" i="2"/>
  <c r="N114" i="2"/>
  <c r="N106" i="2"/>
  <c r="P171" i="2"/>
  <c r="P163" i="2"/>
  <c r="N148" i="2"/>
  <c r="P139" i="2"/>
  <c r="P129" i="2"/>
  <c r="P121" i="2"/>
  <c r="P113" i="2"/>
  <c r="R121" i="2"/>
  <c r="P188" i="2"/>
  <c r="N180" i="2"/>
  <c r="P155" i="2"/>
  <c r="P147" i="2"/>
  <c r="N140" i="2"/>
  <c r="N130" i="2"/>
  <c r="N122" i="2"/>
  <c r="P105" i="2"/>
  <c r="P179" i="2"/>
  <c r="N172" i="2"/>
  <c r="N164" i="2"/>
  <c r="P96" i="2"/>
  <c r="N89" i="2"/>
  <c r="P88" i="2"/>
  <c r="N81" i="2"/>
  <c r="P72" i="2"/>
  <c r="P64" i="2"/>
  <c r="N57" i="2"/>
  <c r="N198" i="2"/>
  <c r="N113" i="2"/>
  <c r="N105" i="2"/>
  <c r="N64" i="2"/>
  <c r="H182" i="2"/>
  <c r="H173" i="2"/>
  <c r="H165" i="2"/>
  <c r="L163" i="2"/>
  <c r="H157" i="2"/>
  <c r="L155" i="2"/>
  <c r="H149" i="2"/>
  <c r="L147" i="2"/>
  <c r="H141" i="2"/>
  <c r="L139" i="2"/>
  <c r="H131" i="2"/>
  <c r="L129" i="2"/>
  <c r="H123" i="2"/>
  <c r="L121" i="2"/>
  <c r="H115" i="2"/>
  <c r="L113" i="2"/>
  <c r="H107" i="2"/>
  <c r="L105" i="2"/>
  <c r="H99" i="2"/>
  <c r="L96" i="2"/>
  <c r="H90" i="2"/>
  <c r="L88" i="2"/>
  <c r="H82" i="2"/>
  <c r="L80" i="2"/>
  <c r="H74" i="2"/>
  <c r="L72" i="2"/>
  <c r="H66" i="2"/>
  <c r="L64" i="2"/>
  <c r="H58" i="2"/>
  <c r="H50" i="2"/>
  <c r="L197" i="2"/>
  <c r="N98" i="2"/>
  <c r="P80" i="2"/>
  <c r="N73" i="2"/>
  <c r="N65" i="2"/>
  <c r="P56" i="2"/>
  <c r="P197" i="2"/>
  <c r="N188" i="2"/>
  <c r="N179" i="2"/>
  <c r="R177" i="2"/>
  <c r="N155" i="2"/>
  <c r="N96" i="2"/>
  <c r="N88" i="2"/>
  <c r="N80" i="2"/>
  <c r="N72" i="2"/>
  <c r="H190" i="2"/>
  <c r="F190" i="2"/>
  <c r="P185" i="2"/>
  <c r="F182" i="2"/>
  <c r="P176" i="2"/>
  <c r="F173" i="2"/>
  <c r="P168" i="2"/>
  <c r="F165" i="2"/>
  <c r="P160" i="2"/>
  <c r="F157" i="2"/>
  <c r="P152" i="2"/>
  <c r="F149" i="2"/>
  <c r="P144" i="2"/>
  <c r="F141" i="2"/>
  <c r="N135" i="2"/>
  <c r="P134" i="2"/>
  <c r="F131" i="2"/>
  <c r="N127" i="2"/>
  <c r="P126" i="2"/>
  <c r="F123" i="2"/>
  <c r="H122" i="2"/>
  <c r="N119" i="2"/>
  <c r="P118" i="2"/>
  <c r="F115" i="2"/>
  <c r="H114" i="2"/>
  <c r="N111" i="2"/>
  <c r="P110" i="2"/>
  <c r="F107" i="2"/>
  <c r="H106" i="2"/>
  <c r="N103" i="2"/>
  <c r="P102" i="2"/>
  <c r="F99" i="2"/>
  <c r="H98" i="2"/>
  <c r="N94" i="2"/>
  <c r="P93" i="2"/>
  <c r="F90" i="2"/>
  <c r="H89" i="2"/>
  <c r="N86" i="2"/>
  <c r="F82" i="2"/>
  <c r="H81" i="2"/>
  <c r="N78" i="2"/>
  <c r="F74" i="2"/>
  <c r="H73" i="2"/>
  <c r="N70" i="2"/>
  <c r="F66" i="2"/>
  <c r="H65" i="2"/>
  <c r="N62" i="2"/>
  <c r="F58" i="2"/>
  <c r="H57" i="2"/>
  <c r="N54" i="2"/>
  <c r="F50" i="2"/>
  <c r="H198" i="2"/>
  <c r="N195" i="2"/>
  <c r="N171" i="2"/>
  <c r="N163" i="2"/>
  <c r="N147" i="2"/>
  <c r="N139" i="2"/>
  <c r="N129" i="2"/>
  <c r="N121" i="2"/>
  <c r="R70" i="2"/>
  <c r="N56" i="2"/>
  <c r="N197" i="2"/>
  <c r="R195" i="2"/>
  <c r="H188" i="2"/>
  <c r="N185" i="2"/>
  <c r="H179" i="2"/>
  <c r="N176" i="2"/>
  <c r="H171" i="2"/>
  <c r="N168" i="2"/>
  <c r="H163" i="2"/>
  <c r="N160" i="2"/>
  <c r="H155" i="2"/>
  <c r="N152" i="2"/>
  <c r="H147" i="2"/>
  <c r="N144" i="2"/>
  <c r="H139" i="2"/>
  <c r="N134" i="2"/>
  <c r="H129" i="2"/>
  <c r="N126" i="2"/>
  <c r="H121" i="2"/>
  <c r="N118" i="2"/>
  <c r="H113" i="2"/>
  <c r="N110" i="2"/>
  <c r="H105" i="2"/>
  <c r="N102" i="2"/>
  <c r="H96" i="2"/>
  <c r="H88" i="2"/>
  <c r="H80" i="2"/>
  <c r="H72" i="2"/>
  <c r="H64" i="2"/>
  <c r="H56" i="2"/>
  <c r="H197" i="2"/>
  <c r="F163" i="2"/>
  <c r="F155" i="2"/>
  <c r="F147" i="2"/>
  <c r="F139" i="2"/>
  <c r="F129" i="2"/>
  <c r="F121" i="2"/>
  <c r="F113" i="2"/>
  <c r="F105" i="2"/>
  <c r="F96" i="2"/>
  <c r="F88" i="2"/>
  <c r="F64" i="2"/>
  <c r="F197" i="2"/>
  <c r="F187" i="2"/>
  <c r="F178" i="2"/>
  <c r="F170" i="2"/>
  <c r="F162" i="2"/>
  <c r="F154" i="2"/>
  <c r="F146" i="2"/>
  <c r="F136" i="2"/>
  <c r="F128" i="2"/>
  <c r="L125" i="2"/>
  <c r="F120" i="2"/>
  <c r="L117" i="2"/>
  <c r="F112" i="2"/>
  <c r="L109" i="2"/>
  <c r="F104" i="2"/>
  <c r="L101" i="2"/>
  <c r="F95" i="2"/>
  <c r="L92" i="2"/>
  <c r="F87" i="2"/>
  <c r="L84" i="2"/>
  <c r="F79" i="2"/>
  <c r="L76" i="2"/>
  <c r="F71" i="2"/>
  <c r="L68" i="2"/>
  <c r="F63" i="2"/>
  <c r="L60" i="2"/>
  <c r="F55" i="2"/>
  <c r="L52" i="2"/>
  <c r="F196" i="2"/>
  <c r="L192" i="2"/>
  <c r="P189" i="2"/>
  <c r="F186" i="2"/>
  <c r="L183" i="2"/>
  <c r="P180" i="2"/>
  <c r="F177" i="2"/>
  <c r="L174" i="2"/>
  <c r="P172" i="2"/>
  <c r="F169" i="2"/>
  <c r="L166" i="2"/>
  <c r="P164" i="2"/>
  <c r="F161" i="2"/>
  <c r="H160" i="2"/>
  <c r="L158" i="2"/>
  <c r="P156" i="2"/>
  <c r="F153" i="2"/>
  <c r="H152" i="2"/>
  <c r="L150" i="2"/>
  <c r="P148" i="2"/>
  <c r="F145" i="2"/>
  <c r="H144" i="2"/>
  <c r="L142" i="2"/>
  <c r="P140" i="2"/>
  <c r="F135" i="2"/>
  <c r="H134" i="2"/>
  <c r="L132" i="2"/>
  <c r="P130" i="2"/>
  <c r="F127" i="2"/>
  <c r="H126" i="2"/>
  <c r="L124" i="2"/>
  <c r="P122" i="2"/>
  <c r="F119" i="2"/>
  <c r="H118" i="2"/>
  <c r="L116" i="2"/>
  <c r="P114" i="2"/>
  <c r="F111" i="2"/>
  <c r="H110" i="2"/>
  <c r="L108" i="2"/>
  <c r="P106" i="2"/>
  <c r="F103" i="2"/>
  <c r="H102" i="2"/>
  <c r="L100" i="2"/>
  <c r="P98" i="2"/>
  <c r="F94" i="2"/>
  <c r="H93" i="2"/>
  <c r="L91" i="2"/>
  <c r="P89" i="2"/>
  <c r="F86" i="2"/>
  <c r="H85" i="2"/>
  <c r="L83" i="2"/>
  <c r="P81" i="2"/>
  <c r="F78" i="2"/>
  <c r="L75" i="2"/>
  <c r="P73" i="2"/>
  <c r="F70" i="2"/>
  <c r="L67" i="2"/>
  <c r="P65" i="2"/>
  <c r="F62" i="2"/>
  <c r="L59" i="2"/>
  <c r="P57" i="2"/>
  <c r="F54" i="2"/>
  <c r="L51" i="2"/>
  <c r="P198" i="2"/>
  <c r="F195" i="2"/>
  <c r="P187" i="2"/>
  <c r="P178" i="2"/>
  <c r="P170" i="2"/>
  <c r="L156" i="2"/>
  <c r="P154" i="2"/>
  <c r="L148" i="2"/>
  <c r="P146" i="2"/>
  <c r="L140" i="2"/>
  <c r="P136" i="2"/>
  <c r="F133" i="2"/>
  <c r="L130" i="2"/>
  <c r="P128" i="2"/>
  <c r="F125" i="2"/>
  <c r="L122" i="2"/>
  <c r="P120" i="2"/>
  <c r="F117" i="2"/>
  <c r="L114" i="2"/>
  <c r="P112" i="2"/>
  <c r="F109" i="2"/>
  <c r="L106" i="2"/>
  <c r="P104" i="2"/>
  <c r="F101" i="2"/>
  <c r="L98" i="2"/>
  <c r="P95" i="2"/>
  <c r="F92" i="2"/>
  <c r="L89" i="2"/>
  <c r="P87" i="2"/>
  <c r="F84" i="2"/>
  <c r="L81" i="2"/>
  <c r="P79" i="2"/>
  <c r="F76" i="2"/>
  <c r="L73" i="2"/>
  <c r="P71" i="2"/>
  <c r="F68" i="2"/>
  <c r="L65" i="2"/>
  <c r="P63" i="2"/>
  <c r="F60" i="2"/>
  <c r="L57" i="2"/>
  <c r="P55" i="2"/>
  <c r="F52" i="2"/>
  <c r="L198" i="2"/>
  <c r="P196" i="2"/>
  <c r="F192" i="2"/>
  <c r="L188" i="2"/>
  <c r="N187" i="2"/>
  <c r="P186" i="2"/>
  <c r="F183" i="2"/>
  <c r="L179" i="2"/>
  <c r="N178" i="2"/>
  <c r="P177" i="2"/>
  <c r="F174" i="2"/>
  <c r="L171" i="2"/>
  <c r="N170" i="2"/>
  <c r="P169" i="2"/>
  <c r="F166" i="2"/>
  <c r="N162" i="2"/>
  <c r="P161" i="2"/>
  <c r="F158" i="2"/>
  <c r="N154" i="2"/>
  <c r="P153" i="2"/>
  <c r="F150" i="2"/>
  <c r="N146" i="2"/>
  <c r="P145" i="2"/>
  <c r="F142" i="2"/>
  <c r="N136" i="2"/>
  <c r="P135" i="2"/>
  <c r="F132" i="2"/>
  <c r="N128" i="2"/>
  <c r="P127" i="2"/>
  <c r="F124" i="2"/>
  <c r="N120" i="2"/>
  <c r="P119" i="2"/>
  <c r="F116" i="2"/>
  <c r="N112" i="2"/>
  <c r="P111" i="2"/>
  <c r="F108" i="2"/>
  <c r="N104" i="2"/>
  <c r="P103" i="2"/>
  <c r="F100" i="2"/>
  <c r="N95" i="2"/>
  <c r="P94" i="2"/>
  <c r="F91" i="2"/>
  <c r="N87" i="2"/>
  <c r="P86" i="2"/>
  <c r="F83" i="2"/>
  <c r="N79" i="2"/>
  <c r="P78" i="2"/>
  <c r="F75" i="2"/>
  <c r="N71" i="2"/>
  <c r="P70" i="2"/>
  <c r="F67" i="2"/>
  <c r="N63" i="2"/>
  <c r="P62" i="2"/>
  <c r="F59" i="2"/>
  <c r="L56" i="2"/>
  <c r="N55" i="2"/>
  <c r="P54" i="2"/>
  <c r="F51" i="2"/>
  <c r="N196" i="2"/>
  <c r="P195" i="2"/>
  <c r="F191" i="2"/>
  <c r="H199" i="2"/>
  <c r="L189" i="2"/>
  <c r="L187" i="2"/>
  <c r="N177" i="2"/>
  <c r="H172" i="2"/>
  <c r="L170" i="2"/>
  <c r="H164" i="2"/>
  <c r="L162" i="2"/>
  <c r="N153" i="2"/>
  <c r="H148" i="2"/>
  <c r="L146" i="2"/>
  <c r="H140" i="2"/>
  <c r="L136" i="2"/>
  <c r="L128" i="2"/>
  <c r="L120" i="2"/>
  <c r="L112" i="2"/>
  <c r="L95" i="2"/>
  <c r="L79" i="2"/>
  <c r="L71" i="2"/>
  <c r="L63" i="2"/>
  <c r="L55" i="2"/>
  <c r="F189" i="2"/>
  <c r="L177" i="2"/>
  <c r="P175" i="2"/>
  <c r="F172" i="2"/>
  <c r="L169" i="2"/>
  <c r="P167" i="2"/>
  <c r="F164" i="2"/>
  <c r="F140" i="2"/>
  <c r="L127" i="2"/>
  <c r="P125" i="2"/>
  <c r="L119" i="2"/>
  <c r="P117" i="2"/>
  <c r="F114" i="2"/>
  <c r="P109" i="2"/>
  <c r="F106" i="2"/>
  <c r="P101" i="2"/>
  <c r="F98" i="2"/>
  <c r="L94" i="2"/>
  <c r="P92" i="2"/>
  <c r="F89" i="2"/>
  <c r="L86" i="2"/>
  <c r="P84" i="2"/>
  <c r="F81" i="2"/>
  <c r="L78" i="2"/>
  <c r="P76" i="2"/>
  <c r="F73" i="2"/>
  <c r="L70" i="2"/>
  <c r="P68" i="2"/>
  <c r="F65" i="2"/>
  <c r="L62" i="2"/>
  <c r="P60" i="2"/>
  <c r="F57" i="2"/>
  <c r="L54" i="2"/>
  <c r="P52" i="2"/>
  <c r="F198" i="2"/>
  <c r="L195" i="2"/>
  <c r="P192" i="2"/>
  <c r="R170" i="2"/>
  <c r="L180" i="2"/>
  <c r="L172" i="2"/>
  <c r="L164" i="2"/>
  <c r="P162" i="2"/>
  <c r="H189" i="2"/>
  <c r="N186" i="2"/>
  <c r="H180" i="2"/>
  <c r="L178" i="2"/>
  <c r="N169" i="2"/>
  <c r="N161" i="2"/>
  <c r="H156" i="2"/>
  <c r="L154" i="2"/>
  <c r="N145" i="2"/>
  <c r="H130" i="2"/>
  <c r="L104" i="2"/>
  <c r="L87" i="2"/>
  <c r="L196" i="2"/>
  <c r="L186" i="2"/>
  <c r="P184" i="2"/>
  <c r="F180" i="2"/>
  <c r="L161" i="2"/>
  <c r="P159" i="2"/>
  <c r="F156" i="2"/>
  <c r="L153" i="2"/>
  <c r="P151" i="2"/>
  <c r="F148" i="2"/>
  <c r="L145" i="2"/>
  <c r="P143" i="2"/>
  <c r="L135" i="2"/>
  <c r="P133" i="2"/>
  <c r="F130" i="2"/>
  <c r="F122" i="2"/>
  <c r="L111" i="2"/>
  <c r="L103" i="2"/>
  <c r="F188" i="2"/>
  <c r="H187" i="2"/>
  <c r="L185" i="2"/>
  <c r="N184" i="2"/>
  <c r="P183" i="2"/>
  <c r="F179" i="2"/>
  <c r="H178" i="2"/>
  <c r="N175" i="2"/>
  <c r="P174" i="2"/>
  <c r="F171" i="2"/>
  <c r="H170" i="2"/>
  <c r="N167" i="2"/>
  <c r="P166" i="2"/>
  <c r="H162" i="2"/>
  <c r="L160" i="2"/>
  <c r="N159" i="2"/>
  <c r="P158" i="2"/>
  <c r="H154" i="2"/>
  <c r="L152" i="2"/>
  <c r="N151" i="2"/>
  <c r="P150" i="2"/>
  <c r="H146" i="2"/>
  <c r="L144" i="2"/>
  <c r="N143" i="2"/>
  <c r="P142" i="2"/>
  <c r="H136" i="2"/>
  <c r="L134" i="2"/>
  <c r="N133" i="2"/>
  <c r="P132" i="2"/>
  <c r="H128" i="2"/>
  <c r="L126" i="2"/>
  <c r="N125" i="2"/>
  <c r="P124" i="2"/>
  <c r="H120" i="2"/>
  <c r="L118" i="2"/>
  <c r="N117" i="2"/>
  <c r="P116" i="2"/>
  <c r="H112" i="2"/>
  <c r="L110" i="2"/>
  <c r="N109" i="2"/>
  <c r="P108" i="2"/>
  <c r="H104" i="2"/>
  <c r="L102" i="2"/>
  <c r="N101" i="2"/>
  <c r="P100" i="2"/>
  <c r="H95" i="2"/>
  <c r="N92" i="2"/>
  <c r="P91" i="2"/>
  <c r="H87" i="2"/>
  <c r="N84" i="2"/>
  <c r="P83" i="2"/>
  <c r="F80" i="2"/>
  <c r="H79" i="2"/>
  <c r="N76" i="2"/>
  <c r="P75" i="2"/>
  <c r="F72" i="2"/>
  <c r="H71" i="2"/>
  <c r="N68" i="2"/>
  <c r="P67" i="2"/>
  <c r="H63" i="2"/>
  <c r="N60" i="2"/>
  <c r="P59" i="2"/>
  <c r="F56" i="2"/>
  <c r="H55" i="2"/>
  <c r="N52" i="2"/>
  <c r="P51" i="2"/>
  <c r="H196" i="2"/>
  <c r="N192" i="2"/>
  <c r="D204" i="2"/>
  <c r="J203" i="2" l="1"/>
  <c r="F45" i="2"/>
  <c r="F37" i="2"/>
  <c r="F29" i="2"/>
  <c r="F21" i="2"/>
  <c r="F13" i="2"/>
  <c r="F49" i="2"/>
  <c r="F33" i="2"/>
  <c r="F41" i="2"/>
  <c r="F17" i="2"/>
  <c r="F25" i="2"/>
  <c r="H40" i="2"/>
  <c r="L40" i="2"/>
  <c r="N40" i="2"/>
  <c r="P40" i="2"/>
  <c r="R40" i="2"/>
  <c r="H31" i="2"/>
  <c r="H23" i="2"/>
  <c r="H15" i="2"/>
  <c r="L47" i="2"/>
  <c r="L39" i="2"/>
  <c r="L31" i="2"/>
  <c r="L23" i="2"/>
  <c r="L15" i="2"/>
  <c r="N47" i="2"/>
  <c r="N39" i="2"/>
  <c r="N31" i="2"/>
  <c r="N23" i="2"/>
  <c r="N15" i="2"/>
  <c r="P47" i="2"/>
  <c r="P39" i="2"/>
  <c r="P31" i="2"/>
  <c r="P23" i="2"/>
  <c r="P15" i="2"/>
  <c r="R47" i="2"/>
  <c r="R39" i="2"/>
  <c r="R31" i="2"/>
  <c r="R23" i="2"/>
  <c r="R15" i="2"/>
  <c r="F48" i="2"/>
  <c r="F44" i="2"/>
  <c r="F40" i="2"/>
  <c r="F36" i="2"/>
  <c r="F32" i="2"/>
  <c r="F28" i="2"/>
  <c r="F24" i="2"/>
  <c r="F20" i="2"/>
  <c r="F16" i="2"/>
  <c r="H46" i="2"/>
  <c r="H38" i="2"/>
  <c r="H30" i="2"/>
  <c r="H22" i="2"/>
  <c r="H14" i="2"/>
  <c r="L46" i="2"/>
  <c r="L38" i="2"/>
  <c r="L30" i="2"/>
  <c r="L22" i="2"/>
  <c r="L14" i="2"/>
  <c r="N46" i="2"/>
  <c r="N38" i="2"/>
  <c r="N30" i="2"/>
  <c r="N22" i="2"/>
  <c r="N14" i="2"/>
  <c r="P46" i="2"/>
  <c r="P38" i="2"/>
  <c r="P30" i="2"/>
  <c r="P22" i="2"/>
  <c r="P14" i="2"/>
  <c r="R46" i="2"/>
  <c r="R38" i="2"/>
  <c r="R30" i="2"/>
  <c r="R22" i="2"/>
  <c r="R14" i="2"/>
  <c r="H32" i="2"/>
  <c r="L16" i="2"/>
  <c r="N32" i="2"/>
  <c r="P48" i="2"/>
  <c r="P24" i="2"/>
  <c r="R16" i="2"/>
  <c r="H47" i="2"/>
  <c r="H45" i="2"/>
  <c r="H21" i="2"/>
  <c r="H13" i="2"/>
  <c r="L45" i="2"/>
  <c r="L37" i="2"/>
  <c r="L29" i="2"/>
  <c r="L21" i="2"/>
  <c r="L13" i="2"/>
  <c r="N45" i="2"/>
  <c r="N37" i="2"/>
  <c r="N29" i="2"/>
  <c r="N21" i="2"/>
  <c r="N13" i="2"/>
  <c r="P45" i="2"/>
  <c r="P37" i="2"/>
  <c r="P29" i="2"/>
  <c r="P21" i="2"/>
  <c r="P13" i="2"/>
  <c r="R45" i="2"/>
  <c r="R37" i="2"/>
  <c r="R29" i="2"/>
  <c r="R21" i="2"/>
  <c r="R13" i="2"/>
  <c r="F47" i="2"/>
  <c r="F43" i="2"/>
  <c r="F39" i="2"/>
  <c r="F35" i="2"/>
  <c r="F31" i="2"/>
  <c r="F27" i="2"/>
  <c r="F23" i="2"/>
  <c r="F19" i="2"/>
  <c r="F15" i="2"/>
  <c r="H44" i="2"/>
  <c r="H36" i="2"/>
  <c r="H28" i="2"/>
  <c r="H20" i="2"/>
  <c r="L44" i="2"/>
  <c r="L36" i="2"/>
  <c r="L28" i="2"/>
  <c r="L20" i="2"/>
  <c r="N44" i="2"/>
  <c r="N36" i="2"/>
  <c r="N28" i="2"/>
  <c r="N20" i="2"/>
  <c r="P44" i="2"/>
  <c r="P36" i="2"/>
  <c r="P28" i="2"/>
  <c r="P20" i="2"/>
  <c r="R44" i="2"/>
  <c r="R36" i="2"/>
  <c r="R28" i="2"/>
  <c r="R20" i="2"/>
  <c r="H16" i="2"/>
  <c r="L48" i="2"/>
  <c r="L24" i="2"/>
  <c r="N16" i="2"/>
  <c r="P32" i="2"/>
  <c r="R48" i="2"/>
  <c r="R24" i="2"/>
  <c r="H39" i="2"/>
  <c r="H37" i="2"/>
  <c r="H35" i="2"/>
  <c r="H19" i="2"/>
  <c r="L35" i="2"/>
  <c r="L19" i="2"/>
  <c r="N43" i="2"/>
  <c r="N27" i="2"/>
  <c r="P35" i="2"/>
  <c r="P19" i="2"/>
  <c r="R43" i="2"/>
  <c r="R35" i="2"/>
  <c r="R19" i="2"/>
  <c r="F46" i="2"/>
  <c r="F42" i="2"/>
  <c r="F38" i="2"/>
  <c r="F34" i="2"/>
  <c r="F30" i="2"/>
  <c r="F26" i="2"/>
  <c r="F22" i="2"/>
  <c r="F18" i="2"/>
  <c r="F14" i="2"/>
  <c r="H42" i="2"/>
  <c r="H34" i="2"/>
  <c r="H26" i="2"/>
  <c r="H18" i="2"/>
  <c r="L42" i="2"/>
  <c r="L34" i="2"/>
  <c r="L26" i="2"/>
  <c r="L18" i="2"/>
  <c r="N42" i="2"/>
  <c r="N34" i="2"/>
  <c r="N26" i="2"/>
  <c r="N18" i="2"/>
  <c r="P42" i="2"/>
  <c r="P34" i="2"/>
  <c r="P26" i="2"/>
  <c r="P18" i="2"/>
  <c r="R42" i="2"/>
  <c r="R34" i="2"/>
  <c r="R26" i="2"/>
  <c r="R18" i="2"/>
  <c r="H48" i="2"/>
  <c r="H24" i="2"/>
  <c r="L32" i="2"/>
  <c r="N48" i="2"/>
  <c r="N24" i="2"/>
  <c r="P16" i="2"/>
  <c r="R32" i="2"/>
  <c r="H29" i="2"/>
  <c r="H43" i="2"/>
  <c r="H27" i="2"/>
  <c r="L43" i="2"/>
  <c r="L27" i="2"/>
  <c r="N35" i="2"/>
  <c r="N19" i="2"/>
  <c r="P43" i="2"/>
  <c r="P27" i="2"/>
  <c r="R27" i="2"/>
  <c r="H49" i="2"/>
  <c r="H41" i="2"/>
  <c r="H33" i="2"/>
  <c r="H25" i="2"/>
  <c r="H17" i="2"/>
  <c r="L49" i="2"/>
  <c r="L41" i="2"/>
  <c r="L33" i="2"/>
  <c r="L25" i="2"/>
  <c r="L17" i="2"/>
  <c r="N49" i="2"/>
  <c r="N41" i="2"/>
  <c r="N33" i="2"/>
  <c r="N25" i="2"/>
  <c r="N17" i="2"/>
  <c r="P49" i="2"/>
  <c r="P41" i="2"/>
  <c r="P33" i="2"/>
  <c r="P25" i="2"/>
  <c r="P17" i="2"/>
  <c r="R49" i="2"/>
  <c r="R41" i="2"/>
  <c r="R33" i="2"/>
  <c r="R25" i="2"/>
  <c r="R17" i="2"/>
  <c r="K204" i="2"/>
  <c r="Q204" i="2"/>
  <c r="G204" i="2"/>
  <c r="M204" i="2"/>
  <c r="O204" i="2"/>
  <c r="E204" i="2"/>
  <c r="E12" i="8"/>
  <c r="D12" i="8"/>
  <c r="B23" i="6"/>
  <c r="C23" i="6"/>
  <c r="N203" i="2" l="1"/>
  <c r="F203" i="2"/>
  <c r="H203" i="2"/>
  <c r="R203" i="2"/>
  <c r="N12" i="8"/>
  <c r="F12" i="8"/>
  <c r="H12" i="8"/>
  <c r="P12" i="8"/>
  <c r="P203" i="2"/>
  <c r="R12" i="8"/>
  <c r="J12" i="8"/>
  <c r="L12" i="8"/>
  <c r="E23" i="6"/>
  <c r="F22" i="6"/>
  <c r="F19" i="6"/>
  <c r="F21" i="6"/>
  <c r="F20" i="6"/>
  <c r="D23" i="6"/>
  <c r="F18" i="6"/>
  <c r="E4" i="4"/>
  <c r="F4" i="4"/>
  <c r="G4" i="4"/>
  <c r="H4" i="4"/>
  <c r="I4" i="4"/>
  <c r="E5" i="4"/>
  <c r="D9" i="5" s="1"/>
  <c r="F5" i="4"/>
  <c r="E9" i="5" s="1"/>
  <c r="H5" i="4"/>
  <c r="I5" i="4"/>
  <c r="C10" i="5"/>
  <c r="E6" i="4"/>
  <c r="D10" i="5" s="1"/>
  <c r="F6" i="4"/>
  <c r="E10" i="5" s="1"/>
  <c r="G6" i="4"/>
  <c r="H6" i="4"/>
  <c r="I6" i="4"/>
  <c r="C11" i="5"/>
  <c r="E7" i="4"/>
  <c r="D11" i="5" s="1"/>
  <c r="F7" i="4"/>
  <c r="E11" i="5" s="1"/>
  <c r="G7" i="4"/>
  <c r="H7" i="4"/>
  <c r="I7" i="4"/>
  <c r="F8" i="4"/>
  <c r="G8" i="4"/>
  <c r="H8" i="4"/>
  <c r="I8" i="4"/>
  <c r="C13" i="5"/>
  <c r="E9" i="4"/>
  <c r="D13" i="5" s="1"/>
  <c r="F9" i="4"/>
  <c r="E13" i="5" s="1"/>
  <c r="G9" i="4"/>
  <c r="H9" i="4"/>
  <c r="I9" i="4"/>
  <c r="C14" i="5"/>
  <c r="E10" i="4"/>
  <c r="D14" i="5" s="1"/>
  <c r="F10" i="4"/>
  <c r="E14" i="5" s="1"/>
  <c r="G10" i="4"/>
  <c r="H10" i="4"/>
  <c r="I10" i="4"/>
  <c r="C15" i="5"/>
  <c r="E11" i="4"/>
  <c r="D15" i="5" s="1"/>
  <c r="F11" i="4"/>
  <c r="E15" i="5" s="1"/>
  <c r="G11" i="4"/>
  <c r="H11" i="4"/>
  <c r="I11" i="4"/>
  <c r="E12" i="4"/>
  <c r="F12" i="4"/>
  <c r="G12" i="4"/>
  <c r="H12" i="4"/>
  <c r="I12" i="4"/>
  <c r="C17" i="5"/>
  <c r="E13" i="4"/>
  <c r="D17" i="5" s="1"/>
  <c r="F13" i="4"/>
  <c r="E17" i="5" s="1"/>
  <c r="G13" i="4"/>
  <c r="H13" i="4"/>
  <c r="I13" i="4"/>
  <c r="C18" i="5"/>
  <c r="E14" i="4"/>
  <c r="D18" i="5" s="1"/>
  <c r="F14" i="4"/>
  <c r="E18" i="5" s="1"/>
  <c r="G14" i="4"/>
  <c r="H14" i="4"/>
  <c r="I14" i="4"/>
  <c r="C19" i="5"/>
  <c r="E15" i="4"/>
  <c r="D19" i="5" s="1"/>
  <c r="F15" i="4"/>
  <c r="E19" i="5" s="1"/>
  <c r="G15" i="4"/>
  <c r="H15" i="4"/>
  <c r="I15" i="4"/>
  <c r="C20" i="5"/>
  <c r="E16" i="4"/>
  <c r="D20" i="5" s="1"/>
  <c r="F16" i="4"/>
  <c r="E20" i="5" s="1"/>
  <c r="G16" i="4"/>
  <c r="H16" i="4"/>
  <c r="I16" i="4"/>
  <c r="C21" i="5"/>
  <c r="E17" i="4"/>
  <c r="D21" i="5" s="1"/>
  <c r="F17" i="4"/>
  <c r="E21" i="5" s="1"/>
  <c r="G17" i="4"/>
  <c r="H17" i="4"/>
  <c r="I17" i="4"/>
  <c r="E18" i="4"/>
  <c r="F18" i="4"/>
  <c r="G18" i="4"/>
  <c r="H18" i="4"/>
  <c r="I18" i="4"/>
  <c r="C23" i="5"/>
  <c r="E19" i="4"/>
  <c r="D23" i="5" s="1"/>
  <c r="F19" i="4"/>
  <c r="E23" i="5" s="1"/>
  <c r="G19" i="4"/>
  <c r="H19" i="4"/>
  <c r="I19" i="4"/>
  <c r="C24" i="5"/>
  <c r="E20" i="4"/>
  <c r="D24" i="5" s="1"/>
  <c r="F20" i="4"/>
  <c r="E24" i="5" s="1"/>
  <c r="G20" i="4"/>
  <c r="H20" i="4"/>
  <c r="I20" i="4"/>
  <c r="E21" i="4"/>
  <c r="F21" i="4"/>
  <c r="G21" i="4"/>
  <c r="H21" i="4"/>
  <c r="I21" i="4"/>
  <c r="C27" i="5"/>
  <c r="E23" i="4"/>
  <c r="D27" i="5" s="1"/>
  <c r="F23" i="4"/>
  <c r="E27" i="5" s="1"/>
  <c r="G23" i="4"/>
  <c r="H23" i="4"/>
  <c r="I23" i="4"/>
  <c r="C28" i="5"/>
  <c r="E24" i="4"/>
  <c r="D28" i="5" s="1"/>
  <c r="F24" i="4"/>
  <c r="E28" i="5" s="1"/>
  <c r="G24" i="4"/>
  <c r="H24" i="4"/>
  <c r="I24" i="4"/>
  <c r="C29" i="5"/>
  <c r="E25" i="4"/>
  <c r="D29" i="5" s="1"/>
  <c r="F25" i="4"/>
  <c r="E29" i="5" s="1"/>
  <c r="G25" i="4"/>
  <c r="H25" i="4"/>
  <c r="I25" i="4"/>
  <c r="E26" i="4"/>
  <c r="F26" i="4"/>
  <c r="G26" i="4"/>
  <c r="H26" i="4"/>
  <c r="I26" i="4"/>
  <c r="C31" i="5"/>
  <c r="E27" i="4"/>
  <c r="D31" i="5" s="1"/>
  <c r="D30" i="5" s="1"/>
  <c r="F27" i="4"/>
  <c r="E31" i="5" s="1"/>
  <c r="E30" i="5" s="1"/>
  <c r="G27" i="4"/>
  <c r="H27" i="4"/>
  <c r="I27" i="4"/>
  <c r="E29" i="4"/>
  <c r="F29" i="4"/>
  <c r="G29" i="4"/>
  <c r="H29" i="4"/>
  <c r="I29" i="4"/>
  <c r="C34" i="5"/>
  <c r="E30" i="4"/>
  <c r="D34" i="5" s="1"/>
  <c r="F30" i="4"/>
  <c r="E34" i="5" s="1"/>
  <c r="G30" i="4"/>
  <c r="H30" i="4"/>
  <c r="I30" i="4"/>
  <c r="C35" i="5"/>
  <c r="E31" i="4"/>
  <c r="D35" i="5" s="1"/>
  <c r="F31" i="4"/>
  <c r="E35" i="5" s="1"/>
  <c r="G31" i="4"/>
  <c r="H31" i="4"/>
  <c r="I31" i="4"/>
  <c r="C36" i="5"/>
  <c r="E32" i="4"/>
  <c r="D36" i="5" s="1"/>
  <c r="F32" i="4"/>
  <c r="E36" i="5" s="1"/>
  <c r="G32" i="4"/>
  <c r="H32" i="4"/>
  <c r="I32" i="4"/>
  <c r="C37" i="5"/>
  <c r="E33" i="4"/>
  <c r="D37" i="5" s="1"/>
  <c r="F33" i="4"/>
  <c r="E37" i="5" s="1"/>
  <c r="G33" i="4"/>
  <c r="H33" i="4"/>
  <c r="I33" i="4"/>
  <c r="C38" i="5"/>
  <c r="E34" i="4"/>
  <c r="D38" i="5" s="1"/>
  <c r="F34" i="4"/>
  <c r="E38" i="5" s="1"/>
  <c r="G34" i="4"/>
  <c r="H34" i="4"/>
  <c r="I34" i="4"/>
  <c r="E35" i="4"/>
  <c r="F35" i="4"/>
  <c r="G35" i="4"/>
  <c r="H35" i="4"/>
  <c r="I35" i="4"/>
  <c r="C40" i="5"/>
  <c r="E36" i="4"/>
  <c r="D40" i="5" s="1"/>
  <c r="F36" i="4"/>
  <c r="E40" i="5" s="1"/>
  <c r="G36" i="4"/>
  <c r="H36" i="4"/>
  <c r="I36" i="4"/>
  <c r="C41" i="5"/>
  <c r="E37" i="4"/>
  <c r="D41" i="5" s="1"/>
  <c r="F37" i="4"/>
  <c r="E41" i="5" s="1"/>
  <c r="G37" i="4"/>
  <c r="H37" i="4"/>
  <c r="I37" i="4"/>
  <c r="C42" i="5"/>
  <c r="E38" i="4"/>
  <c r="D42" i="5" s="1"/>
  <c r="F38" i="4"/>
  <c r="E42" i="5" s="1"/>
  <c r="G38" i="4"/>
  <c r="H38" i="4"/>
  <c r="I38" i="4"/>
  <c r="E39" i="4"/>
  <c r="D43" i="5" s="1"/>
  <c r="F39" i="4"/>
  <c r="E43" i="5" s="1"/>
  <c r="G39" i="4"/>
  <c r="H39" i="4"/>
  <c r="I39" i="4"/>
  <c r="C44" i="5"/>
  <c r="E40" i="4"/>
  <c r="D44" i="5" s="1"/>
  <c r="F40" i="4"/>
  <c r="E44" i="5" s="1"/>
  <c r="G40" i="4"/>
  <c r="H40" i="4"/>
  <c r="I40" i="4"/>
  <c r="E41" i="4"/>
  <c r="F41" i="4"/>
  <c r="G41" i="4"/>
  <c r="H41" i="4"/>
  <c r="I41" i="4"/>
  <c r="C46" i="5"/>
  <c r="E42" i="4"/>
  <c r="D46" i="5" s="1"/>
  <c r="F42" i="4"/>
  <c r="E46" i="5" s="1"/>
  <c r="G42" i="4"/>
  <c r="H42" i="4"/>
  <c r="I42" i="4"/>
  <c r="E43" i="4"/>
  <c r="D47" i="5" s="1"/>
  <c r="F43" i="4"/>
  <c r="E47" i="5" s="1"/>
  <c r="G43" i="4"/>
  <c r="H43" i="4"/>
  <c r="I43" i="4"/>
  <c r="C48" i="5"/>
  <c r="E44" i="4"/>
  <c r="D48" i="5" s="1"/>
  <c r="F44" i="4"/>
  <c r="E48" i="5" s="1"/>
  <c r="G44" i="4"/>
  <c r="H44" i="4"/>
  <c r="I44" i="4"/>
  <c r="C49" i="5"/>
  <c r="E45" i="4"/>
  <c r="D49" i="5" s="1"/>
  <c r="F45" i="4"/>
  <c r="E49" i="5" s="1"/>
  <c r="G45" i="4"/>
  <c r="H45" i="4"/>
  <c r="I45" i="4"/>
  <c r="C50" i="5"/>
  <c r="E46" i="4"/>
  <c r="D50" i="5" s="1"/>
  <c r="F46" i="4"/>
  <c r="E50" i="5" s="1"/>
  <c r="G46" i="4"/>
  <c r="H46" i="4"/>
  <c r="I46" i="4"/>
  <c r="E47" i="4"/>
  <c r="D51" i="5" s="1"/>
  <c r="F47" i="4"/>
  <c r="E51" i="5" s="1"/>
  <c r="G47" i="4"/>
  <c r="H47" i="4"/>
  <c r="I47" i="4"/>
  <c r="E48" i="4"/>
  <c r="F48" i="4"/>
  <c r="G48" i="4"/>
  <c r="H48" i="4"/>
  <c r="I48" i="4"/>
  <c r="C53" i="5"/>
  <c r="E49" i="4"/>
  <c r="D53" i="5" s="1"/>
  <c r="F49" i="4"/>
  <c r="E53" i="5" s="1"/>
  <c r="G49" i="4"/>
  <c r="H49" i="4"/>
  <c r="I49" i="4"/>
  <c r="C54" i="5"/>
  <c r="E50" i="4"/>
  <c r="D54" i="5" s="1"/>
  <c r="F50" i="4"/>
  <c r="E54" i="5" s="1"/>
  <c r="G50" i="4"/>
  <c r="H50" i="4"/>
  <c r="I50" i="4"/>
  <c r="E51" i="4"/>
  <c r="D55" i="5" s="1"/>
  <c r="F51" i="4"/>
  <c r="E55" i="5" s="1"/>
  <c r="G51" i="4"/>
  <c r="H51" i="4"/>
  <c r="I51" i="4"/>
  <c r="C56" i="5"/>
  <c r="E52" i="4"/>
  <c r="D56" i="5" s="1"/>
  <c r="F52" i="4"/>
  <c r="E56" i="5" s="1"/>
  <c r="G52" i="4"/>
  <c r="H52" i="4"/>
  <c r="I52" i="4"/>
  <c r="C57" i="5"/>
  <c r="E53" i="4"/>
  <c r="D57" i="5" s="1"/>
  <c r="F53" i="4"/>
  <c r="E57" i="5" s="1"/>
  <c r="G53" i="4"/>
  <c r="H53" i="4"/>
  <c r="I53" i="4"/>
  <c r="C58" i="5"/>
  <c r="E54" i="4"/>
  <c r="D58" i="5" s="1"/>
  <c r="F54" i="4"/>
  <c r="E58" i="5" s="1"/>
  <c r="G54" i="4"/>
  <c r="H54" i="4"/>
  <c r="I54" i="4"/>
  <c r="E55" i="4"/>
  <c r="D59" i="5" s="1"/>
  <c r="F55" i="4"/>
  <c r="E59" i="5" s="1"/>
  <c r="G55" i="4"/>
  <c r="H55" i="4"/>
  <c r="I55" i="4"/>
  <c r="E56" i="4"/>
  <c r="F56" i="4"/>
  <c r="G56" i="4"/>
  <c r="H56" i="4"/>
  <c r="I56" i="4"/>
  <c r="C61" i="5"/>
  <c r="E57" i="4"/>
  <c r="D61" i="5" s="1"/>
  <c r="F57" i="4"/>
  <c r="E61" i="5" s="1"/>
  <c r="G57" i="4"/>
  <c r="H57" i="4"/>
  <c r="I57" i="4"/>
  <c r="C62" i="5"/>
  <c r="E58" i="4"/>
  <c r="D62" i="5" s="1"/>
  <c r="F58" i="4"/>
  <c r="E62" i="5" s="1"/>
  <c r="G58" i="4"/>
  <c r="H58" i="4"/>
  <c r="I58" i="4"/>
  <c r="C63" i="5"/>
  <c r="E59" i="4"/>
  <c r="D63" i="5" s="1"/>
  <c r="F59" i="4"/>
  <c r="E63" i="5" s="1"/>
  <c r="G59" i="4"/>
  <c r="H59" i="4"/>
  <c r="I59" i="4"/>
  <c r="C64" i="5"/>
  <c r="E60" i="4"/>
  <c r="D64" i="5" s="1"/>
  <c r="F60" i="4"/>
  <c r="E64" i="5" s="1"/>
  <c r="G60" i="4"/>
  <c r="H60" i="4"/>
  <c r="I60" i="4"/>
  <c r="E61" i="4"/>
  <c r="F61" i="4"/>
  <c r="G61" i="4"/>
  <c r="H61" i="4"/>
  <c r="I61" i="4"/>
  <c r="C66" i="5"/>
  <c r="E62" i="4"/>
  <c r="F62" i="4"/>
  <c r="E66" i="5" s="1"/>
  <c r="E65" i="5" s="1"/>
  <c r="G62" i="4"/>
  <c r="H62" i="4"/>
  <c r="I62" i="4"/>
  <c r="E64" i="4"/>
  <c r="F64" i="4"/>
  <c r="G64" i="4"/>
  <c r="H64" i="4"/>
  <c r="I64" i="4"/>
  <c r="C69" i="5"/>
  <c r="E65" i="4"/>
  <c r="D69" i="5" s="1"/>
  <c r="D68" i="5" s="1"/>
  <c r="F65" i="4"/>
  <c r="E69" i="5" s="1"/>
  <c r="E68" i="5" s="1"/>
  <c r="G65" i="4"/>
  <c r="H65" i="4"/>
  <c r="I65" i="4"/>
  <c r="E68" i="4"/>
  <c r="F68" i="4"/>
  <c r="G68" i="4"/>
  <c r="H68" i="4"/>
  <c r="I68" i="4"/>
  <c r="C73" i="5"/>
  <c r="E69" i="4"/>
  <c r="D73" i="5" s="1"/>
  <c r="F69" i="4"/>
  <c r="E73" i="5" s="1"/>
  <c r="G69" i="4"/>
  <c r="H69" i="4"/>
  <c r="I69" i="4"/>
  <c r="C74" i="5"/>
  <c r="E70" i="4"/>
  <c r="D74" i="5" s="1"/>
  <c r="F70" i="4"/>
  <c r="E74" i="5" s="1"/>
  <c r="G70" i="4"/>
  <c r="H70" i="4"/>
  <c r="I70" i="4"/>
  <c r="C75" i="5"/>
  <c r="E71" i="4"/>
  <c r="D75" i="5" s="1"/>
  <c r="F71" i="4"/>
  <c r="E75" i="5" s="1"/>
  <c r="G71" i="4"/>
  <c r="H71" i="4"/>
  <c r="I71" i="4"/>
  <c r="C76" i="5"/>
  <c r="E72" i="4"/>
  <c r="D76" i="5" s="1"/>
  <c r="F72" i="4"/>
  <c r="E76" i="5" s="1"/>
  <c r="G72" i="4"/>
  <c r="H72" i="4"/>
  <c r="I72" i="4"/>
  <c r="C77" i="5"/>
  <c r="E73" i="4"/>
  <c r="D77" i="5" s="1"/>
  <c r="F73" i="4"/>
  <c r="E77" i="5" s="1"/>
  <c r="G73" i="4"/>
  <c r="H73" i="4"/>
  <c r="I73" i="4"/>
  <c r="C78" i="5"/>
  <c r="E74" i="4"/>
  <c r="D78" i="5" s="1"/>
  <c r="F74" i="4"/>
  <c r="E78" i="5" s="1"/>
  <c r="G74" i="4"/>
  <c r="H74" i="4"/>
  <c r="I74" i="4"/>
  <c r="C79" i="5"/>
  <c r="E75" i="4"/>
  <c r="D79" i="5" s="1"/>
  <c r="F75" i="4"/>
  <c r="E79" i="5" s="1"/>
  <c r="G75" i="4"/>
  <c r="H75" i="4"/>
  <c r="I75" i="4"/>
  <c r="E76" i="4"/>
  <c r="F76" i="4"/>
  <c r="G76" i="4"/>
  <c r="H76" i="4"/>
  <c r="I76" i="4"/>
  <c r="C81" i="5"/>
  <c r="C80" i="5" s="1"/>
  <c r="E77" i="4"/>
  <c r="F77" i="4"/>
  <c r="E81" i="5" s="1"/>
  <c r="E80" i="5" s="1"/>
  <c r="G77" i="4"/>
  <c r="H77" i="4"/>
  <c r="I77" i="4"/>
  <c r="E78" i="4"/>
  <c r="F78" i="4"/>
  <c r="G78" i="4"/>
  <c r="H78" i="4"/>
  <c r="I78" i="4"/>
  <c r="C83" i="5"/>
  <c r="E79" i="4"/>
  <c r="D83" i="5" s="1"/>
  <c r="F79" i="4"/>
  <c r="E83" i="5" s="1"/>
  <c r="G79" i="4"/>
  <c r="H79" i="4"/>
  <c r="I79" i="4"/>
  <c r="C84" i="5"/>
  <c r="E80" i="4"/>
  <c r="D84" i="5" s="1"/>
  <c r="F80" i="4"/>
  <c r="E84" i="5" s="1"/>
  <c r="G80" i="4"/>
  <c r="H80" i="4"/>
  <c r="I80" i="4"/>
  <c r="C85" i="5"/>
  <c r="E81" i="4"/>
  <c r="D85" i="5" s="1"/>
  <c r="F81" i="4"/>
  <c r="E85" i="5" s="1"/>
  <c r="G81" i="4"/>
  <c r="H81" i="4"/>
  <c r="I81" i="4"/>
  <c r="E83" i="4"/>
  <c r="F83" i="4"/>
  <c r="G83" i="4"/>
  <c r="H83" i="4"/>
  <c r="I83" i="4"/>
  <c r="C88" i="5"/>
  <c r="E84" i="4"/>
  <c r="D88" i="5" s="1"/>
  <c r="F84" i="4"/>
  <c r="E88" i="5" s="1"/>
  <c r="G84" i="4"/>
  <c r="H84" i="4"/>
  <c r="I84" i="4"/>
  <c r="C89" i="5"/>
  <c r="E85" i="4"/>
  <c r="D89" i="5" s="1"/>
  <c r="F85" i="4"/>
  <c r="E89" i="5" s="1"/>
  <c r="G85" i="4"/>
  <c r="H85" i="4"/>
  <c r="I85" i="4"/>
  <c r="C90" i="5"/>
  <c r="E86" i="4"/>
  <c r="D90" i="5" s="1"/>
  <c r="F86" i="4"/>
  <c r="E90" i="5" s="1"/>
  <c r="G86" i="4"/>
  <c r="H86" i="4"/>
  <c r="I86" i="4"/>
  <c r="C91" i="5"/>
  <c r="E87" i="4"/>
  <c r="D91" i="5" s="1"/>
  <c r="F87" i="4"/>
  <c r="E91" i="5" s="1"/>
  <c r="G87" i="4"/>
  <c r="H87" i="4"/>
  <c r="I87" i="4"/>
  <c r="C92" i="5"/>
  <c r="E88" i="4"/>
  <c r="D92" i="5" s="1"/>
  <c r="F88" i="4"/>
  <c r="E92" i="5" s="1"/>
  <c r="G88" i="4"/>
  <c r="H88" i="4"/>
  <c r="I88" i="4"/>
  <c r="E89" i="4"/>
  <c r="F89" i="4"/>
  <c r="G89" i="4"/>
  <c r="H89" i="4"/>
  <c r="I89" i="4"/>
  <c r="C94" i="5"/>
  <c r="E90" i="4"/>
  <c r="D94" i="5" s="1"/>
  <c r="D93" i="5" s="1"/>
  <c r="F90" i="4"/>
  <c r="E94" i="5" s="1"/>
  <c r="E93" i="5" s="1"/>
  <c r="G90" i="4"/>
  <c r="H90" i="4"/>
  <c r="I90" i="4"/>
  <c r="C140" i="5"/>
  <c r="E136" i="4"/>
  <c r="D140" i="5" s="1"/>
  <c r="F136" i="4"/>
  <c r="E140" i="5" s="1"/>
  <c r="G136" i="4"/>
  <c r="H136" i="4"/>
  <c r="I136" i="4"/>
  <c r="C141" i="5"/>
  <c r="E137" i="4"/>
  <c r="D141" i="5" s="1"/>
  <c r="F137" i="4"/>
  <c r="E141" i="5" s="1"/>
  <c r="G137" i="4"/>
  <c r="H137" i="4"/>
  <c r="I137" i="4"/>
  <c r="E138" i="4"/>
  <c r="F138" i="4"/>
  <c r="G138" i="4"/>
  <c r="H138" i="4"/>
  <c r="H129" i="4" s="1"/>
  <c r="I138" i="4"/>
  <c r="I129" i="4" s="1"/>
  <c r="C143" i="5"/>
  <c r="C142" i="5" s="1"/>
  <c r="K142" i="5" s="1"/>
  <c r="E139" i="4"/>
  <c r="D143" i="5" s="1"/>
  <c r="D142" i="5" s="1"/>
  <c r="F139" i="4"/>
  <c r="E143" i="5" s="1"/>
  <c r="E142" i="5" s="1"/>
  <c r="G139" i="4"/>
  <c r="H139" i="4"/>
  <c r="I139" i="4"/>
  <c r="G8" i="1"/>
  <c r="G9" i="1"/>
  <c r="G10" i="1"/>
  <c r="G11" i="1"/>
  <c r="G22" i="1" s="1"/>
  <c r="G12" i="1"/>
  <c r="F8" i="1"/>
  <c r="H8" i="1"/>
  <c r="F9" i="1"/>
  <c r="H9" i="1"/>
  <c r="F10" i="1"/>
  <c r="H10" i="1"/>
  <c r="F11" i="1"/>
  <c r="H11" i="1"/>
  <c r="F12" i="1"/>
  <c r="H12" i="1"/>
  <c r="H23" i="1" s="1"/>
  <c r="H7" i="1"/>
  <c r="F7" i="1"/>
  <c r="E8" i="1"/>
  <c r="E9" i="1"/>
  <c r="E10" i="1"/>
  <c r="E11" i="1"/>
  <c r="E22" i="1" s="1"/>
  <c r="E12" i="1"/>
  <c r="E7" i="1"/>
  <c r="D8" i="1"/>
  <c r="D9" i="1"/>
  <c r="D10" i="1"/>
  <c r="D11" i="1"/>
  <c r="D12" i="1"/>
  <c r="D7" i="1"/>
  <c r="C8" i="1"/>
  <c r="C9" i="1"/>
  <c r="B6" i="6" s="1"/>
  <c r="C10" i="1"/>
  <c r="B7" i="6" s="1"/>
  <c r="C11" i="1"/>
  <c r="C12" i="1"/>
  <c r="C7" i="1"/>
  <c r="L12" i="1"/>
  <c r="L23" i="1" s="1"/>
  <c r="K90" i="4"/>
  <c r="G94" i="5" s="1"/>
  <c r="G93" i="5" s="1"/>
  <c r="K88" i="4"/>
  <c r="G92" i="5" s="1"/>
  <c r="K77" i="4"/>
  <c r="G81" i="5" s="1"/>
  <c r="G80" i="5" s="1"/>
  <c r="L9" i="1"/>
  <c r="K64" i="4"/>
  <c r="E82" i="4" l="1"/>
  <c r="F14" i="1"/>
  <c r="F15" i="1" s="1"/>
  <c r="G14" i="1"/>
  <c r="G15" i="1" s="1"/>
  <c r="H14" i="1"/>
  <c r="E19" i="1"/>
  <c r="E14" i="1"/>
  <c r="E15" i="1" s="1"/>
  <c r="D14" i="1"/>
  <c r="D15" i="1" s="1"/>
  <c r="C14" i="1"/>
  <c r="J7" i="1"/>
  <c r="J12" i="1"/>
  <c r="K12" i="1" s="1"/>
  <c r="F22" i="1"/>
  <c r="J11" i="1"/>
  <c r="K11" i="1" s="1"/>
  <c r="J9" i="1"/>
  <c r="K9" i="1" s="1"/>
  <c r="J8" i="1"/>
  <c r="J10" i="1"/>
  <c r="K10" i="1" s="1"/>
  <c r="C65" i="5"/>
  <c r="K65" i="5" s="1"/>
  <c r="I7" i="1"/>
  <c r="M7" i="1"/>
  <c r="I8" i="1"/>
  <c r="I9" i="1"/>
  <c r="H19" i="1"/>
  <c r="I12" i="1"/>
  <c r="H22" i="1"/>
  <c r="I11" i="1"/>
  <c r="H21" i="1"/>
  <c r="I10" i="1"/>
  <c r="J4" i="4"/>
  <c r="E12" i="5"/>
  <c r="E8" i="5"/>
  <c r="J90" i="4"/>
  <c r="F94" i="5" s="1"/>
  <c r="F93" i="5" s="1"/>
  <c r="J86" i="4"/>
  <c r="F90" i="5" s="1"/>
  <c r="I82" i="4"/>
  <c r="J81" i="4"/>
  <c r="F85" i="5" s="1"/>
  <c r="J77" i="4"/>
  <c r="F81" i="5" s="1"/>
  <c r="F80" i="5" s="1"/>
  <c r="J73" i="4"/>
  <c r="F77" i="5" s="1"/>
  <c r="J69" i="4"/>
  <c r="F73" i="5" s="1"/>
  <c r="J20" i="4"/>
  <c r="F24" i="5" s="1"/>
  <c r="C60" i="5"/>
  <c r="K60" i="5" s="1"/>
  <c r="C139" i="5"/>
  <c r="E45" i="5"/>
  <c r="E139" i="5"/>
  <c r="E133" i="5" s="1"/>
  <c r="E33" i="5"/>
  <c r="J136" i="4"/>
  <c r="F140" i="5" s="1"/>
  <c r="E82" i="5"/>
  <c r="C87" i="5"/>
  <c r="C82" i="5"/>
  <c r="E60" i="5"/>
  <c r="E52" i="5"/>
  <c r="E22" i="5"/>
  <c r="J16" i="4"/>
  <c r="F20" i="5" s="1"/>
  <c r="J12" i="4"/>
  <c r="J8" i="4"/>
  <c r="C33" i="5"/>
  <c r="K33" i="5" s="1"/>
  <c r="E16" i="5"/>
  <c r="C72" i="5"/>
  <c r="J65" i="4"/>
  <c r="F69" i="5" s="1"/>
  <c r="F68" i="5" s="1"/>
  <c r="J60" i="4"/>
  <c r="F64" i="5" s="1"/>
  <c r="J56" i="4"/>
  <c r="J52" i="4"/>
  <c r="F56" i="5" s="1"/>
  <c r="J48" i="4"/>
  <c r="J44" i="4"/>
  <c r="F48" i="5" s="1"/>
  <c r="J40" i="4"/>
  <c r="F44" i="5" s="1"/>
  <c r="J36" i="4"/>
  <c r="F40" i="5" s="1"/>
  <c r="J32" i="4"/>
  <c r="F36" i="5" s="1"/>
  <c r="J27" i="4"/>
  <c r="F31" i="5" s="1"/>
  <c r="F30" i="5" s="1"/>
  <c r="J23" i="4"/>
  <c r="F27" i="5" s="1"/>
  <c r="L55" i="4"/>
  <c r="H59" i="5" s="1"/>
  <c r="C59" i="5"/>
  <c r="L51" i="4"/>
  <c r="H55" i="5" s="1"/>
  <c r="C55" i="5"/>
  <c r="L47" i="4"/>
  <c r="H51" i="5" s="1"/>
  <c r="C51" i="5"/>
  <c r="L43" i="4"/>
  <c r="H47" i="5" s="1"/>
  <c r="C47" i="5"/>
  <c r="L39" i="4"/>
  <c r="H43" i="5" s="1"/>
  <c r="C43" i="5"/>
  <c r="C39" i="5" s="1"/>
  <c r="K39" i="5" s="1"/>
  <c r="E39" i="5"/>
  <c r="L35" i="4"/>
  <c r="H39" i="5" s="1"/>
  <c r="E25" i="5"/>
  <c r="E72" i="5"/>
  <c r="E87" i="5"/>
  <c r="L64" i="4"/>
  <c r="H68" i="5" s="1"/>
  <c r="D139" i="5"/>
  <c r="D133" i="5" s="1"/>
  <c r="D82" i="5"/>
  <c r="D60" i="5"/>
  <c r="D87" i="5"/>
  <c r="D72" i="5"/>
  <c r="D52" i="5"/>
  <c r="D22" i="5"/>
  <c r="D45" i="5"/>
  <c r="D39" i="5"/>
  <c r="D33" i="5"/>
  <c r="D25" i="5"/>
  <c r="D16" i="5"/>
  <c r="D12" i="5"/>
  <c r="D8" i="5"/>
  <c r="D81" i="5"/>
  <c r="D80" i="5" s="1"/>
  <c r="D66" i="5"/>
  <c r="D65" i="5" s="1"/>
  <c r="D118" i="5"/>
  <c r="J53" i="4"/>
  <c r="F57" i="5" s="1"/>
  <c r="J41" i="4"/>
  <c r="J29" i="4"/>
  <c r="J17" i="4"/>
  <c r="F21" i="5" s="1"/>
  <c r="J83" i="4"/>
  <c r="J74" i="4"/>
  <c r="F78" i="5" s="1"/>
  <c r="J54" i="4"/>
  <c r="F58" i="5" s="1"/>
  <c r="J42" i="4"/>
  <c r="F46" i="5" s="1"/>
  <c r="J30" i="4"/>
  <c r="F34" i="5" s="1"/>
  <c r="J25" i="4"/>
  <c r="F29" i="5" s="1"/>
  <c r="J14" i="4"/>
  <c r="F18" i="5" s="1"/>
  <c r="J10" i="4"/>
  <c r="F14" i="5" s="1"/>
  <c r="J6" i="4"/>
  <c r="F10" i="5" s="1"/>
  <c r="J88" i="4"/>
  <c r="F92" i="5" s="1"/>
  <c r="J84" i="4"/>
  <c r="F88" i="5" s="1"/>
  <c r="J79" i="4"/>
  <c r="F83" i="5" s="1"/>
  <c r="J75" i="4"/>
  <c r="F79" i="5" s="1"/>
  <c r="J71" i="4"/>
  <c r="F75" i="5" s="1"/>
  <c r="J18" i="4"/>
  <c r="J137" i="4"/>
  <c r="F141" i="5" s="1"/>
  <c r="J61" i="4"/>
  <c r="J45" i="4"/>
  <c r="F49" i="5" s="1"/>
  <c r="J33" i="4"/>
  <c r="F37" i="5" s="1"/>
  <c r="J9" i="4"/>
  <c r="F13" i="5" s="1"/>
  <c r="J87" i="4"/>
  <c r="F91" i="5" s="1"/>
  <c r="J70" i="4"/>
  <c r="F74" i="5" s="1"/>
  <c r="J62" i="4"/>
  <c r="F66" i="5" s="1"/>
  <c r="F65" i="5" s="1"/>
  <c r="J46" i="4"/>
  <c r="F50" i="5" s="1"/>
  <c r="J34" i="4"/>
  <c r="F38" i="5" s="1"/>
  <c r="J64" i="4"/>
  <c r="J59" i="4"/>
  <c r="F63" i="5" s="1"/>
  <c r="J55" i="4"/>
  <c r="F59" i="5" s="1"/>
  <c r="J51" i="4"/>
  <c r="F55" i="5" s="1"/>
  <c r="J47" i="4"/>
  <c r="F51" i="5" s="1"/>
  <c r="J43" i="4"/>
  <c r="F47" i="5" s="1"/>
  <c r="J39" i="4"/>
  <c r="F43" i="5" s="1"/>
  <c r="J35" i="4"/>
  <c r="J31" i="4"/>
  <c r="F35" i="5" s="1"/>
  <c r="J26" i="4"/>
  <c r="J15" i="4"/>
  <c r="F19" i="5" s="1"/>
  <c r="J11" i="4"/>
  <c r="F15" i="5" s="1"/>
  <c r="J7" i="4"/>
  <c r="F11" i="5" s="1"/>
  <c r="J57" i="4"/>
  <c r="F61" i="5" s="1"/>
  <c r="J49" i="4"/>
  <c r="F53" i="5" s="1"/>
  <c r="J37" i="4"/>
  <c r="F41" i="5" s="1"/>
  <c r="J24" i="4"/>
  <c r="F28" i="5" s="1"/>
  <c r="J13" i="4"/>
  <c r="F17" i="5" s="1"/>
  <c r="J78" i="4"/>
  <c r="J21" i="4"/>
  <c r="J58" i="4"/>
  <c r="F62" i="5" s="1"/>
  <c r="J50" i="4"/>
  <c r="F54" i="5" s="1"/>
  <c r="J38" i="4"/>
  <c r="F42" i="5" s="1"/>
  <c r="J139" i="4"/>
  <c r="F143" i="5" s="1"/>
  <c r="F142" i="5" s="1"/>
  <c r="J89" i="4"/>
  <c r="J85" i="4"/>
  <c r="F89" i="5" s="1"/>
  <c r="J80" i="4"/>
  <c r="F84" i="5" s="1"/>
  <c r="J76" i="4"/>
  <c r="J72" i="4"/>
  <c r="F76" i="5" s="1"/>
  <c r="J68" i="4"/>
  <c r="J19" i="4"/>
  <c r="F23" i="5" s="1"/>
  <c r="G129" i="4"/>
  <c r="J138" i="4"/>
  <c r="J129" i="4" s="1"/>
  <c r="C30" i="5"/>
  <c r="L7" i="4"/>
  <c r="H11" i="5" s="1"/>
  <c r="L31" i="4"/>
  <c r="H35" i="5" s="1"/>
  <c r="L11" i="4"/>
  <c r="H15" i="5" s="1"/>
  <c r="J5" i="4"/>
  <c r="F9" i="5" s="1"/>
  <c r="L72" i="4"/>
  <c r="H76" i="5" s="1"/>
  <c r="H28" i="4"/>
  <c r="L89" i="4"/>
  <c r="H93" i="5" s="1"/>
  <c r="H82" i="4"/>
  <c r="L80" i="4"/>
  <c r="H84" i="5" s="1"/>
  <c r="L76" i="4"/>
  <c r="H80" i="5" s="1"/>
  <c r="L68" i="4"/>
  <c r="H72" i="5" s="1"/>
  <c r="H97" i="5"/>
  <c r="G82" i="4"/>
  <c r="L8" i="4"/>
  <c r="H12" i="5" s="1"/>
  <c r="H3" i="4"/>
  <c r="L136" i="4"/>
  <c r="H140" i="5" s="1"/>
  <c r="L65" i="4"/>
  <c r="H69" i="5" s="1"/>
  <c r="L60" i="4"/>
  <c r="H64" i="5" s="1"/>
  <c r="L56" i="4"/>
  <c r="H60" i="5" s="1"/>
  <c r="L52" i="4"/>
  <c r="H56" i="5" s="1"/>
  <c r="L48" i="4"/>
  <c r="H52" i="5" s="1"/>
  <c r="L36" i="4"/>
  <c r="H40" i="5" s="1"/>
  <c r="L23" i="4"/>
  <c r="H27" i="5" s="1"/>
  <c r="L16" i="4"/>
  <c r="H20" i="5" s="1"/>
  <c r="I3" i="4"/>
  <c r="L18" i="4"/>
  <c r="H22" i="5" s="1"/>
  <c r="I28" i="4"/>
  <c r="G28" i="4"/>
  <c r="L90" i="4"/>
  <c r="H94" i="5" s="1"/>
  <c r="L81" i="4"/>
  <c r="H85" i="5" s="1"/>
  <c r="L77" i="4"/>
  <c r="H81" i="5" s="1"/>
  <c r="L73" i="4"/>
  <c r="H77" i="5" s="1"/>
  <c r="L87" i="4"/>
  <c r="H91" i="5" s="1"/>
  <c r="L78" i="4"/>
  <c r="H82" i="5" s="1"/>
  <c r="L70" i="4"/>
  <c r="H74" i="5" s="1"/>
  <c r="L21" i="4"/>
  <c r="H25" i="5" s="1"/>
  <c r="L137" i="4"/>
  <c r="H141" i="5" s="1"/>
  <c r="H98" i="5"/>
  <c r="L53" i="4"/>
  <c r="H57" i="5" s="1"/>
  <c r="L45" i="4"/>
  <c r="H49" i="5" s="1"/>
  <c r="L41" i="4"/>
  <c r="H45" i="5" s="1"/>
  <c r="L37" i="4"/>
  <c r="H41" i="5" s="1"/>
  <c r="L24" i="4"/>
  <c r="H28" i="5" s="1"/>
  <c r="H131" i="5"/>
  <c r="H99" i="5"/>
  <c r="L62" i="4"/>
  <c r="H66" i="5" s="1"/>
  <c r="L54" i="4"/>
  <c r="H58" i="5" s="1"/>
  <c r="L50" i="4"/>
  <c r="H54" i="5" s="1"/>
  <c r="L42" i="4"/>
  <c r="H46" i="5" s="1"/>
  <c r="L10" i="4"/>
  <c r="H14" i="5" s="1"/>
  <c r="L88" i="4"/>
  <c r="H92" i="5" s="1"/>
  <c r="L84" i="4"/>
  <c r="H88" i="5" s="1"/>
  <c r="L79" i="4"/>
  <c r="H83" i="5" s="1"/>
  <c r="L75" i="4"/>
  <c r="H79" i="5" s="1"/>
  <c r="L71" i="4"/>
  <c r="H75" i="5" s="1"/>
  <c r="L67" i="4"/>
  <c r="H71" i="5" s="1"/>
  <c r="G3" i="4"/>
  <c r="F3" i="4"/>
  <c r="F82" i="4"/>
  <c r="F28" i="4"/>
  <c r="F129" i="4"/>
  <c r="L26" i="4"/>
  <c r="H30" i="5" s="1"/>
  <c r="L86" i="4"/>
  <c r="H90" i="5" s="1"/>
  <c r="L19" i="4"/>
  <c r="H23" i="5" s="1"/>
  <c r="L15" i="4"/>
  <c r="H19" i="5" s="1"/>
  <c r="L40" i="4"/>
  <c r="H44" i="5" s="1"/>
  <c r="L27" i="4"/>
  <c r="H31" i="5" s="1"/>
  <c r="D3" i="4"/>
  <c r="L4" i="4"/>
  <c r="H8" i="5" s="1"/>
  <c r="L61" i="4"/>
  <c r="H65" i="5" s="1"/>
  <c r="L49" i="4"/>
  <c r="H53" i="5" s="1"/>
  <c r="L33" i="4"/>
  <c r="H37" i="5" s="1"/>
  <c r="L29" i="4"/>
  <c r="H33" i="5" s="1"/>
  <c r="D28" i="4"/>
  <c r="L20" i="4"/>
  <c r="H24" i="5" s="1"/>
  <c r="L138" i="4"/>
  <c r="D129" i="4"/>
  <c r="L74" i="4"/>
  <c r="H78" i="5" s="1"/>
  <c r="L17" i="4"/>
  <c r="H21" i="5" s="1"/>
  <c r="L13" i="4"/>
  <c r="H17" i="5" s="1"/>
  <c r="L9" i="4"/>
  <c r="H13" i="5" s="1"/>
  <c r="L5" i="4"/>
  <c r="H9" i="5" s="1"/>
  <c r="L32" i="4"/>
  <c r="H36" i="5" s="1"/>
  <c r="L69" i="4"/>
  <c r="H73" i="5" s="1"/>
  <c r="L12" i="4"/>
  <c r="H16" i="5" s="1"/>
  <c r="L58" i="4"/>
  <c r="H62" i="5" s="1"/>
  <c r="L34" i="4"/>
  <c r="H38" i="5" s="1"/>
  <c r="M90" i="4"/>
  <c r="I94" i="5" s="1"/>
  <c r="L139" i="4"/>
  <c r="H143" i="5" s="1"/>
  <c r="L25" i="4"/>
  <c r="H29" i="5" s="1"/>
  <c r="L14" i="4"/>
  <c r="H18" i="5" s="1"/>
  <c r="L6" i="4"/>
  <c r="H10" i="5" s="1"/>
  <c r="H101" i="5"/>
  <c r="L44" i="4"/>
  <c r="H48" i="5" s="1"/>
  <c r="H102" i="5"/>
  <c r="L83" i="4"/>
  <c r="H87" i="5" s="1"/>
  <c r="L57" i="4"/>
  <c r="H61" i="5" s="1"/>
  <c r="L46" i="4"/>
  <c r="H50" i="5" s="1"/>
  <c r="L38" i="4"/>
  <c r="H42" i="5" s="1"/>
  <c r="L30" i="4"/>
  <c r="H34" i="5" s="1"/>
  <c r="L85" i="4"/>
  <c r="H89" i="5" s="1"/>
  <c r="L59" i="4"/>
  <c r="H63" i="5" s="1"/>
  <c r="D86" i="5"/>
  <c r="E28" i="4"/>
  <c r="E129" i="4"/>
  <c r="E3" i="4"/>
  <c r="M88" i="4"/>
  <c r="I92" i="5" s="1"/>
  <c r="M64" i="4"/>
  <c r="I68" i="5" s="1"/>
  <c r="M77" i="4"/>
  <c r="I81" i="5" s="1"/>
  <c r="B4" i="6"/>
  <c r="C19" i="1"/>
  <c r="B8" i="6"/>
  <c r="C22" i="1"/>
  <c r="F19" i="1"/>
  <c r="D22" i="1"/>
  <c r="D19" i="1"/>
  <c r="G21" i="1"/>
  <c r="F21" i="1"/>
  <c r="F23" i="1"/>
  <c r="G23" i="1"/>
  <c r="K137" i="4"/>
  <c r="G141" i="5" s="1"/>
  <c r="K72" i="4"/>
  <c r="G76" i="5" s="1"/>
  <c r="K48" i="4"/>
  <c r="K20" i="4"/>
  <c r="G24" i="5" s="1"/>
  <c r="K46" i="4"/>
  <c r="G50" i="5" s="1"/>
  <c r="K85" i="4"/>
  <c r="G89" i="5" s="1"/>
  <c r="K136" i="4"/>
  <c r="G140" i="5" s="1"/>
  <c r="L11" i="1"/>
  <c r="L22" i="1" s="1"/>
  <c r="K61" i="4"/>
  <c r="K83" i="4"/>
  <c r="K54" i="4"/>
  <c r="G58" i="5" s="1"/>
  <c r="K56" i="4"/>
  <c r="K58" i="4"/>
  <c r="G62" i="5" s="1"/>
  <c r="K60" i="4"/>
  <c r="G64" i="5" s="1"/>
  <c r="K80" i="4"/>
  <c r="G84" i="5" s="1"/>
  <c r="H20" i="1"/>
  <c r="K38" i="4"/>
  <c r="G42" i="5" s="1"/>
  <c r="K6" i="4"/>
  <c r="G10" i="5" s="1"/>
  <c r="K12" i="4"/>
  <c r="K17" i="4"/>
  <c r="G21" i="5" s="1"/>
  <c r="K30" i="4"/>
  <c r="G34" i="5" s="1"/>
  <c r="K73" i="4"/>
  <c r="G77" i="5" s="1"/>
  <c r="D21" i="1"/>
  <c r="K9" i="4"/>
  <c r="G13" i="5" s="1"/>
  <c r="K43" i="4"/>
  <c r="G47" i="5" s="1"/>
  <c r="K71" i="4"/>
  <c r="G75" i="5" s="1"/>
  <c r="K75" i="4"/>
  <c r="G79" i="5" s="1"/>
  <c r="K86" i="4"/>
  <c r="G90" i="5" s="1"/>
  <c r="L7" i="1"/>
  <c r="E20" i="1"/>
  <c r="K39" i="4"/>
  <c r="G43" i="5" s="1"/>
  <c r="F20" i="1"/>
  <c r="K18" i="4"/>
  <c r="K23" i="4"/>
  <c r="G27" i="5" s="1"/>
  <c r="K37" i="4"/>
  <c r="G41" i="5" s="1"/>
  <c r="L10" i="1"/>
  <c r="C7" i="6" s="1"/>
  <c r="E7" i="6" s="1"/>
  <c r="F7" i="6" s="1"/>
  <c r="G20" i="1"/>
  <c r="K15" i="4"/>
  <c r="G19" i="5" s="1"/>
  <c r="K41" i="4"/>
  <c r="K45" i="4"/>
  <c r="G49" i="5" s="1"/>
  <c r="K52" i="4"/>
  <c r="G56" i="5" s="1"/>
  <c r="K69" i="4"/>
  <c r="G73" i="5" s="1"/>
  <c r="K87" i="4"/>
  <c r="G91" i="5" s="1"/>
  <c r="K19" i="4"/>
  <c r="G23" i="5" s="1"/>
  <c r="K53" i="4"/>
  <c r="G57" i="5" s="1"/>
  <c r="K5" i="4"/>
  <c r="K32" i="4"/>
  <c r="G36" i="5" s="1"/>
  <c r="K35" i="4"/>
  <c r="K84" i="4"/>
  <c r="G88" i="5" s="1"/>
  <c r="K29" i="4"/>
  <c r="K25" i="4"/>
  <c r="G29" i="5" s="1"/>
  <c r="K40" i="4"/>
  <c r="G44" i="5" s="1"/>
  <c r="K65" i="4"/>
  <c r="G69" i="5" s="1"/>
  <c r="G68" i="5" s="1"/>
  <c r="K14" i="4"/>
  <c r="G18" i="5" s="1"/>
  <c r="K24" i="4"/>
  <c r="G28" i="5" s="1"/>
  <c r="K78" i="4"/>
  <c r="M78" i="4" s="1"/>
  <c r="K62" i="4"/>
  <c r="G66" i="5" s="1"/>
  <c r="G65" i="5" s="1"/>
  <c r="K33" i="4"/>
  <c r="G37" i="5" s="1"/>
  <c r="K139" i="4"/>
  <c r="G143" i="5" s="1"/>
  <c r="G142" i="5" s="1"/>
  <c r="K27" i="4"/>
  <c r="G31" i="5" s="1"/>
  <c r="G30" i="5" s="1"/>
  <c r="K31" i="4"/>
  <c r="G35" i="5" s="1"/>
  <c r="K42" i="4"/>
  <c r="G46" i="5" s="1"/>
  <c r="K10" i="4"/>
  <c r="G14" i="5" s="1"/>
  <c r="K44" i="4"/>
  <c r="G48" i="5" s="1"/>
  <c r="K34" i="4"/>
  <c r="G38" i="5" s="1"/>
  <c r="K8" i="4"/>
  <c r="K13" i="4"/>
  <c r="G17" i="5" s="1"/>
  <c r="L8" i="1"/>
  <c r="C5" i="6" s="1"/>
  <c r="E5" i="6" s="1"/>
  <c r="K81" i="4"/>
  <c r="G85" i="5" s="1"/>
  <c r="B5" i="6"/>
  <c r="C20" i="1"/>
  <c r="K57" i="4"/>
  <c r="G61" i="5" s="1"/>
  <c r="K4" i="4"/>
  <c r="K11" i="4"/>
  <c r="G15" i="5" s="1"/>
  <c r="K16" i="4"/>
  <c r="G20" i="5" s="1"/>
  <c r="K55" i="4"/>
  <c r="G59" i="5" s="1"/>
  <c r="K70" i="4"/>
  <c r="G74" i="5" s="1"/>
  <c r="K47" i="4"/>
  <c r="G51" i="5" s="1"/>
  <c r="K74" i="4"/>
  <c r="G78" i="5" s="1"/>
  <c r="K68" i="4"/>
  <c r="K76" i="4"/>
  <c r="K89" i="4"/>
  <c r="K79" i="4"/>
  <c r="G83" i="5" s="1"/>
  <c r="K138" i="4"/>
  <c r="K26" i="4"/>
  <c r="M26" i="4" s="1"/>
  <c r="K7" i="4"/>
  <c r="G11" i="5" s="1"/>
  <c r="K21" i="4"/>
  <c r="M21" i="4" s="1"/>
  <c r="K49" i="4"/>
  <c r="G53" i="5" s="1"/>
  <c r="K59" i="4"/>
  <c r="G63" i="5" s="1"/>
  <c r="K36" i="4"/>
  <c r="G40" i="5" s="1"/>
  <c r="K51" i="4"/>
  <c r="G55" i="5" s="1"/>
  <c r="B9" i="6"/>
  <c r="C23" i="1"/>
  <c r="K50" i="4"/>
  <c r="G54" i="5" s="1"/>
  <c r="H100" i="5"/>
  <c r="H142" i="5"/>
  <c r="F23" i="6"/>
  <c r="H96" i="5"/>
  <c r="C21" i="1"/>
  <c r="E21" i="1"/>
  <c r="D20" i="1"/>
  <c r="D23" i="1"/>
  <c r="E23" i="1"/>
  <c r="M12" i="1"/>
  <c r="N12" i="1"/>
  <c r="N9" i="1"/>
  <c r="C9" i="6"/>
  <c r="E9" i="6" s="1"/>
  <c r="M10" i="1"/>
  <c r="M9" i="1"/>
  <c r="M11" i="1"/>
  <c r="C6" i="6"/>
  <c r="E6" i="6" s="1"/>
  <c r="F6" i="6" s="1"/>
  <c r="M8" i="1"/>
  <c r="K82" i="4" l="1"/>
  <c r="O19" i="1"/>
  <c r="F25" i="1"/>
  <c r="J21" i="1"/>
  <c r="K21" i="1" s="1"/>
  <c r="E149" i="4"/>
  <c r="E150" i="4" s="1"/>
  <c r="J20" i="1"/>
  <c r="K20" i="1" s="1"/>
  <c r="G25" i="1"/>
  <c r="L14" i="1"/>
  <c r="N14" i="1" s="1"/>
  <c r="G149" i="4"/>
  <c r="G150" i="4" s="1"/>
  <c r="I149" i="4"/>
  <c r="I150" i="4" s="1"/>
  <c r="F149" i="4"/>
  <c r="F150" i="4" s="1"/>
  <c r="D149" i="4"/>
  <c r="H25" i="1"/>
  <c r="E25" i="1"/>
  <c r="K7" i="1"/>
  <c r="J14" i="1"/>
  <c r="K14" i="1" s="1"/>
  <c r="D25" i="1"/>
  <c r="C25" i="1"/>
  <c r="B27" i="1" s="1"/>
  <c r="J19" i="1"/>
  <c r="J23" i="1"/>
  <c r="K23" i="1" s="1"/>
  <c r="J22" i="1"/>
  <c r="K22" i="1" s="1"/>
  <c r="K8" i="1"/>
  <c r="C133" i="5"/>
  <c r="K139" i="5"/>
  <c r="I21" i="1"/>
  <c r="H15" i="1"/>
  <c r="I14" i="1"/>
  <c r="I20" i="1"/>
  <c r="I22" i="1"/>
  <c r="I23" i="1"/>
  <c r="I19" i="1"/>
  <c r="L19" i="1"/>
  <c r="N7" i="1"/>
  <c r="L129" i="4"/>
  <c r="H133" i="5" s="1"/>
  <c r="J3" i="4"/>
  <c r="C52" i="5"/>
  <c r="K52" i="5" s="1"/>
  <c r="F22" i="5"/>
  <c r="C45" i="5"/>
  <c r="K45" i="5" s="1"/>
  <c r="F25" i="5"/>
  <c r="F52" i="5"/>
  <c r="F72" i="5"/>
  <c r="E7" i="5"/>
  <c r="F8" i="5"/>
  <c r="F39" i="5"/>
  <c r="F60" i="5"/>
  <c r="F33" i="5"/>
  <c r="F12" i="5"/>
  <c r="F82" i="5"/>
  <c r="F45" i="5"/>
  <c r="F139" i="5"/>
  <c r="F133" i="5" s="1"/>
  <c r="F16" i="5"/>
  <c r="F87" i="5"/>
  <c r="G139" i="5"/>
  <c r="G82" i="5"/>
  <c r="G22" i="5"/>
  <c r="G87" i="5"/>
  <c r="G39" i="5"/>
  <c r="G72" i="5"/>
  <c r="G60" i="5"/>
  <c r="G52" i="5"/>
  <c r="G45" i="5"/>
  <c r="G33" i="5"/>
  <c r="G25" i="5"/>
  <c r="G16" i="5"/>
  <c r="G12" i="5"/>
  <c r="D7" i="5"/>
  <c r="M34" i="4"/>
  <c r="I38" i="5" s="1"/>
  <c r="C93" i="5"/>
  <c r="F86" i="5"/>
  <c r="M139" i="4"/>
  <c r="I143" i="5" s="1"/>
  <c r="M137" i="4"/>
  <c r="I141" i="5" s="1"/>
  <c r="M136" i="4"/>
  <c r="I140" i="5" s="1"/>
  <c r="M79" i="4"/>
  <c r="I83" i="5" s="1"/>
  <c r="M74" i="4"/>
  <c r="I78" i="5" s="1"/>
  <c r="M70" i="4"/>
  <c r="I74" i="5" s="1"/>
  <c r="M62" i="4"/>
  <c r="I66" i="5" s="1"/>
  <c r="M57" i="4"/>
  <c r="I61" i="5" s="1"/>
  <c r="M50" i="4"/>
  <c r="I54" i="5" s="1"/>
  <c r="M53" i="4"/>
  <c r="I57" i="5" s="1"/>
  <c r="M49" i="4"/>
  <c r="I53" i="5" s="1"/>
  <c r="M44" i="4"/>
  <c r="I48" i="5" s="1"/>
  <c r="M42" i="4"/>
  <c r="I46" i="5" s="1"/>
  <c r="M37" i="4"/>
  <c r="I41" i="5" s="1"/>
  <c r="M36" i="4"/>
  <c r="I40" i="5" s="1"/>
  <c r="L82" i="4"/>
  <c r="H86" i="5" s="1"/>
  <c r="C8" i="5"/>
  <c r="C22" i="5"/>
  <c r="I95" i="5"/>
  <c r="J82" i="4"/>
  <c r="J28" i="4"/>
  <c r="C16" i="5"/>
  <c r="C12" i="5"/>
  <c r="M33" i="4"/>
  <c r="I37" i="5" s="1"/>
  <c r="M25" i="4"/>
  <c r="I29" i="5" s="1"/>
  <c r="M14" i="4"/>
  <c r="I18" i="5" s="1"/>
  <c r="M13" i="4"/>
  <c r="I17" i="5" s="1"/>
  <c r="M10" i="4"/>
  <c r="I14" i="5" s="1"/>
  <c r="M9" i="4"/>
  <c r="I13" i="5" s="1"/>
  <c r="M5" i="4"/>
  <c r="I9" i="5" s="1"/>
  <c r="G9" i="5"/>
  <c r="G8" i="5" s="1"/>
  <c r="H149" i="4"/>
  <c r="L3" i="4"/>
  <c r="E86" i="5"/>
  <c r="H95" i="5"/>
  <c r="M29" i="4"/>
  <c r="I33" i="5" s="1"/>
  <c r="K28" i="4"/>
  <c r="M138" i="4"/>
  <c r="K129" i="4"/>
  <c r="M83" i="4"/>
  <c r="I87" i="5" s="1"/>
  <c r="M4" i="4"/>
  <c r="I8" i="5" s="1"/>
  <c r="K3" i="4"/>
  <c r="M19" i="4"/>
  <c r="I23" i="5" s="1"/>
  <c r="M58" i="4"/>
  <c r="I62" i="5" s="1"/>
  <c r="I101" i="5"/>
  <c r="I102" i="5"/>
  <c r="M72" i="4"/>
  <c r="I76" i="5" s="1"/>
  <c r="M31" i="4"/>
  <c r="I35" i="5" s="1"/>
  <c r="I99" i="5"/>
  <c r="M86" i="4"/>
  <c r="I90" i="5" s="1"/>
  <c r="I97" i="5"/>
  <c r="M54" i="4"/>
  <c r="I58" i="5" s="1"/>
  <c r="M51" i="4"/>
  <c r="I55" i="5" s="1"/>
  <c r="M47" i="4"/>
  <c r="I51" i="5" s="1"/>
  <c r="M81" i="4"/>
  <c r="I85" i="5" s="1"/>
  <c r="M27" i="4"/>
  <c r="I31" i="5" s="1"/>
  <c r="M65" i="4"/>
  <c r="I69" i="5" s="1"/>
  <c r="G118" i="5"/>
  <c r="M39" i="4"/>
  <c r="I43" i="5" s="1"/>
  <c r="M75" i="4"/>
  <c r="I79" i="5" s="1"/>
  <c r="M73" i="4"/>
  <c r="I77" i="5" s="1"/>
  <c r="M15" i="4"/>
  <c r="I19" i="5" s="1"/>
  <c r="M38" i="4"/>
  <c r="I42" i="5" s="1"/>
  <c r="M7" i="4"/>
  <c r="I11" i="5" s="1"/>
  <c r="M87" i="4"/>
  <c r="I91" i="5" s="1"/>
  <c r="M76" i="4"/>
  <c r="I80" i="5" s="1"/>
  <c r="M16" i="4"/>
  <c r="I20" i="5" s="1"/>
  <c r="M84" i="4"/>
  <c r="I88" i="5" s="1"/>
  <c r="M69" i="4"/>
  <c r="I73" i="5" s="1"/>
  <c r="I100" i="5"/>
  <c r="M43" i="4"/>
  <c r="I47" i="5" s="1"/>
  <c r="M17" i="4"/>
  <c r="I21" i="5" s="1"/>
  <c r="M80" i="4"/>
  <c r="I84" i="5" s="1"/>
  <c r="I96" i="5"/>
  <c r="M24" i="4"/>
  <c r="I28" i="5" s="1"/>
  <c r="M23" i="4"/>
  <c r="I27" i="5" s="1"/>
  <c r="M61" i="4"/>
  <c r="I65" i="5" s="1"/>
  <c r="M18" i="4"/>
  <c r="I22" i="5" s="1"/>
  <c r="M89" i="4"/>
  <c r="I93" i="5" s="1"/>
  <c r="M40" i="4"/>
  <c r="I44" i="5" s="1"/>
  <c r="M30" i="4"/>
  <c r="I34" i="5" s="1"/>
  <c r="M11" i="4"/>
  <c r="I15" i="5" s="1"/>
  <c r="M35" i="4"/>
  <c r="I39" i="5" s="1"/>
  <c r="M52" i="4"/>
  <c r="I56" i="5" s="1"/>
  <c r="M12" i="4"/>
  <c r="I16" i="5" s="1"/>
  <c r="I98" i="5"/>
  <c r="M20" i="4"/>
  <c r="I24" i="5" s="1"/>
  <c r="M41" i="4"/>
  <c r="I45" i="5" s="1"/>
  <c r="M48" i="4"/>
  <c r="I52" i="5" s="1"/>
  <c r="M56" i="4"/>
  <c r="I60" i="5" s="1"/>
  <c r="M55" i="4"/>
  <c r="I59" i="5" s="1"/>
  <c r="M71" i="4"/>
  <c r="I75" i="5" s="1"/>
  <c r="M46" i="4"/>
  <c r="I50" i="5" s="1"/>
  <c r="M68" i="4"/>
  <c r="I72" i="5" s="1"/>
  <c r="M59" i="4"/>
  <c r="I63" i="5" s="1"/>
  <c r="M8" i="4"/>
  <c r="I12" i="5" s="1"/>
  <c r="M32" i="4"/>
  <c r="I36" i="5" s="1"/>
  <c r="M45" i="4"/>
  <c r="I49" i="5" s="1"/>
  <c r="M6" i="4"/>
  <c r="I10" i="5" s="1"/>
  <c r="M60" i="4"/>
  <c r="I64" i="5" s="1"/>
  <c r="M67" i="4"/>
  <c r="I71" i="5" s="1"/>
  <c r="M85" i="4"/>
  <c r="I89" i="5" s="1"/>
  <c r="M114" i="4"/>
  <c r="I118" i="5" s="1"/>
  <c r="I142" i="5"/>
  <c r="M143" i="4"/>
  <c r="I147" i="5" s="1"/>
  <c r="M19" i="1"/>
  <c r="C8" i="6"/>
  <c r="E8" i="6" s="1"/>
  <c r="F8" i="6" s="1"/>
  <c r="C4" i="6"/>
  <c r="F9" i="6"/>
  <c r="F5" i="6"/>
  <c r="N8" i="1"/>
  <c r="L20" i="1"/>
  <c r="B10" i="6"/>
  <c r="N11" i="1"/>
  <c r="N23" i="1"/>
  <c r="L21" i="1"/>
  <c r="N21" i="1" s="1"/>
  <c r="M20" i="1"/>
  <c r="N10" i="1"/>
  <c r="I30" i="5"/>
  <c r="I82" i="5"/>
  <c r="C15" i="1"/>
  <c r="M21" i="1"/>
  <c r="I25" i="5"/>
  <c r="M23" i="1"/>
  <c r="M22" i="1"/>
  <c r="M14" i="1"/>
  <c r="L29" i="1" l="1"/>
  <c r="L30" i="1" s="1"/>
  <c r="C86" i="5"/>
  <c r="K86" i="5" s="1"/>
  <c r="J149" i="4"/>
  <c r="K133" i="5"/>
  <c r="M3" i="4"/>
  <c r="K149" i="4"/>
  <c r="K150" i="4" s="1"/>
  <c r="L25" i="1"/>
  <c r="K19" i="1"/>
  <c r="J25" i="1"/>
  <c r="K25" i="1" s="1"/>
  <c r="I25" i="1"/>
  <c r="F7" i="5"/>
  <c r="J7" i="5" s="1"/>
  <c r="G7" i="5"/>
  <c r="F32" i="5"/>
  <c r="L66" i="4"/>
  <c r="H70" i="5" s="1"/>
  <c r="E32" i="5"/>
  <c r="E153" i="5" s="1"/>
  <c r="D32" i="5"/>
  <c r="D153" i="5" s="1"/>
  <c r="C68" i="5"/>
  <c r="C32" i="5" s="1"/>
  <c r="K32" i="5" s="1"/>
  <c r="G133" i="5"/>
  <c r="M129" i="4"/>
  <c r="I133" i="5" s="1"/>
  <c r="I106" i="5"/>
  <c r="I105" i="5"/>
  <c r="I104" i="5"/>
  <c r="I131" i="5"/>
  <c r="I103" i="5"/>
  <c r="M66" i="4"/>
  <c r="I70" i="5" s="1"/>
  <c r="D150" i="4"/>
  <c r="L28" i="4"/>
  <c r="H32" i="5" s="1"/>
  <c r="M82" i="4"/>
  <c r="I86" i="5" s="1"/>
  <c r="M28" i="4"/>
  <c r="I32" i="5" s="1"/>
  <c r="G86" i="5"/>
  <c r="C10" i="6"/>
  <c r="L15" i="1"/>
  <c r="N20" i="1"/>
  <c r="N19" i="1"/>
  <c r="N22" i="1"/>
  <c r="M25" i="1"/>
  <c r="L32" i="1" l="1"/>
  <c r="L27" i="1"/>
  <c r="F153" i="5"/>
  <c r="F154" i="5" s="1"/>
  <c r="N25" i="1"/>
  <c r="E154" i="5"/>
  <c r="D154" i="5"/>
  <c r="G32" i="5"/>
  <c r="G153" i="5" s="1"/>
  <c r="C25" i="5"/>
  <c r="L22" i="4"/>
  <c r="H26" i="5" s="1"/>
  <c r="M22" i="4"/>
  <c r="I26" i="5" s="1"/>
  <c r="G154" i="5" l="1"/>
  <c r="C7" i="5"/>
  <c r="M149" i="4"/>
  <c r="I153" i="5" s="1"/>
  <c r="L149" i="4"/>
  <c r="H153" i="5" s="1"/>
  <c r="I7" i="5"/>
  <c r="H7" i="5"/>
  <c r="D10" i="6"/>
  <c r="E4" i="6"/>
  <c r="C153" i="5" l="1"/>
  <c r="C154" i="5" s="1"/>
  <c r="K7" i="5"/>
  <c r="E10" i="6"/>
  <c r="F4" i="6"/>
  <c r="C155" i="5" l="1"/>
  <c r="F10" i="6"/>
  <c r="E25" i="6"/>
  <c r="AD11" i="11" l="1"/>
  <c r="AE11" i="11" l="1"/>
  <c r="AV10" i="11" s="1"/>
  <c r="AD10" i="11" l="1"/>
  <c r="AE10" i="11" l="1"/>
  <c r="AV9" i="11" s="1"/>
  <c r="AD9" i="11" l="1"/>
  <c r="AE9" i="11" l="1"/>
  <c r="AV8" i="11" s="1"/>
  <c r="AD8" i="11" l="1"/>
  <c r="AE8" i="11" l="1"/>
  <c r="AV7" i="11" s="1"/>
  <c r="AD7" i="11" l="1"/>
  <c r="AD12" i="11" s="1"/>
  <c r="C3" i="13" l="1"/>
  <c r="AE7" i="11"/>
  <c r="AV6" i="11" s="1"/>
  <c r="C4" i="13"/>
  <c r="C6" i="13"/>
  <c r="C5" i="13"/>
  <c r="C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 Arroyo Hernadez</author>
  </authors>
  <commentList>
    <comment ref="D20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Karol Arroyo Hernadez:</t>
        </r>
        <r>
          <rPr>
            <sz val="9"/>
            <color indexed="81"/>
            <rFont val="Tahoma"/>
            <family val="2"/>
          </rPr>
          <t xml:space="preserve">
La diferencia corresponde al traslado de partida que se encuentra en tramite ante el Min Hacienda</t>
        </r>
      </text>
    </comment>
  </commentList>
</comments>
</file>

<file path=xl/sharedStrings.xml><?xml version="1.0" encoding="utf-8"?>
<sst xmlns="http://schemas.openxmlformats.org/spreadsheetml/2006/main" count="23184" uniqueCount="662">
  <si>
    <t>Partida</t>
  </si>
  <si>
    <t xml:space="preserve">Apropiación Actual </t>
  </si>
  <si>
    <t xml:space="preserve"> Cuota Comprometida </t>
  </si>
  <si>
    <t xml:space="preserve"> Solicitado </t>
  </si>
  <si>
    <t> Gasto Real</t>
  </si>
  <si>
    <t>C+D</t>
  </si>
  <si>
    <t xml:space="preserve">Disponible Presupuestario </t>
  </si>
  <si>
    <t> % de Ejecución Gasto Real</t>
  </si>
  <si>
    <t>% de Disponible</t>
  </si>
  <si>
    <t>0  REMUNERACIONES</t>
  </si>
  <si>
    <t>1  SERVICIOS</t>
  </si>
  <si>
    <t>2  MATERIALES Y SUMINIS</t>
  </si>
  <si>
    <t>5  BIENES DURADEROS</t>
  </si>
  <si>
    <t>6  TRANSF. CORRIENTES</t>
  </si>
  <si>
    <t>7 TRANSF. DE CAPITAL</t>
  </si>
  <si>
    <t>TOTAL</t>
  </si>
  <si>
    <t>Tipo de Gasto</t>
  </si>
  <si>
    <t>Remuneraciones + Cargas Patronales</t>
  </si>
  <si>
    <t>Gasto Operativo</t>
  </si>
  <si>
    <t>Inversión publica</t>
  </si>
  <si>
    <t>Transferencias Corrientes</t>
  </si>
  <si>
    <t>Transferencias de Capital</t>
  </si>
  <si>
    <t xml:space="preserve">G O B I E R N O   C E N T R A L   D E   C O S T A   R I C A            </t>
  </si>
  <si>
    <t xml:space="preserve">MINISTERIO DE HACIENDA - CONTABILIDAD NACIONAL              </t>
  </si>
  <si>
    <t>Pos Pre</t>
  </si>
  <si>
    <t>Aprop. Act</t>
  </si>
  <si>
    <t>Cuota. Comp</t>
  </si>
  <si>
    <t>Solicitado</t>
  </si>
  <si>
    <t>% Solic.</t>
  </si>
  <si>
    <t>Comprometido</t>
  </si>
  <si>
    <t>% Comp</t>
  </si>
  <si>
    <t>Rec. M/cía</t>
  </si>
  <si>
    <t>% Rec. M/cía</t>
  </si>
  <si>
    <t>Devengado</t>
  </si>
  <si>
    <t>% Deve.</t>
  </si>
  <si>
    <t>Pagado</t>
  </si>
  <si>
    <t>% Pagado</t>
  </si>
  <si>
    <t>Disp. Pre</t>
  </si>
  <si>
    <t>% Disp. Pre</t>
  </si>
  <si>
    <t>Disp. Cuota</t>
  </si>
  <si>
    <t>% Disp. Cuota</t>
  </si>
  <si>
    <t>Representar en</t>
  </si>
  <si>
    <t>1 CRC</t>
  </si>
  <si>
    <t>Compromiso</t>
  </si>
  <si>
    <t xml:space="preserve">Proyección ejecución por partida presupuestaria 2015 </t>
  </si>
  <si>
    <t>Apropiación actual</t>
  </si>
  <si>
    <t>Proyección de gasto a diciembre</t>
  </si>
  <si>
    <t>Saldo disponible</t>
  </si>
  <si>
    <t>Proyección ejecución por programa presupuestario 2015</t>
  </si>
  <si>
    <t>779: Actividad Central</t>
  </si>
  <si>
    <t>780: Promoción de la Paz</t>
  </si>
  <si>
    <t>781: PGR</t>
  </si>
  <si>
    <t>783: Administración Penitenciaria</t>
  </si>
  <si>
    <t>784: Registro Nacional</t>
  </si>
  <si>
    <t>Disponible al 07 de Setiembre</t>
  </si>
  <si>
    <t>214  - Ministerio de Justicia y Gracia</t>
  </si>
  <si>
    <t>Programa</t>
  </si>
  <si>
    <t>INFORME DE PRESUPUESTO DE EGRESOS   POR PARTIDA</t>
  </si>
  <si>
    <t xml:space="preserve"> Total de Egresos</t>
  </si>
  <si>
    <t>% Componentes de la Apropiación</t>
  </si>
  <si>
    <t>Apropiación Actual</t>
  </si>
  <si>
    <t>Solicitado (solicitudes ingresadas en Compra Red)</t>
  </si>
  <si>
    <t>Comprometido (en órdenes de pedido)</t>
  </si>
  <si>
    <t>Rec. Mercancía</t>
  </si>
  <si>
    <t>Devengado (Real ejecutado, todas las facturas, lo pagado más lo ingresado pendiente de pago)</t>
  </si>
  <si>
    <t>Disponible Presupuestario</t>
  </si>
  <si>
    <t>Presupuesto Ejecutado (solicitado+comprometido+rec. mercacía+devengado)</t>
  </si>
  <si>
    <t>Real Pagado</t>
  </si>
  <si>
    <t>Disponoble cuota</t>
  </si>
  <si>
    <t>INFORME DE PRESUPUESTO DE EGRESOS</t>
  </si>
  <si>
    <t>INFORME DE PRESUPUESTO DE EGRESOS   POR PROGRAMA</t>
  </si>
  <si>
    <t>Programas</t>
  </si>
  <si>
    <t>%</t>
  </si>
  <si>
    <t xml:space="preserve"> % </t>
  </si>
  <si>
    <t xml:space="preserve"> % de Ejecución </t>
  </si>
  <si>
    <t>PROG 779</t>
  </si>
  <si>
    <t>PROG 780</t>
  </si>
  <si>
    <t>PROG 781</t>
  </si>
  <si>
    <t>PROG 783</t>
  </si>
  <si>
    <t>PROG 784</t>
  </si>
  <si>
    <t>Monto</t>
  </si>
  <si>
    <t>07-Enero</t>
  </si>
  <si>
    <t>02-Febrero</t>
  </si>
  <si>
    <t>01-Marzo</t>
  </si>
  <si>
    <t>01-ABRIL</t>
  </si>
  <si>
    <t>Apropiación</t>
  </si>
  <si>
    <t>Disponible</t>
  </si>
  <si>
    <t>% Ejecución</t>
  </si>
  <si>
    <t>22-ABRIL</t>
  </si>
  <si>
    <t>11-MAYO</t>
  </si>
  <si>
    <t>Fondo</t>
  </si>
  <si>
    <t>Desc.Pos.presupuestaria</t>
  </si>
  <si>
    <t>E-0</t>
  </si>
  <si>
    <t>REMUNERACIONES</t>
  </si>
  <si>
    <t>E-001</t>
  </si>
  <si>
    <t>REMUNERACIONES BASICAS</t>
  </si>
  <si>
    <t>E-00101</t>
  </si>
  <si>
    <t>SUELDOS PARA CARGOS FIJOS</t>
  </si>
  <si>
    <t>E-002</t>
  </si>
  <si>
    <t>REMUNERACIONES EVENTUALES</t>
  </si>
  <si>
    <t>E-00201</t>
  </si>
  <si>
    <t>TIEMPO EXTRAORDINARIO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</si>
  <si>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</si>
  <si>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</si>
  <si>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</si>
  <si>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</si>
  <si>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</si>
  <si>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</si>
  <si>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E-00304</t>
  </si>
  <si>
    <t>SALARIO ESCOLAR</t>
  </si>
  <si>
    <t>E-00399</t>
  </si>
  <si>
    <t>OTROS INCENTIVOS SALARIALES</t>
  </si>
  <si>
    <t>E-00303</t>
  </si>
  <si>
    <t>DECIMOTERCER MES</t>
  </si>
  <si>
    <t>E-004</t>
  </si>
  <si>
    <t>CONTRIB. PATRONALES AL DES. Y LA SEGURIDAD SOCIAL</t>
  </si>
  <si>
    <t>E0040120077900</t>
  </si>
  <si>
    <t>E0040520077900</t>
  </si>
  <si>
    <t>E-005</t>
  </si>
  <si>
    <t>CONTRIB PATRONALES A FOND PENS Y OTROS FOND CAPIT.</t>
  </si>
  <si>
    <t>E0050120077900</t>
  </si>
  <si>
    <t>E0050220077900</t>
  </si>
  <si>
    <t>E0050320077900</t>
  </si>
  <si>
    <t>E-1</t>
  </si>
  <si>
    <t>SERVICIOS</t>
  </si>
  <si>
    <t>E-101</t>
  </si>
  <si>
    <t>ALQUILERES</t>
  </si>
  <si>
    <t>E-10103</t>
  </si>
  <si>
    <t>ALQUILER DE EQUIPO DE COMPUTO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</si>
  <si>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</si>
  <si>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</si>
  <si>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</si>
  <si>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</si>
  <si>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</si>
  <si>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</si>
  <si>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</si>
  <si>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</si>
  <si>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</si>
  <si>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</si>
  <si>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</si>
  <si>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</si>
  <si>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</si>
  <si>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</si>
  <si>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</si>
  <si>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</si>
  <si>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</si>
  <si>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</si>
  <si>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</si>
  <si>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</si>
  <si>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</si>
  <si>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</si>
  <si>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E-104</t>
  </si>
  <si>
    <t>SERVICIOS DE GESTION Y APOYO</t>
  </si>
  <si>
    <t>E-10404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</si>
  <si>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</si>
  <si>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</si>
  <si>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</si>
  <si>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</si>
  <si>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</si>
  <si>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</si>
  <si>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</si>
  <si>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</si>
  <si>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</si>
  <si>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</si>
  <si>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</si>
  <si>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</si>
  <si>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</si>
  <si>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</si>
  <si>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</si>
  <si>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</si>
  <si>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</si>
  <si>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</si>
  <si>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</si>
  <si>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</si>
  <si>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</si>
  <si>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</si>
  <si>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</si>
  <si>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</si>
  <si>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</si>
  <si>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</si>
  <si>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</si>
  <si>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</si>
  <si>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</si>
  <si>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</si>
  <si>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</si>
  <si>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</si>
  <si>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</si>
  <si>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</si>
  <si>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</si>
  <si>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</si>
  <si>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</si>
  <si>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</si>
  <si>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</si>
  <si>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</si>
  <si>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</si>
  <si>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</si>
  <si>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</si>
  <si>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</si>
  <si>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</si>
  <si>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</si>
  <si>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</si>
  <si>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</si>
  <si>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</si>
  <si>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</si>
  <si>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</si>
  <si>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</si>
  <si>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</si>
  <si>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</si>
  <si>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</si>
  <si>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</si>
  <si>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</si>
  <si>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</si>
  <si>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</si>
  <si>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</si>
  <si>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</si>
  <si>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</si>
  <si>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</si>
  <si>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</si>
  <si>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</si>
  <si>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</si>
  <si>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</si>
  <si>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</si>
  <si>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</si>
  <si>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</si>
  <si>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</si>
  <si>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</si>
  <si>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</si>
  <si>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</si>
  <si>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</si>
  <si>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</si>
  <si>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</si>
  <si>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</si>
  <si>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</si>
  <si>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</si>
  <si>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</si>
  <si>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</si>
  <si>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</si>
  <si>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</si>
  <si>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</si>
  <si>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</si>
  <si>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</si>
  <si>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</si>
  <si>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</si>
  <si>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</si>
  <si>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</si>
  <si>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</si>
  <si>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</si>
  <si>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</si>
  <si>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</si>
  <si>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</si>
  <si>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</si>
  <si>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E-6</t>
  </si>
  <si>
    <t>TRANSFERENCIAS CORRIENTES</t>
  </si>
  <si>
    <t>E-601</t>
  </si>
  <si>
    <t>TRANSFERENCIAS CORRIENTES AL SECTOR PUBLICO</t>
  </si>
  <si>
    <t>E6010221077900</t>
  </si>
  <si>
    <t>COMISION NACIONAL DE PREVENCION DE RIESGOS Y ATENCION DE EMERGENCIAS. (APORTE ANUAL DE CONFORMIDAD CON EL ARTICULO 42 DE LA LEY NACIONAL</t>
  </si>
  <si>
    <t>E6010221577900</t>
  </si>
  <si>
    <t>AGENCIA DE PROTECCION DE DATOS DE LOS HABITANTES (PRODHAB). (DE CONFORMIDAD CON EL ARTICULO 20, INCISO B, LEY PROTECCION DE LA PERSONA FRENTE AL</t>
  </si>
  <si>
    <t>E6010320077900</t>
  </si>
  <si>
    <t>E6010320277900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</si>
  <si>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</si>
  <si>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</si>
  <si>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</si>
  <si>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</si>
  <si>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</si>
  <si>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</si>
  <si>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</si>
  <si>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</si>
  <si>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</si>
  <si>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</si>
  <si>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E-60602</t>
  </si>
  <si>
    <t>REINTEGROS O DEVOLUCIONES</t>
  </si>
  <si>
    <t>E-607</t>
  </si>
  <si>
    <t>TRANSFERENCIAS CORRIENTES AL SECTOR EXTERNO</t>
  </si>
  <si>
    <t>E6070120577900</t>
  </si>
  <si>
    <t>INSTITUTO LATINOAMERICANO PARA LA PREVENCION DEL DELITO Y EL TRATAMIENTO DEL DELINCUENTE (ILANUD). (CUOTA ANUAL ORDINARIA PARA LA PREVENCION DEL</t>
  </si>
  <si>
    <t>E6070123077900</t>
  </si>
  <si>
    <t>ORGANIZACION MUNDIAL DE LA PROPIEDAD INTELECTUAL (OMPI). (CUOTA ORDINARIA SEGUN LEY NO. 6468 DEL 18/09/1980).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</si>
  <si>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</si>
  <si>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</si>
  <si>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</si>
  <si>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</si>
  <si>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</si>
  <si>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</si>
  <si>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</si>
  <si>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</si>
  <si>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</si>
  <si>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</si>
  <si>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</si>
  <si>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</si>
  <si>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</si>
  <si>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</si>
  <si>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</si>
  <si>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</si>
  <si>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</si>
  <si>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</si>
  <si>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</si>
  <si>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</si>
  <si>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</si>
  <si>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</si>
  <si>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E0040120078000</t>
  </si>
  <si>
    <t>E0040520078000</t>
  </si>
  <si>
    <t>E0050120078000</t>
  </si>
  <si>
    <t>E0050220078000</t>
  </si>
  <si>
    <t>E0050320078000</t>
  </si>
  <si>
    <t>E-10101</t>
  </si>
  <si>
    <t>ALQUILER DE EDIFICIOS, LOCALES Y TERRENOS</t>
  </si>
  <si>
    <t>E-10302</t>
  </si>
  <si>
    <t>E-10701</t>
  </si>
  <si>
    <t>ACTIVIDADES DE CAPACITACION</t>
  </si>
  <si>
    <t>E6010320078000</t>
  </si>
  <si>
    <t>E6010320278000</t>
  </si>
  <si>
    <t>E-00105</t>
  </si>
  <si>
    <t>SUPLENCIAS</t>
  </si>
  <si>
    <t>E0040120078100</t>
  </si>
  <si>
    <t>E0040520078100</t>
  </si>
  <si>
    <t>E0050120078100</t>
  </si>
  <si>
    <t>E0050220078100</t>
  </si>
  <si>
    <t>E0050320078100</t>
  </si>
  <si>
    <t>E-10102</t>
  </si>
  <si>
    <t>ALQUILER DE MAQUINARIA, EQUIPO Y MOBILIARIO</t>
  </si>
  <si>
    <t>E-10104</t>
  </si>
  <si>
    <t>ALQUILER Y DERECHOS PARA TELECOMUNICACIONES</t>
  </si>
  <si>
    <t>E-10304</t>
  </si>
  <si>
    <t>TRANSPORTE DE BIENES</t>
  </si>
  <si>
    <t>E-10307</t>
  </si>
  <si>
    <t>SERVICIOS DE TRANSFERENCIA ELECTRONICA DE INFORMA</t>
  </si>
  <si>
    <t>E-10402</t>
  </si>
  <si>
    <t>SERVICIOS JURIDICOS</t>
  </si>
  <si>
    <t>E-10403</t>
  </si>
  <si>
    <t>E-10405</t>
  </si>
  <si>
    <t>E-10804</t>
  </si>
  <si>
    <t>MANT. Y REPARACION DE MAQUINARIA Y EQUIPO DE PROD.</t>
  </si>
  <si>
    <t>E-19902</t>
  </si>
  <si>
    <t>INTERESES MORATORIOS Y MULTAS</t>
  </si>
  <si>
    <t>E-20302</t>
  </si>
  <si>
    <t>MATERIALES Y PRODUCTOS MINERALES Y ASFALTICOS</t>
  </si>
  <si>
    <t>E-20303</t>
  </si>
  <si>
    <t>MADERA Y SUS DERIVADOS</t>
  </si>
  <si>
    <t>E-599</t>
  </si>
  <si>
    <t>BIENES DURADEROS DIVERSOS</t>
  </si>
  <si>
    <t>E-59903</t>
  </si>
  <si>
    <t>BIENES INTANGIBLES</t>
  </si>
  <si>
    <t>E6010320078100</t>
  </si>
  <si>
    <t>E6010320278100</t>
  </si>
  <si>
    <t>E-00103</t>
  </si>
  <si>
    <t>SERVICIOS ESPECIALES</t>
  </si>
  <si>
    <t>E-00202</t>
  </si>
  <si>
    <t>RECARGO DE FUNCIONES</t>
  </si>
  <si>
    <t>E-00203</t>
  </si>
  <si>
    <t>DISPONIBILIDAD LABORAL</t>
  </si>
  <si>
    <t>E0040120078300</t>
  </si>
  <si>
    <t>E0040520078300</t>
  </si>
  <si>
    <t>E0050120078300</t>
  </si>
  <si>
    <t>E0050220078300</t>
  </si>
  <si>
    <t>E0050320078300</t>
  </si>
  <si>
    <t>E-099</t>
  </si>
  <si>
    <t>E-09901</t>
  </si>
  <si>
    <t>E-10401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</si>
  <si>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</si>
  <si>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</si>
  <si>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</si>
  <si>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</si>
  <si>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</si>
  <si>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</si>
  <si>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E-50207</t>
  </si>
  <si>
    <t>INSTALACIONES</t>
  </si>
  <si>
    <t>E6010221078300</t>
  </si>
  <si>
    <t>UNIDAD EJECUTORA DEL PROGRAMA PARA LA PREVENCION DE LA VIOLENCIA Y PROMOCION DE LA INCLUSION SOCIAL. (LEY NO. 9025 DEL 15/02/2012, PUBLICADA</t>
  </si>
  <si>
    <t>E6010320078300</t>
  </si>
  <si>
    <t>E6010320278300</t>
  </si>
  <si>
    <t>E-602</t>
  </si>
  <si>
    <t>TRANSFERENCIAS CORRIENTES A PERSONAS</t>
  </si>
  <si>
    <t>E-60299</t>
  </si>
  <si>
    <t>OTRAS TRANSFERENCIAS A PERSONAS</t>
  </si>
  <si>
    <t>E-7</t>
  </si>
  <si>
    <t>TRANSFERENCIAS DE CAPITAL</t>
  </si>
  <si>
    <t>E-701</t>
  </si>
  <si>
    <t>TRANSFERENCIAS DE CAPITAL AL SECTOR PUBLICO</t>
  </si>
  <si>
    <t>E7010220078300</t>
  </si>
  <si>
    <t>PATRONATO DE CONSTRUCCION, INSTALACIONES Y ADQUISICION DE BIENES. (LEY NO. 6739 DEL 24/04/1982, ARTICULO 6, INCISO C, Y LEY NO. 4762</t>
  </si>
  <si>
    <t>E0040120078400</t>
  </si>
  <si>
    <t>E0040520078400</t>
  </si>
  <si>
    <t>E0050120078400</t>
  </si>
  <si>
    <t>E0050220078400</t>
  </si>
  <si>
    <t>E0050320078400</t>
  </si>
  <si>
    <t>E0050520078400</t>
  </si>
  <si>
    <t>ASOCIACION SOLIDARISTA DE EMPLEADOS DEL REGISTRO NACIONAL (ASOREN). (APORTE PATRONAL SEGUN LEY DE ASOCIACIONES SOLIDARISTAS NO. 6970 DEL 07/11/1984</t>
  </si>
  <si>
    <t>E6010320078400</t>
  </si>
  <si>
    <t>E6010320278400</t>
  </si>
  <si>
    <t>Presupuesto Actual</t>
  </si>
  <si>
    <t>E-00401</t>
  </si>
  <si>
    <t>E-00405</t>
  </si>
  <si>
    <t>E-00501</t>
  </si>
  <si>
    <t>E-00502</t>
  </si>
  <si>
    <t>E-00503</t>
  </si>
  <si>
    <t>E-00505</t>
  </si>
  <si>
    <t>E-50102</t>
  </si>
  <si>
    <t>E-60102</t>
  </si>
  <si>
    <t>E6010221078400</t>
  </si>
  <si>
    <t>E-60103</t>
  </si>
  <si>
    <t>E-60701</t>
  </si>
  <si>
    <t>E-70102</t>
  </si>
  <si>
    <t>E7010221078300</t>
  </si>
  <si>
    <t>REMUNERACIONES BASIC</t>
  </si>
  <si>
    <t>SUELDOS P/ C. FIJOS</t>
  </si>
  <si>
    <t>REMUNERACIONES EVENT</t>
  </si>
  <si>
    <t>TIEMPO EXTRAORD.</t>
  </si>
  <si>
    <t>DISPONIBILIDAD LAB.</t>
  </si>
  <si>
    <t>INCENTIVOS SALARIAL</t>
  </si>
  <si>
    <t>RETRIB AÑOS SERVIDOS</t>
  </si>
  <si>
    <t>REST. EJERC LIB PROF</t>
  </si>
  <si>
    <t>OTROS INCENT SALAR.</t>
  </si>
  <si>
    <t>CONT PATR DESA S.SOC</t>
  </si>
  <si>
    <t>CONT P.SEG.S C.C.S.S</t>
  </si>
  <si>
    <t>CCSS CONT.PAT S.SALU</t>
  </si>
  <si>
    <t>CONTRIB PAT B.P.D.C.</t>
  </si>
  <si>
    <t>BPDC</t>
  </si>
  <si>
    <t>CONT PATR F.PENS OTR</t>
  </si>
  <si>
    <t>CONT P.SPENS.C.C.S.S</t>
  </si>
  <si>
    <t>CCSS CONT.PAT S.PENS</t>
  </si>
  <si>
    <t>APORT P.RÉG.OBLI.P.C</t>
  </si>
  <si>
    <t>CCSS APO.PAT.REG.PEN</t>
  </si>
  <si>
    <t>APORT P.FOND.CAP.LAB</t>
  </si>
  <si>
    <t>CCSS APO.PAT.FON.CAP</t>
  </si>
  <si>
    <t>CONT.PAT.A.F.A.EPRIV</t>
  </si>
  <si>
    <t>ASOC.SOLID.EMP.REGIS</t>
  </si>
  <si>
    <t>REMUNERACIONES DIVER</t>
  </si>
  <si>
    <t>GASTOS REPRES.PERS.</t>
  </si>
  <si>
    <t>ALQ EDIF, LOC.Y TERR</t>
  </si>
  <si>
    <t>ALQ DE MAQ, EQ Y MOB</t>
  </si>
  <si>
    <t>ALQ. EQ. DE COMPUTO</t>
  </si>
  <si>
    <t>ALQ Y DERECH P.TELEC</t>
  </si>
  <si>
    <t>SERVICIOS BÁSICOS</t>
  </si>
  <si>
    <t>SERV.AGUA Y ALCANT.</t>
  </si>
  <si>
    <t>SERV ENERGÍA ELÉCT</t>
  </si>
  <si>
    <t>SERV.TELECOMUNIC.</t>
  </si>
  <si>
    <t>OTROS SERV.BÁSICOS</t>
  </si>
  <si>
    <t>SERV COMERC Y FINANC</t>
  </si>
  <si>
    <t>INFORMACIÓN</t>
  </si>
  <si>
    <t>IMP., ENCUAD Y OTROS</t>
  </si>
  <si>
    <t>COM G.P.S.FIN Y COM.</t>
  </si>
  <si>
    <t>SERV TRANSF.ELEC.INF</t>
  </si>
  <si>
    <t>SERV DE GEST Y APOYO</t>
  </si>
  <si>
    <t>SERV.MEDICOS YDE LAB</t>
  </si>
  <si>
    <t>SERV. DE INGENIERÍA</t>
  </si>
  <si>
    <t>SERV.CIEN.ECON.Y SOC</t>
  </si>
  <si>
    <t>SERV.DES.SIST.INFORM</t>
  </si>
  <si>
    <t>OTROS SERV.GEST.APOY</t>
  </si>
  <si>
    <t>GAST. VIAJE Y TRANSP</t>
  </si>
  <si>
    <t>TRANSP.DENT.DEL PAÍS</t>
  </si>
  <si>
    <t>VIÁTICOS DENTRO PAÍS</t>
  </si>
  <si>
    <t>TRANSPORTE EN EL EXT</t>
  </si>
  <si>
    <t>VIÁTICOS EN EXTERIOR</t>
  </si>
  <si>
    <t>SEGUROS REASEG Y OTR</t>
  </si>
  <si>
    <t>CAPACIT. Y PROTOCOLO</t>
  </si>
  <si>
    <t>ACTIV. CAPACITACIÓN</t>
  </si>
  <si>
    <t>ACTIV.PROTOCOL Y SOC</t>
  </si>
  <si>
    <t>GASTOS REPRES.INSTIT</t>
  </si>
  <si>
    <t>MANTEN. Y REPARACIÓN</t>
  </si>
  <si>
    <t>MANT.EDIF.,LOC.YTERR</t>
  </si>
  <si>
    <t>MANT.Y REP.M.EQ.PROD</t>
  </si>
  <si>
    <t>MANT.Y REP.EQ.TRANSP</t>
  </si>
  <si>
    <t>MANT.Y REP.EQ.COMUNI</t>
  </si>
  <si>
    <t>MANT.Y REP.EQ.MOB.OF</t>
  </si>
  <si>
    <t>MANT.YREP.EQ.C.S.INF</t>
  </si>
  <si>
    <t>MANT.Y REP.OTROS EQ.</t>
  </si>
  <si>
    <t>TROS IMPUESTOS</t>
  </si>
  <si>
    <t>SERV. DE REGULACIÓN</t>
  </si>
  <si>
    <t>INT. MORAT. Y MULTAS</t>
  </si>
  <si>
    <t>MATERIALES Y SUMINIS</t>
  </si>
  <si>
    <t>PRODUC QUÍM Y CONEX</t>
  </si>
  <si>
    <t>COMB Y LUBRICANTES</t>
  </si>
  <si>
    <t>PROD FARMAC Y MEDIC.</t>
  </si>
  <si>
    <t>PRODUCTOS VETERIN.</t>
  </si>
  <si>
    <t>TINTAS, PINT.Y DILUY</t>
  </si>
  <si>
    <t>OTR.PROD.QUÍM YCONEX</t>
  </si>
  <si>
    <t>ALIMEN Y PRODUC AGRO</t>
  </si>
  <si>
    <t>ALIM. PARA ANIMALES</t>
  </si>
  <si>
    <t>MATER P.CONST Y MANT</t>
  </si>
  <si>
    <t>MATERIALES YPROD MET</t>
  </si>
  <si>
    <t>MAT Y PROD.MIN.Y ASF</t>
  </si>
  <si>
    <t>MADERA Y SUS DERIV</t>
  </si>
  <si>
    <t>MAT.YPROD.ELÉC,TEL.C</t>
  </si>
  <si>
    <t>MATER. Y PROD VIDRIO</t>
  </si>
  <si>
    <t>MAT. Y PROD PLÁSTICO</t>
  </si>
  <si>
    <t>OTR.MAT.YP.USO CONST</t>
  </si>
  <si>
    <t>HERRAM REPUE Y ACCES</t>
  </si>
  <si>
    <t>HERRAM.E INSTRUMENTO</t>
  </si>
  <si>
    <t>REP.Y ACCESORIOS</t>
  </si>
  <si>
    <t>ÚTILES MAT Y SUM DIV</t>
  </si>
  <si>
    <t>ÚT.Y MAT.OF.Y COMP.</t>
  </si>
  <si>
    <t>UT.Y MAT.MÉD,H.Y INV</t>
  </si>
  <si>
    <t>PROD.PAPEL,CART.EIMP</t>
  </si>
  <si>
    <t>ÚTILES Y MATER.LIMP</t>
  </si>
  <si>
    <t>ÚTILES YMAT.RESG.SEG</t>
  </si>
  <si>
    <t>ÚTILES YMAT.COC.YCOM</t>
  </si>
  <si>
    <t>OTR.UT,MAT Y SUM.DIV</t>
  </si>
  <si>
    <t>MAQ, EQUIPO Y MOB</t>
  </si>
  <si>
    <t>MAQ.Y EQ. PRODUCCIÓN</t>
  </si>
  <si>
    <t>EQUIPO DE TRANSPORTE</t>
  </si>
  <si>
    <t>EQ. DE COMUNICACIÓN</t>
  </si>
  <si>
    <t>EQUIPO Y MOB. OFIC.</t>
  </si>
  <si>
    <t>EQ.Y PROGR. CÓMPUTO</t>
  </si>
  <si>
    <t>EQ.SANIT, LAB. E INV</t>
  </si>
  <si>
    <t>EQ.YMOB.EDUC,DEP.Y R</t>
  </si>
  <si>
    <t>MAQ,EQ Y MOV.DIVERSO</t>
  </si>
  <si>
    <t>CONST, ADIC YMEJORAS</t>
  </si>
  <si>
    <t>BIENES DURADEROS DIV</t>
  </si>
  <si>
    <t>TRANSF. CORRIENTES</t>
  </si>
  <si>
    <t>TRANSF CTES S. PUB</t>
  </si>
  <si>
    <t>TRANSF.CTE ORG.DESC</t>
  </si>
  <si>
    <t>COM.NAL.PRE.RIES.A.E</t>
  </si>
  <si>
    <t>UNIDAD EJECUTORA PRO</t>
  </si>
  <si>
    <t>JTA ADM.REGISTRO N.A</t>
  </si>
  <si>
    <t>AGENCIA PROTECCION D</t>
  </si>
  <si>
    <t>TRANSF.CTE I.D.NOE</t>
  </si>
  <si>
    <t>CCSS CONT.EST S.PENS</t>
  </si>
  <si>
    <t>CCSS CONT.EST S.SALU</t>
  </si>
  <si>
    <t>TRANSF CTES A PERS</t>
  </si>
  <si>
    <t>OTRAS TRANSF. A PERS</t>
  </si>
  <si>
    <t>OTR.TRANSF.CTE SPRIV</t>
  </si>
  <si>
    <t>REINTEGROS O DEVOL.</t>
  </si>
  <si>
    <t>TRANSF CTES AL S.EXT</t>
  </si>
  <si>
    <t>TRANSF.C.TE ORG.INT.</t>
  </si>
  <si>
    <t>INST.LATINOAME.PREVE</t>
  </si>
  <si>
    <t>ORG.MUNDIAL PROPIEDA</t>
  </si>
  <si>
    <t>TRANSF. DE CAPITAL</t>
  </si>
  <si>
    <t>TRANSF DE CTAL S PUB</t>
  </si>
  <si>
    <t>TRANSF.CTAL ORG.DESC</t>
  </si>
  <si>
    <t>PATRONATO CONSTRUC.</t>
  </si>
  <si>
    <t>TOTALES</t>
  </si>
  <si>
    <t>PUBLICIDAD Y PROPAG.</t>
  </si>
  <si>
    <t>SERVICIOS JURÍDICOS</t>
  </si>
  <si>
    <t>Total gasto Real</t>
  </si>
  <si>
    <t>Descripción</t>
  </si>
  <si>
    <t xml:space="preserve">Presupuesto Actual </t>
  </si>
  <si>
    <t>Disponible Presupuesto</t>
  </si>
  <si>
    <t>Cuota Liberación</t>
  </si>
  <si>
    <t>214</t>
  </si>
  <si>
    <t>001</t>
  </si>
  <si>
    <t>21477900</t>
  </si>
  <si>
    <t>280</t>
  </si>
  <si>
    <t>21478000</t>
  </si>
  <si>
    <t>21478100</t>
  </si>
  <si>
    <t>21478300</t>
  </si>
  <si>
    <t>21478400</t>
  </si>
  <si>
    <t>01-JUNIO</t>
  </si>
  <si>
    <t>Centro gestor</t>
  </si>
  <si>
    <t>Pos.presupuestaria</t>
  </si>
  <si>
    <t>Ley de Presupuesto</t>
  </si>
  <si>
    <t>Disponible Liberado</t>
  </si>
  <si>
    <t>Recepción Mercancía</t>
  </si>
  <si>
    <t>30-JUNIO</t>
  </si>
  <si>
    <t xml:space="preserve">% de Ejecución </t>
  </si>
  <si>
    <t>2  MATERIALES Y SUMINISTROS</t>
  </si>
  <si>
    <t>03-AGOSTO</t>
  </si>
  <si>
    <t>26-AGOSTO</t>
  </si>
  <si>
    <t>31-AGOSTO</t>
  </si>
  <si>
    <t>30-SETIEMBRE</t>
  </si>
  <si>
    <t>E6070120877900</t>
  </si>
  <si>
    <t>31-OCTUBRE</t>
  </si>
  <si>
    <t>30-NOVIEMBRE</t>
  </si>
  <si>
    <t xml:space="preserve">ORGANIZ COOP. DESAR. ECON </t>
  </si>
  <si>
    <t>23-DICIEMBRE</t>
  </si>
  <si>
    <t>E-10602</t>
  </si>
  <si>
    <t>REASEGUROS</t>
  </si>
  <si>
    <t>Presupuesto Ejecutado (devengado)</t>
  </si>
  <si>
    <t>ENERO</t>
  </si>
  <si>
    <t>Gasto Real 
(C+D)</t>
  </si>
  <si>
    <t>% Gasto Real</t>
  </si>
  <si>
    <t>E-90201</t>
  </si>
  <si>
    <t>SUMAS LIBRES SIN ASIGNACION PRESUPUESTARIA</t>
  </si>
  <si>
    <t>E-902</t>
  </si>
  <si>
    <t>SUMAS SIN ASIGNACION PRESUPUESTARIA</t>
  </si>
  <si>
    <t>E-9</t>
  </si>
  <si>
    <t>CUENTAS ESPECIALES</t>
  </si>
  <si>
    <t>Mes</t>
  </si>
  <si>
    <t>9 CUENTAS ESPECIALES</t>
  </si>
  <si>
    <t>Cuentas Especiales</t>
  </si>
  <si>
    <t>Ejecución Menor al 75%</t>
  </si>
  <si>
    <t>Disponible Mayor al 25%</t>
  </si>
  <si>
    <t>BANCO POPULAR Y DE DESARROLLO COMUNAL. (BPDC) (SEGUN LEY NO. 4351 DEL 11 DE JULIO DE 1969, LEY ORGANICA DEL B.P.D.C.).</t>
  </si>
  <si>
    <t>ORGANIZACION PARA LA COOPERACION Y EL DESARROLLO ECONOMICO (OCDE). (DECRETO EJECUTIVO NO. 37983-COMEX-MP DEL 09/09/2013, PUBLICADO EN LA</t>
  </si>
  <si>
    <t>FEBRERO</t>
  </si>
  <si>
    <t>MARZO</t>
  </si>
  <si>
    <t/>
  </si>
  <si>
    <t>ABRIL</t>
  </si>
  <si>
    <t>Devengo</t>
  </si>
  <si>
    <t>MAYO</t>
  </si>
  <si>
    <t>JUNIO</t>
  </si>
  <si>
    <t>JULIO</t>
  </si>
  <si>
    <t>AGOSTO</t>
  </si>
  <si>
    <t>SETIEMBRE</t>
  </si>
  <si>
    <t>OCTUBRE</t>
  </si>
  <si>
    <t>Ejercício: 2019</t>
  </si>
  <si>
    <t>CAJA COSTARRICENSE DE SEGURO SOCIAL. (CCSS) (CONTRIBUCION PATRONAL SEGURO DE SALUD, SEGUN LEY NO. 17 DEL 22 DE OCTUBRE DE 1943, LEY</t>
  </si>
  <si>
    <t>CAJA COSTARRICENSE DE SEGURO SOCIAL. (CCSS) (CONTRIBUCION PATRONAL SEGURO DE PENSIONES, SEGUN LEY NO. 17 DEL 22 DE OCTUBRE DE 1943, LEY</t>
  </si>
  <si>
    <t>CAJA COSTARRICENSE DE SEGURO SOCIAL. (CCSS) (APORTE PATRONAL AL REGIMEN DE PENSIONES, SEGUN LEY DE PROTECCION AL TRABAJADOR NO. 7983 DEL 16</t>
  </si>
  <si>
    <t>CAJA COSTARRICENSE DE SEGURO SOCIAL. (CCSS) (APORTE PATRONAL AL FONDO DE CAPITALIZACION LABORAL, SEGUN LEY DE PROTECCION AL TRABAJADOR</t>
  </si>
  <si>
    <t>UTILES, MATERIALES Y SUMINISTROS DIVERSOS</t>
  </si>
  <si>
    <t>CAJA COSTARRICENSE DE SEGURO SOCIAL. (CCSS) (CONTRIBUCION ESTATAL AL SEGURO DE PENSIONES, SEGUN LEY NO. 17 DEL 22 DE OCTUBRE DE 1943, LEY</t>
  </si>
  <si>
    <t>CAJA COSTARRICENSE DE SEGURO SOCIAL. (CCSS) (CONTRIBUCION ESTATAL AL SEGURO DE SALUD, SEGUN LEY NO. 17 DEL 22 DE OCTUBRE DE 1943, LEY</t>
  </si>
  <si>
    <t>SERVICIOS DE INGENIERIA Y ARQUITECTURA</t>
  </si>
  <si>
    <t>SERVICIOS EN CIENCIAS DE LA SALUD</t>
  </si>
  <si>
    <t>E6010320478300</t>
  </si>
  <si>
    <t>CAJA COSTARRICENSE DE SEGURO SOCIAL (CENTROS PENALES SEGURO DE SALUD, SEGUN LEY NO.17 DEL 22 DE OCTUBRE DE 1943 Y SUS REFORMAS).</t>
  </si>
  <si>
    <t>CCSS SEG.SALUD CENTROS PENALES (CENTROS PENALES SEGURO DE SALUD, SEGUN LEY NO.17 DEL 22 DE OCTUBRE DE 1943 Y SUS REFORMAS).</t>
  </si>
  <si>
    <t>E-205</t>
  </si>
  <si>
    <t>BIENES PARA LA PRODUCCION Y COMERCIALIZACION</t>
  </si>
  <si>
    <t>E-20599</t>
  </si>
  <si>
    <t>OTROS BIENES PARA LA PRODUCCION Y COMERCIALIZACION</t>
  </si>
  <si>
    <t>Cuadro resumen ejecución Titulo 214_2019</t>
  </si>
  <si>
    <t>Presupuesto Utilizado (solicitado + comprometido + rec.mercancía)</t>
  </si>
  <si>
    <t>Cuadro resumen ejecución Titulo 214_2018</t>
  </si>
  <si>
    <t>*JUNIO</t>
  </si>
  <si>
    <t>*JULIO</t>
  </si>
  <si>
    <t>*AGOSTO</t>
  </si>
  <si>
    <t>Presupuesto Utilizado (solicitado + comprometido + rec.mercancía )</t>
  </si>
  <si>
    <t>CCSS CONTRIBUCION PATRONAL SEGURO SALUD (SEGUN LEY NO. 17 DEL 22/10/1943, LEY CONSTITUTIVA DE LA C.C.S.S. Y REGLAMENTO NO. 7082</t>
  </si>
  <si>
    <t>CCSS CONTRIBUCION PATRONAL SEGURO PENSIONES (SEGUN LEY NO. 17 DEL 22/10/1943, LEY CONSTITUTIVA DE LA C.C.S.S. Y REGLAMENTO NO. 6898</t>
  </si>
  <si>
    <t>CCSS APORTE PATRONAL REGIMEN PENSIONES (SEGUN LEY DE PROTECCION AL TRABAJADOR NO. 7983 DEL 16 DE FEBRERO DEL 2000).</t>
  </si>
  <si>
    <t>CCSS APORTE PATRONAL FONDO CAPITALIZACION LABORAL (SEGUN LEY DE PROTECCION AL TRABAJADOR NO. 7983 DEL 16 DE FEBRERO DEL 2000).</t>
  </si>
  <si>
    <t>UTILES,  MATERIALES Y  SUMINISTROS DIVERSOS</t>
  </si>
  <si>
    <t>CCSS CONTRIBUCION ESTATAL SEGURO PENSIONES (CONTRIBUCION ESTATAL AL SEGURO DE PENSIONES, SEGUN LEY NO. 17 DEL 22/10/1943, LEY CONSTITUTIVA</t>
  </si>
  <si>
    <t>CCSS CONTRIBUCION ESTATAL SEGURO SALUD (CONTRIBUCION ESTATAL AL SEGURO DE SALUD, SEGUN LEY NO. 17 DEL 22/10/1943, LEY CONSTITUTIVA DE LA</t>
  </si>
  <si>
    <t>PUBLICIDAD Y PROPAGANDA</t>
  </si>
  <si>
    <t>SERVICIOS DE INGENIERIA</t>
  </si>
  <si>
    <t>SERVICIO DE DESARROLLO DE SISTEMAS INFORMATICOS</t>
  </si>
  <si>
    <t>REMUNERACIONES DIVERSAS</t>
  </si>
  <si>
    <t>GASTOS DE REPRESENTACION PERSONAL</t>
  </si>
  <si>
    <t>SERVICIOS MEDICOS Y DE LABORATORIO</t>
  </si>
  <si>
    <t>DEVENGADO MENSUAL PROGRAMA 779</t>
  </si>
  <si>
    <t>DEVENGADO % ACUMULADO</t>
  </si>
  <si>
    <t>DEVENGADO MENSUAL PROGRAMA 783</t>
  </si>
  <si>
    <t>DEVENGADO MENSUAL PROGRAMA 780</t>
  </si>
  <si>
    <t>DEVENGADO MENSUAL PROGRAMA 781</t>
  </si>
  <si>
    <t>DEVENGADO MENSUAL PROGRAMA 784</t>
  </si>
  <si>
    <t>*SETIEMBRE</t>
  </si>
  <si>
    <t>214  - Ministerio de Justicia y Paz</t>
  </si>
  <si>
    <t>Recepción/ Mercancía</t>
  </si>
  <si>
    <t>Pagado x Mes</t>
  </si>
  <si>
    <t>Devengado x Mes</t>
  </si>
  <si>
    <t xml:space="preserve">DEVENGADO MENSUAL </t>
  </si>
  <si>
    <t>Disponible Presupuestario/SIGAF</t>
  </si>
  <si>
    <t>Recepción Mercancía/SIGAF</t>
  </si>
  <si>
    <t>DEVENGADO MENSUAL /SIGAF</t>
  </si>
  <si>
    <t>CONSOLIDADO</t>
  </si>
  <si>
    <t>Pagado Mensual</t>
  </si>
  <si>
    <t>Pagado Acumulado</t>
  </si>
  <si>
    <t>*OCTUBRE</t>
  </si>
  <si>
    <t>% Devengado</t>
  </si>
  <si>
    <t>% Disp Presupuestario</t>
  </si>
  <si>
    <t>NOVIEMBRE</t>
  </si>
  <si>
    <t>890</t>
  </si>
  <si>
    <t>UNIDAD EJECUTORA DEL PROYECTO PROGRAMA PARA LA PREVENCION DE LA VIOLENCIA Y PROMOCION DE LA INCLUSION SOCIAL. (LEY Nº 9025 PUBLICADA EL</t>
  </si>
  <si>
    <t>507</t>
  </si>
  <si>
    <t>DICIEMBRE</t>
  </si>
  <si>
    <t>Diciembre 2019.</t>
  </si>
  <si>
    <t>DICIEMBRE 2018.</t>
  </si>
  <si>
    <t xml:space="preserve">AL 31 DE DICIEMBRE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</si>
</sst>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&quot;₡&quot;#,##0.00"/>
    <numFmt numFmtId="167" formatCode="#,##0.0"/>
    <numFmt numFmtId="168" formatCode="_-[$₡-140A]* #,##0.00_-;\-[$₡-140A]* #,##0.00_-;_-[$₡-140A]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Palatino Linotype"/>
      <family val="1"/>
    </font>
    <font>
      <sz val="11"/>
      <color theme="1"/>
      <name val="Palatino Linotype"/>
      <family val="1"/>
    </font>
    <font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1"/>
      <color theme="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13" borderId="45" applyNumberFormat="0" applyAlignment="0" applyProtection="0"/>
  </cellStyleXfs>
  <cellXfs count="366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6" fillId="4" borderId="0" xfId="0" applyFont="1" applyFill="1" applyAlignment="1">
      <alignment vertical="center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4" fontId="10" fillId="0" borderId="9" xfId="0" applyNumberFormat="1" applyFont="1" applyBorder="1"/>
    <xf numFmtId="0" fontId="0" fillId="0" borderId="0" xfId="0" applyAlignment="1">
      <alignment horizontal="center"/>
    </xf>
    <xf numFmtId="4" fontId="4" fillId="3" borderId="16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4" borderId="0" xfId="0" applyNumberFormat="1" applyFont="1" applyFill="1" applyAlignment="1">
      <alignment vertical="center"/>
    </xf>
    <xf numFmtId="9" fontId="6" fillId="0" borderId="9" xfId="2" applyFont="1" applyBorder="1" applyAlignment="1">
      <alignment horizontal="center" vertical="center"/>
    </xf>
    <xf numFmtId="9" fontId="4" fillId="3" borderId="16" xfId="2" applyFont="1" applyFill="1" applyBorder="1" applyAlignment="1">
      <alignment horizontal="center" vertical="center"/>
    </xf>
    <xf numFmtId="164" fontId="3" fillId="0" borderId="0" xfId="1" applyFont="1"/>
    <xf numFmtId="0" fontId="11" fillId="0" borderId="9" xfId="0" applyFont="1" applyBorder="1"/>
    <xf numFmtId="4" fontId="4" fillId="0" borderId="9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Font="1"/>
    <xf numFmtId="164" fontId="0" fillId="0" borderId="0" xfId="1" applyFont="1"/>
    <xf numFmtId="0" fontId="2" fillId="0" borderId="9" xfId="0" applyFont="1" applyBorder="1" applyAlignment="1">
      <alignment horizontal="left"/>
    </xf>
    <xf numFmtId="164" fontId="0" fillId="0" borderId="9" xfId="1" applyFon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6" fillId="0" borderId="9" xfId="2" applyNumberFormat="1" applyFont="1" applyBorder="1" applyAlignment="1">
      <alignment horizontal="center" vertical="center"/>
    </xf>
    <xf numFmtId="165" fontId="4" fillId="3" borderId="16" xfId="2" applyNumberFormat="1" applyFont="1" applyFill="1" applyBorder="1" applyAlignment="1">
      <alignment horizontal="center" vertical="center"/>
    </xf>
    <xf numFmtId="4" fontId="0" fillId="0" borderId="0" xfId="0" applyNumberFormat="1"/>
    <xf numFmtId="164" fontId="0" fillId="0" borderId="0" xfId="0" applyNumberFormat="1"/>
    <xf numFmtId="4" fontId="11" fillId="0" borderId="9" xfId="0" applyNumberFormat="1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0" fontId="8" fillId="0" borderId="0" xfId="0" applyFont="1" applyAlignment="1">
      <alignment horizontal="left" vertical="center"/>
    </xf>
    <xf numFmtId="164" fontId="10" fillId="0" borderId="9" xfId="1" applyFont="1" applyBorder="1"/>
    <xf numFmtId="4" fontId="10" fillId="0" borderId="9" xfId="0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" fontId="10" fillId="5" borderId="9" xfId="0" applyNumberFormat="1" applyFont="1" applyFill="1" applyBorder="1"/>
    <xf numFmtId="4" fontId="11" fillId="5" borderId="9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vertical="center" readingOrder="1"/>
    </xf>
    <xf numFmtId="10" fontId="0" fillId="0" borderId="0" xfId="0" applyNumberFormat="1"/>
    <xf numFmtId="10" fontId="10" fillId="0" borderId="9" xfId="2" applyNumberFormat="1" applyFont="1" applyBorder="1" applyAlignment="1">
      <alignment horizontal="center"/>
    </xf>
    <xf numFmtId="10" fontId="6" fillId="0" borderId="9" xfId="2" applyNumberFormat="1" applyFont="1" applyBorder="1" applyAlignment="1">
      <alignment horizontal="center" vertical="center"/>
    </xf>
    <xf numFmtId="165" fontId="0" fillId="0" borderId="0" xfId="2" applyNumberFormat="1" applyFont="1"/>
    <xf numFmtId="164" fontId="14" fillId="6" borderId="9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/>
    </xf>
    <xf numFmtId="4" fontId="15" fillId="6" borderId="9" xfId="0" applyNumberFormat="1" applyFont="1" applyFill="1" applyBorder="1"/>
    <xf numFmtId="10" fontId="15" fillId="6" borderId="9" xfId="2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vertical="center" wrapText="1" readingOrder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readingOrder="1"/>
    </xf>
    <xf numFmtId="0" fontId="13" fillId="6" borderId="0" xfId="0" applyFont="1" applyFill="1"/>
    <xf numFmtId="0" fontId="15" fillId="6" borderId="9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0" fillId="8" borderId="0" xfId="0" applyFill="1"/>
    <xf numFmtId="0" fontId="16" fillId="0" borderId="0" xfId="0" applyFont="1"/>
    <xf numFmtId="10" fontId="11" fillId="0" borderId="9" xfId="2" applyNumberFormat="1" applyFont="1" applyBorder="1"/>
    <xf numFmtId="10" fontId="10" fillId="0" borderId="9" xfId="2" applyNumberFormat="1" applyFont="1" applyBorder="1"/>
    <xf numFmtId="10" fontId="4" fillId="0" borderId="9" xfId="2" applyNumberFormat="1" applyFont="1" applyBorder="1" applyAlignment="1">
      <alignment horizontal="center" vertical="center"/>
    </xf>
    <xf numFmtId="10" fontId="4" fillId="3" borderId="16" xfId="2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" fontId="18" fillId="0" borderId="9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19" fillId="0" borderId="9" xfId="0" applyNumberFormat="1" applyFont="1" applyBorder="1" applyAlignment="1">
      <alignment vertical="center"/>
    </xf>
    <xf numFmtId="10" fontId="19" fillId="0" borderId="9" xfId="2" applyNumberFormat="1" applyFont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4" fontId="17" fillId="6" borderId="16" xfId="0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0" fillId="0" borderId="13" xfId="0" applyFont="1" applyBorder="1" applyAlignment="1">
      <alignment vertical="center" wrapText="1"/>
    </xf>
    <xf numFmtId="165" fontId="19" fillId="0" borderId="9" xfId="2" applyNumberFormat="1" applyFont="1" applyBorder="1" applyAlignment="1">
      <alignment horizontal="center" vertical="center"/>
    </xf>
    <xf numFmtId="4" fontId="19" fillId="4" borderId="0" xfId="0" applyNumberFormat="1" applyFont="1" applyFill="1" applyAlignment="1">
      <alignment vertical="center"/>
    </xf>
    <xf numFmtId="4" fontId="0" fillId="0" borderId="0" xfId="0" applyNumberFormat="1" applyFont="1"/>
    <xf numFmtId="0" fontId="15" fillId="6" borderId="23" xfId="0" applyFont="1" applyFill="1" applyBorder="1" applyAlignment="1">
      <alignment vertical="center" wrapText="1" readingOrder="1"/>
    </xf>
    <xf numFmtId="40" fontId="0" fillId="0" borderId="4" xfId="0" applyNumberFormat="1" applyBorder="1"/>
    <xf numFmtId="40" fontId="10" fillId="0" borderId="9" xfId="0" applyNumberFormat="1" applyFont="1" applyBorder="1"/>
    <xf numFmtId="40" fontId="11" fillId="0" borderId="9" xfId="0" applyNumberFormat="1" applyFont="1" applyBorder="1"/>
    <xf numFmtId="40" fontId="0" fillId="0" borderId="0" xfId="0" applyNumberFormat="1"/>
    <xf numFmtId="40" fontId="16" fillId="0" borderId="0" xfId="0" applyNumberFormat="1" applyFont="1"/>
    <xf numFmtId="40" fontId="0" fillId="0" borderId="0" xfId="0" applyNumberFormat="1" applyFont="1"/>
    <xf numFmtId="165" fontId="19" fillId="0" borderId="9" xfId="2" applyNumberFormat="1" applyFont="1" applyBorder="1" applyAlignment="1">
      <alignment vertical="center"/>
    </xf>
    <xf numFmtId="165" fontId="15" fillId="6" borderId="9" xfId="2" applyNumberFormat="1" applyFont="1" applyFill="1" applyBorder="1"/>
    <xf numFmtId="49" fontId="10" fillId="0" borderId="9" xfId="0" applyNumberFormat="1" applyFont="1" applyBorder="1" applyAlignment="1">
      <alignment horizontal="right" vertical="center" wrapText="1" readingOrder="1"/>
    </xf>
    <xf numFmtId="0" fontId="13" fillId="0" borderId="0" xfId="0" applyFont="1"/>
    <xf numFmtId="164" fontId="0" fillId="0" borderId="9" xfId="1" applyFont="1" applyBorder="1"/>
    <xf numFmtId="0" fontId="13" fillId="5" borderId="0" xfId="0" applyFont="1" applyFill="1"/>
    <xf numFmtId="0" fontId="0" fillId="5" borderId="0" xfId="0" applyFill="1"/>
    <xf numFmtId="0" fontId="22" fillId="6" borderId="9" xfId="0" applyFont="1" applyFill="1" applyBorder="1" applyAlignment="1">
      <alignment horizontal="center"/>
    </xf>
    <xf numFmtId="0" fontId="15" fillId="6" borderId="25" xfId="0" applyNumberFormat="1" applyFont="1" applyFill="1" applyBorder="1" applyAlignment="1">
      <alignment horizontal="center" vertical="center" wrapText="1" readingOrder="1"/>
    </xf>
    <xf numFmtId="164" fontId="19" fillId="0" borderId="9" xfId="1" applyFont="1" applyBorder="1" applyAlignment="1">
      <alignment vertical="center"/>
    </xf>
    <xf numFmtId="164" fontId="15" fillId="6" borderId="9" xfId="1" applyFont="1" applyFill="1" applyBorder="1"/>
    <xf numFmtId="0" fontId="2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25" fillId="0" borderId="9" xfId="0" applyNumberFormat="1" applyFont="1" applyBorder="1" applyAlignment="1">
      <alignment horizontal="left" vertical="top" wrapText="1"/>
    </xf>
    <xf numFmtId="0" fontId="26" fillId="0" borderId="9" xfId="0" applyNumberFormat="1" applyFont="1" applyBorder="1" applyAlignment="1">
      <alignment horizontal="left" vertical="top" wrapText="1"/>
    </xf>
    <xf numFmtId="0" fontId="10" fillId="0" borderId="9" xfId="0" applyNumberFormat="1" applyFont="1" applyBorder="1"/>
    <xf numFmtId="0" fontId="2" fillId="0" borderId="0" xfId="0" applyNumberFormat="1" applyFont="1"/>
    <xf numFmtId="0" fontId="11" fillId="0" borderId="9" xfId="0" applyNumberFormat="1" applyFont="1" applyBorder="1"/>
    <xf numFmtId="0" fontId="0" fillId="0" borderId="0" xfId="0" applyNumberFormat="1" applyFont="1"/>
    <xf numFmtId="0" fontId="0" fillId="0" borderId="0" xfId="0" applyNumberFormat="1"/>
    <xf numFmtId="0" fontId="7" fillId="3" borderId="15" xfId="0" applyNumberFormat="1" applyFont="1" applyFill="1" applyBorder="1" applyAlignment="1">
      <alignment horizontal="center" vertical="center"/>
    </xf>
    <xf numFmtId="0" fontId="27" fillId="0" borderId="0" xfId="0" applyFont="1"/>
    <xf numFmtId="164" fontId="18" fillId="0" borderId="9" xfId="1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49" fontId="15" fillId="6" borderId="25" xfId="0" applyNumberFormat="1" applyFont="1" applyFill="1" applyBorder="1" applyAlignment="1">
      <alignment horizontal="center" vertical="center" wrapText="1" readingOrder="1"/>
    </xf>
    <xf numFmtId="0" fontId="10" fillId="0" borderId="24" xfId="0" applyFont="1" applyBorder="1"/>
    <xf numFmtId="0" fontId="5" fillId="0" borderId="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/>
    </xf>
    <xf numFmtId="4" fontId="24" fillId="6" borderId="9" xfId="0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5" borderId="0" xfId="0" applyFont="1" applyFill="1"/>
    <xf numFmtId="0" fontId="16" fillId="5" borderId="0" xfId="0" applyFont="1" applyFill="1"/>
    <xf numFmtId="164" fontId="16" fillId="5" borderId="0" xfId="1" applyFont="1" applyFill="1"/>
    <xf numFmtId="4" fontId="19" fillId="0" borderId="9" xfId="2" applyNumberFormat="1" applyFont="1" applyBorder="1" applyAlignment="1">
      <alignment vertical="center"/>
    </xf>
    <xf numFmtId="10" fontId="0" fillId="0" borderId="0" xfId="2" applyNumberFormat="1" applyFont="1"/>
    <xf numFmtId="164" fontId="2" fillId="0" borderId="0" xfId="1" applyFont="1"/>
    <xf numFmtId="164" fontId="27" fillId="0" borderId="0" xfId="1" applyFont="1"/>
    <xf numFmtId="4" fontId="2" fillId="0" borderId="0" xfId="0" applyNumberFormat="1" applyFont="1"/>
    <xf numFmtId="9" fontId="0" fillId="0" borderId="0" xfId="2" applyFont="1"/>
    <xf numFmtId="4" fontId="10" fillId="0" borderId="9" xfId="0" applyNumberFormat="1" applyFont="1" applyFill="1" applyBorder="1"/>
    <xf numFmtId="15" fontId="13" fillId="5" borderId="0" xfId="0" applyNumberFormat="1" applyFont="1" applyFill="1"/>
    <xf numFmtId="49" fontId="13" fillId="5" borderId="0" xfId="0" applyNumberFormat="1" applyFont="1" applyFill="1"/>
    <xf numFmtId="165" fontId="13" fillId="5" borderId="0" xfId="1" applyNumberFormat="1" applyFont="1" applyFill="1"/>
    <xf numFmtId="164" fontId="13" fillId="5" borderId="0" xfId="1" applyFont="1" applyFill="1"/>
    <xf numFmtId="9" fontId="19" fillId="0" borderId="9" xfId="2" applyNumberFormat="1" applyFont="1" applyBorder="1" applyAlignment="1">
      <alignment horizontal="center" vertical="center"/>
    </xf>
    <xf numFmtId="165" fontId="15" fillId="6" borderId="9" xfId="2" applyNumberFormat="1" applyFont="1" applyFill="1" applyBorder="1" applyAlignment="1">
      <alignment horizontal="center"/>
    </xf>
    <xf numFmtId="9" fontId="15" fillId="6" borderId="9" xfId="2" applyNumberFormat="1" applyFont="1" applyFill="1" applyBorder="1" applyAlignment="1">
      <alignment horizontal="center"/>
    </xf>
    <xf numFmtId="165" fontId="11" fillId="0" borderId="9" xfId="2" applyNumberFormat="1" applyFont="1" applyBorder="1"/>
    <xf numFmtId="165" fontId="10" fillId="0" borderId="9" xfId="2" applyNumberFormat="1" applyFont="1" applyBorder="1"/>
    <xf numFmtId="9" fontId="18" fillId="0" borderId="9" xfId="2" applyNumberFormat="1" applyFont="1" applyBorder="1" applyAlignment="1">
      <alignment horizontal="center" vertical="center"/>
    </xf>
    <xf numFmtId="0" fontId="24" fillId="6" borderId="9" xfId="0" applyFont="1" applyFill="1" applyBorder="1" applyAlignment="1">
      <alignment vertical="center" wrapText="1"/>
    </xf>
    <xf numFmtId="165" fontId="24" fillId="6" borderId="9" xfId="2" applyNumberFormat="1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vertical="center"/>
    </xf>
    <xf numFmtId="0" fontId="17" fillId="9" borderId="23" xfId="0" applyFont="1" applyFill="1" applyBorder="1" applyAlignment="1">
      <alignment vertical="center"/>
    </xf>
    <xf numFmtId="4" fontId="17" fillId="9" borderId="9" xfId="0" applyNumberFormat="1" applyFont="1" applyFill="1" applyBorder="1" applyAlignment="1">
      <alignment vertical="center"/>
    </xf>
    <xf numFmtId="9" fontId="17" fillId="9" borderId="9" xfId="2" applyNumberFormat="1" applyFont="1" applyFill="1" applyBorder="1" applyAlignment="1">
      <alignment horizontal="center" vertical="center"/>
    </xf>
    <xf numFmtId="164" fontId="17" fillId="9" borderId="9" xfId="1" applyFont="1" applyFill="1" applyBorder="1" applyAlignment="1">
      <alignment vertical="center"/>
    </xf>
    <xf numFmtId="40" fontId="17" fillId="9" borderId="9" xfId="0" applyNumberFormat="1" applyFont="1" applyFill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9" fontId="6" fillId="0" borderId="9" xfId="2" applyNumberFormat="1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164" fontId="19" fillId="0" borderId="28" xfId="1" applyFont="1" applyBorder="1" applyAlignment="1">
      <alignment vertical="center"/>
    </xf>
    <xf numFmtId="9" fontId="17" fillId="6" borderId="16" xfId="2" applyFont="1" applyFill="1" applyBorder="1" applyAlignment="1">
      <alignment horizontal="center" vertical="center"/>
    </xf>
    <xf numFmtId="9" fontId="0" fillId="0" borderId="0" xfId="2" applyNumberFormat="1" applyFont="1"/>
    <xf numFmtId="0" fontId="0" fillId="0" borderId="0" xfId="0" applyAlignment="1">
      <alignment vertical="top"/>
    </xf>
    <xf numFmtId="0" fontId="0" fillId="10" borderId="9" xfId="0" applyFill="1" applyBorder="1" applyAlignment="1">
      <alignment vertical="top"/>
    </xf>
    <xf numFmtId="9" fontId="19" fillId="0" borderId="9" xfId="2" applyFont="1" applyBorder="1" applyAlignment="1">
      <alignment horizontal="center" vertical="center"/>
    </xf>
    <xf numFmtId="0" fontId="28" fillId="6" borderId="9" xfId="0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 wrapText="1"/>
    </xf>
    <xf numFmtId="164" fontId="29" fillId="0" borderId="9" xfId="1" applyFont="1" applyBorder="1"/>
    <xf numFmtId="9" fontId="29" fillId="0" borderId="9" xfId="2" applyNumberFormat="1" applyFont="1" applyBorder="1" applyAlignment="1">
      <alignment horizontal="center"/>
    </xf>
    <xf numFmtId="0" fontId="30" fillId="5" borderId="0" xfId="0" applyFont="1" applyFill="1"/>
    <xf numFmtId="0" fontId="29" fillId="5" borderId="0" xfId="0" applyFont="1" applyFill="1"/>
    <xf numFmtId="0" fontId="29" fillId="0" borderId="0" xfId="0" applyFont="1"/>
    <xf numFmtId="0" fontId="0" fillId="0" borderId="1" xfId="0" applyBorder="1"/>
    <xf numFmtId="0" fontId="0" fillId="0" borderId="8" xfId="0" applyBorder="1"/>
    <xf numFmtId="0" fontId="22" fillId="6" borderId="14" xfId="0" applyFont="1" applyFill="1" applyBorder="1" applyAlignment="1">
      <alignment horizontal="center" wrapText="1"/>
    </xf>
    <xf numFmtId="9" fontId="0" fillId="0" borderId="14" xfId="2" applyNumberFormat="1" applyFont="1" applyBorder="1" applyAlignment="1">
      <alignment horizontal="center"/>
    </xf>
    <xf numFmtId="0" fontId="13" fillId="5" borderId="0" xfId="0" applyFont="1" applyFill="1" applyBorder="1"/>
    <xf numFmtId="0" fontId="13" fillId="5" borderId="7" xfId="0" applyFont="1" applyFill="1" applyBorder="1"/>
    <xf numFmtId="0" fontId="0" fillId="5" borderId="0" xfId="0" applyFill="1" applyBorder="1"/>
    <xf numFmtId="0" fontId="0" fillId="5" borderId="7" xfId="0" applyFill="1" applyBorder="1"/>
    <xf numFmtId="164" fontId="0" fillId="0" borderId="16" xfId="1" applyFont="1" applyBorder="1"/>
    <xf numFmtId="9" fontId="0" fillId="0" borderId="36" xfId="2" applyNumberFormat="1" applyFont="1" applyBorder="1" applyAlignment="1">
      <alignment horizontal="center"/>
    </xf>
    <xf numFmtId="0" fontId="22" fillId="6" borderId="9" xfId="0" applyFont="1" applyFill="1" applyBorder="1" applyAlignment="1">
      <alignment horizontal="center" wrapText="1"/>
    </xf>
    <xf numFmtId="9" fontId="0" fillId="0" borderId="9" xfId="2" applyNumberFormat="1" applyFont="1" applyBorder="1" applyAlignment="1">
      <alignment horizontal="center"/>
    </xf>
    <xf numFmtId="166" fontId="10" fillId="0" borderId="9" xfId="2" applyNumberFormat="1" applyFont="1" applyBorder="1" applyAlignment="1">
      <alignment horizontal="center"/>
    </xf>
    <xf numFmtId="4" fontId="0" fillId="0" borderId="0" xfId="0" applyNumberFormat="1" applyAlignment="1">
      <alignment horizontal="right" vertical="top"/>
    </xf>
    <xf numFmtId="0" fontId="0" fillId="11" borderId="9" xfId="0" applyFill="1" applyBorder="1" applyAlignment="1">
      <alignment vertical="top"/>
    </xf>
    <xf numFmtId="4" fontId="0" fillId="11" borderId="9" xfId="0" applyNumberFormat="1" applyFill="1" applyBorder="1" applyAlignment="1">
      <alignment horizontal="right" vertical="top"/>
    </xf>
    <xf numFmtId="4" fontId="0" fillId="8" borderId="0" xfId="0" applyNumberFormat="1" applyFill="1" applyAlignment="1">
      <alignment horizontal="right" vertical="top"/>
    </xf>
    <xf numFmtId="3" fontId="0" fillId="0" borderId="0" xfId="0" applyNumberFormat="1" applyAlignment="1">
      <alignment horizontal="right" vertical="top"/>
    </xf>
    <xf numFmtId="167" fontId="0" fillId="0" borderId="0" xfId="0" applyNumberFormat="1" applyAlignment="1">
      <alignment horizontal="right" vertical="top"/>
    </xf>
    <xf numFmtId="166" fontId="10" fillId="5" borderId="9" xfId="2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right" vertical="center" wrapText="1" readingOrder="1"/>
    </xf>
    <xf numFmtId="0" fontId="0" fillId="0" borderId="0" xfId="0" applyBorder="1" applyAlignment="1">
      <alignment horizontal="center" wrapText="1"/>
    </xf>
    <xf numFmtId="0" fontId="15" fillId="6" borderId="4" xfId="0" applyFont="1" applyFill="1" applyBorder="1" applyAlignment="1">
      <alignment horizontal="center" vertical="center" wrapText="1" readingOrder="1"/>
    </xf>
    <xf numFmtId="0" fontId="0" fillId="8" borderId="0" xfId="0" applyFill="1" applyAlignment="1">
      <alignment vertical="top"/>
    </xf>
    <xf numFmtId="0" fontId="0" fillId="12" borderId="9" xfId="0" applyFill="1" applyBorder="1" applyAlignment="1">
      <alignment vertical="top"/>
    </xf>
    <xf numFmtId="4" fontId="0" fillId="12" borderId="0" xfId="0" applyNumberFormat="1" applyFill="1" applyAlignment="1">
      <alignment horizontal="right" vertical="top"/>
    </xf>
    <xf numFmtId="4" fontId="0" fillId="12" borderId="9" xfId="0" applyNumberFormat="1" applyFill="1" applyBorder="1" applyAlignment="1">
      <alignment horizontal="right" vertical="top"/>
    </xf>
    <xf numFmtId="0" fontId="0" fillId="12" borderId="0" xfId="0" applyFill="1" applyAlignment="1">
      <alignment vertical="top"/>
    </xf>
    <xf numFmtId="0" fontId="0" fillId="0" borderId="9" xfId="0" applyFill="1" applyBorder="1" applyAlignment="1">
      <alignment vertical="top"/>
    </xf>
    <xf numFmtId="4" fontId="0" fillId="0" borderId="9" xfId="0" applyNumberFormat="1" applyFill="1" applyBorder="1" applyAlignment="1">
      <alignment horizontal="right" vertical="top"/>
    </xf>
    <xf numFmtId="49" fontId="10" fillId="0" borderId="9" xfId="0" applyNumberFormat="1" applyFont="1" applyFill="1" applyBorder="1" applyAlignment="1">
      <alignment horizontal="right" vertical="center" wrapText="1" readingOrder="1"/>
    </xf>
    <xf numFmtId="0" fontId="15" fillId="6" borderId="4" xfId="0" applyFont="1" applyFill="1" applyBorder="1" applyAlignment="1">
      <alignment horizontal="center" vertical="center" readingOrder="1"/>
    </xf>
    <xf numFmtId="9" fontId="15" fillId="6" borderId="39" xfId="2" applyFont="1" applyFill="1" applyBorder="1" applyAlignment="1">
      <alignment horizontal="center" vertical="center" wrapText="1" readingOrder="1"/>
    </xf>
    <xf numFmtId="166" fontId="0" fillId="0" borderId="0" xfId="0" applyNumberFormat="1"/>
    <xf numFmtId="4" fontId="15" fillId="6" borderId="12" xfId="0" applyNumberFormat="1" applyFont="1" applyFill="1" applyBorder="1" applyAlignment="1">
      <alignment horizontal="center" vertical="center" wrapText="1"/>
    </xf>
    <xf numFmtId="166" fontId="0" fillId="0" borderId="14" xfId="0" applyNumberFormat="1" applyBorder="1"/>
    <xf numFmtId="49" fontId="10" fillId="0" borderId="15" xfId="0" applyNumberFormat="1" applyFont="1" applyBorder="1" applyAlignment="1">
      <alignment horizontal="right" vertical="center" wrapText="1" readingOrder="1"/>
    </xf>
    <xf numFmtId="166" fontId="0" fillId="0" borderId="36" xfId="0" applyNumberFormat="1" applyBorder="1"/>
    <xf numFmtId="4" fontId="15" fillId="6" borderId="5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readingOrder="1"/>
    </xf>
    <xf numFmtId="0" fontId="15" fillId="6" borderId="6" xfId="0" applyFont="1" applyFill="1" applyBorder="1" applyAlignment="1">
      <alignment horizontal="center" vertical="center" wrapText="1" readingOrder="1"/>
    </xf>
    <xf numFmtId="4" fontId="15" fillId="6" borderId="41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15" fillId="6" borderId="0" xfId="0" applyFont="1" applyFill="1" applyBorder="1" applyAlignment="1">
      <alignment horizontal="center" vertical="center" readingOrder="1"/>
    </xf>
    <xf numFmtId="9" fontId="15" fillId="6" borderId="0" xfId="2" applyFont="1" applyFill="1" applyBorder="1" applyAlignment="1">
      <alignment horizontal="center" vertical="center" wrapText="1" readingOrder="1"/>
    </xf>
    <xf numFmtId="0" fontId="15" fillId="5" borderId="0" xfId="0" applyFont="1" applyFill="1" applyBorder="1" applyAlignment="1">
      <alignment horizontal="center" vertical="center" readingOrder="1"/>
    </xf>
    <xf numFmtId="9" fontId="15" fillId="5" borderId="0" xfId="2" applyFont="1" applyFill="1" applyBorder="1" applyAlignment="1">
      <alignment horizontal="center" vertical="center" wrapText="1" readingOrder="1"/>
    </xf>
    <xf numFmtId="0" fontId="0" fillId="0" borderId="3" xfId="0" applyBorder="1"/>
    <xf numFmtId="0" fontId="15" fillId="6" borderId="15" xfId="0" applyFont="1" applyFill="1" applyBorder="1" applyAlignment="1">
      <alignment horizontal="center" vertical="center" wrapText="1" readingOrder="1"/>
    </xf>
    <xf numFmtId="168" fontId="15" fillId="6" borderId="22" xfId="0" applyNumberFormat="1" applyFont="1" applyFill="1" applyBorder="1" applyAlignment="1">
      <alignment vertical="center" wrapText="1"/>
    </xf>
    <xf numFmtId="168" fontId="15" fillId="6" borderId="6" xfId="0" applyNumberFormat="1" applyFont="1" applyFill="1" applyBorder="1" applyAlignment="1">
      <alignment vertical="center" wrapText="1"/>
    </xf>
    <xf numFmtId="168" fontId="15" fillId="6" borderId="38" xfId="0" applyNumberFormat="1" applyFont="1" applyFill="1" applyBorder="1" applyAlignment="1">
      <alignment vertical="center" wrapText="1"/>
    </xf>
    <xf numFmtId="0" fontId="15" fillId="6" borderId="38" xfId="0" applyFont="1" applyFill="1" applyBorder="1" applyAlignment="1">
      <alignment horizontal="center" vertical="center" wrapText="1" readingOrder="1"/>
    </xf>
    <xf numFmtId="0" fontId="15" fillId="6" borderId="41" xfId="0" applyFont="1" applyFill="1" applyBorder="1" applyAlignment="1">
      <alignment horizontal="center" vertical="center" wrapText="1" readingOrder="1"/>
    </xf>
    <xf numFmtId="168" fontId="15" fillId="6" borderId="41" xfId="0" applyNumberFormat="1" applyFont="1" applyFill="1" applyBorder="1" applyAlignment="1">
      <alignment vertical="center" wrapText="1"/>
    </xf>
    <xf numFmtId="168" fontId="15" fillId="6" borderId="4" xfId="0" applyNumberFormat="1" applyFont="1" applyFill="1" applyBorder="1" applyAlignment="1">
      <alignment vertical="center" wrapText="1"/>
    </xf>
    <xf numFmtId="168" fontId="15" fillId="6" borderId="42" xfId="0" applyNumberFormat="1" applyFont="1" applyFill="1" applyBorder="1" applyAlignment="1">
      <alignment vertical="center" wrapText="1"/>
    </xf>
    <xf numFmtId="168" fontId="15" fillId="6" borderId="16" xfId="0" applyNumberFormat="1" applyFont="1" applyFill="1" applyBorder="1" applyAlignment="1">
      <alignment vertical="center" wrapText="1"/>
    </xf>
    <xf numFmtId="0" fontId="0" fillId="0" borderId="16" xfId="0" applyBorder="1"/>
    <xf numFmtId="168" fontId="15" fillId="6" borderId="36" xfId="0" applyNumberFormat="1" applyFont="1" applyFill="1" applyBorder="1" applyAlignment="1">
      <alignment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right" vertical="center" wrapText="1" readingOrder="1"/>
    </xf>
    <xf numFmtId="166" fontId="0" fillId="0" borderId="0" xfId="0" applyNumberFormat="1" applyFill="1" applyBorder="1"/>
    <xf numFmtId="0" fontId="33" fillId="0" borderId="0" xfId="0" applyFont="1" applyFill="1" applyBorder="1" applyAlignment="1">
      <alignment wrapText="1"/>
    </xf>
    <xf numFmtId="166" fontId="2" fillId="0" borderId="0" xfId="0" applyNumberFormat="1" applyFont="1" applyFill="1" applyBorder="1"/>
    <xf numFmtId="166" fontId="0" fillId="0" borderId="39" xfId="0" applyNumberFormat="1" applyBorder="1"/>
    <xf numFmtId="4" fontId="15" fillId="6" borderId="38" xfId="0" applyNumberFormat="1" applyFont="1" applyFill="1" applyBorder="1" applyAlignment="1">
      <alignment horizontal="center" vertical="center" wrapText="1"/>
    </xf>
    <xf numFmtId="4" fontId="15" fillId="6" borderId="38" xfId="0" applyNumberFormat="1" applyFont="1" applyFill="1" applyBorder="1" applyAlignment="1">
      <alignment horizontal="center" wrapText="1"/>
    </xf>
    <xf numFmtId="166" fontId="0" fillId="0" borderId="40" xfId="0" applyNumberFormat="1" applyBorder="1"/>
    <xf numFmtId="0" fontId="0" fillId="0" borderId="0" xfId="0" applyBorder="1"/>
    <xf numFmtId="4" fontId="15" fillId="6" borderId="43" xfId="0" applyNumberFormat="1" applyFont="1" applyFill="1" applyBorder="1" applyAlignment="1">
      <alignment horizontal="center" wrapText="1"/>
    </xf>
    <xf numFmtId="4" fontId="15" fillId="6" borderId="7" xfId="0" applyNumberFormat="1" applyFont="1" applyFill="1" applyBorder="1" applyAlignment="1">
      <alignment horizontal="center" wrapText="1"/>
    </xf>
    <xf numFmtId="9" fontId="10" fillId="0" borderId="9" xfId="2" applyFont="1" applyBorder="1" applyAlignment="1">
      <alignment horizontal="center"/>
    </xf>
    <xf numFmtId="4" fontId="0" fillId="0" borderId="9" xfId="0" applyNumberFormat="1" applyBorder="1"/>
    <xf numFmtId="0" fontId="15" fillId="6" borderId="44" xfId="0" applyFont="1" applyFill="1" applyBorder="1" applyAlignment="1">
      <alignment horizontal="center" vertical="center" wrapText="1" readingOrder="1"/>
    </xf>
    <xf numFmtId="168" fontId="15" fillId="6" borderId="37" xfId="0" applyNumberFormat="1" applyFont="1" applyFill="1" applyBorder="1" applyAlignment="1">
      <alignment vertical="center" wrapText="1"/>
    </xf>
    <xf numFmtId="49" fontId="10" fillId="0" borderId="46" xfId="0" applyNumberFormat="1" applyFont="1" applyBorder="1" applyAlignment="1">
      <alignment horizontal="right" vertical="center" wrapText="1" readingOrder="1"/>
    </xf>
    <xf numFmtId="10" fontId="24" fillId="6" borderId="9" xfId="2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 readingOrder="1"/>
    </xf>
    <xf numFmtId="0" fontId="15" fillId="6" borderId="25" xfId="0" applyFont="1" applyFill="1" applyBorder="1" applyAlignment="1">
      <alignment horizontal="center" vertical="center" wrapText="1" readingOrder="1"/>
    </xf>
    <xf numFmtId="0" fontId="15" fillId="6" borderId="23" xfId="0" applyFont="1" applyFill="1" applyBorder="1" applyAlignment="1">
      <alignment horizontal="center" vertical="center" wrapText="1" readingOrder="1"/>
    </xf>
    <xf numFmtId="0" fontId="15" fillId="6" borderId="30" xfId="0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right" vertical="center" wrapText="1" readingOrder="1"/>
    </xf>
    <xf numFmtId="10" fontId="10" fillId="0" borderId="0" xfId="2" applyNumberFormat="1" applyFont="1" applyBorder="1" applyAlignment="1">
      <alignment horizontal="center"/>
    </xf>
    <xf numFmtId="0" fontId="0" fillId="8" borderId="9" xfId="0" applyFill="1" applyBorder="1" applyAlignment="1">
      <alignment vertical="top"/>
    </xf>
    <xf numFmtId="4" fontId="0" fillId="8" borderId="9" xfId="0" applyNumberFormat="1" applyFill="1" applyBorder="1" applyAlignment="1">
      <alignment horizontal="right" vertical="top"/>
    </xf>
    <xf numFmtId="0" fontId="36" fillId="14" borderId="9" xfId="0" applyFont="1" applyFill="1" applyBorder="1" applyAlignment="1">
      <alignment vertical="top"/>
    </xf>
    <xf numFmtId="0" fontId="36" fillId="14" borderId="9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9" fontId="36" fillId="0" borderId="9" xfId="2" applyFont="1" applyBorder="1" applyAlignment="1">
      <alignment horizontal="right" vertical="top"/>
    </xf>
    <xf numFmtId="9" fontId="36" fillId="8" borderId="9" xfId="2" applyFont="1" applyFill="1" applyBorder="1" applyAlignment="1">
      <alignment horizontal="right" vertical="top"/>
    </xf>
    <xf numFmtId="0" fontId="37" fillId="14" borderId="9" xfId="0" applyFont="1" applyFill="1" applyBorder="1" applyAlignment="1">
      <alignment vertical="top"/>
    </xf>
    <xf numFmtId="4" fontId="0" fillId="0" borderId="9" xfId="0" applyNumberFormat="1" applyBorder="1" applyAlignment="1">
      <alignment vertical="top"/>
    </xf>
    <xf numFmtId="0" fontId="37" fillId="8" borderId="9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horizontal="right" vertical="top"/>
    </xf>
    <xf numFmtId="0" fontId="10" fillId="8" borderId="9" xfId="0" applyFont="1" applyFill="1" applyBorder="1"/>
    <xf numFmtId="4" fontId="10" fillId="8" borderId="9" xfId="0" applyNumberFormat="1" applyFont="1" applyFill="1" applyBorder="1"/>
    <xf numFmtId="10" fontId="10" fillId="8" borderId="9" xfId="2" applyNumberFormat="1" applyFont="1" applyFill="1" applyBorder="1"/>
    <xf numFmtId="165" fontId="10" fillId="8" borderId="9" xfId="2" applyNumberFormat="1" applyFont="1" applyFill="1" applyBorder="1"/>
    <xf numFmtId="0" fontId="11" fillId="8" borderId="9" xfId="0" applyFont="1" applyFill="1" applyBorder="1"/>
    <xf numFmtId="4" fontId="11" fillId="8" borderId="9" xfId="0" applyNumberFormat="1" applyFont="1" applyFill="1" applyBorder="1"/>
    <xf numFmtId="10" fontId="11" fillId="8" borderId="9" xfId="2" applyNumberFormat="1" applyFont="1" applyFill="1" applyBorder="1"/>
    <xf numFmtId="165" fontId="11" fillId="8" borderId="9" xfId="2" applyNumberFormat="1" applyFont="1" applyFill="1" applyBorder="1"/>
    <xf numFmtId="0" fontId="2" fillId="8" borderId="0" xfId="0" applyFont="1" applyFill="1"/>
    <xf numFmtId="0" fontId="10" fillId="8" borderId="9" xfId="0" applyFont="1" applyFill="1" applyBorder="1" applyAlignment="1">
      <alignment wrapText="1"/>
    </xf>
    <xf numFmtId="0" fontId="2" fillId="8" borderId="9" xfId="0" applyFont="1" applyFill="1" applyBorder="1" applyAlignment="1">
      <alignment vertical="top"/>
    </xf>
    <xf numFmtId="4" fontId="2" fillId="8" borderId="9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0" fontId="17" fillId="6" borderId="11" xfId="0" applyNumberFormat="1" applyFont="1" applyFill="1" applyBorder="1" applyAlignment="1">
      <alignment horizontal="center" vertical="center" wrapText="1"/>
    </xf>
    <xf numFmtId="40" fontId="17" fillId="6" borderId="9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 readingOrder="1"/>
    </xf>
    <xf numFmtId="0" fontId="10" fillId="0" borderId="23" xfId="0" applyFont="1" applyBorder="1" applyAlignment="1">
      <alignment horizontal="left" vertical="top" wrapText="1" readingOrder="1"/>
    </xf>
    <xf numFmtId="0" fontId="10" fillId="0" borderId="24" xfId="0" applyFont="1" applyBorder="1" applyAlignment="1">
      <alignment horizontal="center" vertical="top" wrapText="1" readingOrder="1"/>
    </xf>
    <xf numFmtId="0" fontId="10" fillId="0" borderId="23" xfId="0" applyFont="1" applyBorder="1" applyAlignment="1">
      <alignment horizontal="center" vertical="top" wrapText="1" readingOrder="1"/>
    </xf>
    <xf numFmtId="0" fontId="15" fillId="6" borderId="29" xfId="0" applyFont="1" applyFill="1" applyBorder="1" applyAlignment="1">
      <alignment horizontal="center" vertical="center" wrapText="1" readingOrder="1"/>
    </xf>
    <xf numFmtId="0" fontId="15" fillId="6" borderId="30" xfId="0" applyFont="1" applyFill="1" applyBorder="1" applyAlignment="1">
      <alignment horizontal="center" vertical="center" wrapText="1" readingOrder="1"/>
    </xf>
    <xf numFmtId="4" fontId="15" fillId="6" borderId="28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 wrapText="1"/>
    </xf>
    <xf numFmtId="4" fontId="15" fillId="6" borderId="31" xfId="0" applyNumberFormat="1" applyFont="1" applyFill="1" applyBorder="1" applyAlignment="1">
      <alignment horizontal="center" vertical="center" wrapText="1"/>
    </xf>
    <xf numFmtId="4" fontId="15" fillId="6" borderId="32" xfId="0" applyNumberFormat="1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49" fontId="15" fillId="6" borderId="24" xfId="0" applyNumberFormat="1" applyFont="1" applyFill="1" applyBorder="1" applyAlignment="1">
      <alignment horizontal="center" vertical="center" wrapText="1" readingOrder="1"/>
    </xf>
    <xf numFmtId="49" fontId="15" fillId="6" borderId="23" xfId="0" applyNumberFormat="1" applyFont="1" applyFill="1" applyBorder="1" applyAlignment="1">
      <alignment horizontal="center" vertical="center" wrapText="1" readingOrder="1"/>
    </xf>
    <xf numFmtId="0" fontId="15" fillId="6" borderId="24" xfId="0" applyNumberFormat="1" applyFont="1" applyFill="1" applyBorder="1" applyAlignment="1">
      <alignment horizontal="center" vertical="center" wrapText="1" readingOrder="1"/>
    </xf>
    <xf numFmtId="0" fontId="15" fillId="6" borderId="23" xfId="0" applyNumberFormat="1" applyFont="1" applyFill="1" applyBorder="1" applyAlignment="1">
      <alignment horizontal="center" vertical="center" wrapText="1" readingOrder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7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2" fillId="6" borderId="35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 readingOrder="1"/>
    </xf>
    <xf numFmtId="0" fontId="15" fillId="6" borderId="25" xfId="0" applyFont="1" applyFill="1" applyBorder="1" applyAlignment="1">
      <alignment horizontal="center" vertical="center" wrapText="1" readingOrder="1"/>
    </xf>
    <xf numFmtId="0" fontId="15" fillId="6" borderId="23" xfId="0" applyFont="1" applyFill="1" applyBorder="1" applyAlignment="1">
      <alignment horizontal="center" vertical="center" wrapText="1" readingOrder="1"/>
    </xf>
    <xf numFmtId="0" fontId="35" fillId="13" borderId="45" xfId="3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15" fillId="6" borderId="41" xfId="0" applyNumberFormat="1" applyFont="1" applyFill="1" applyBorder="1" applyAlignment="1">
      <alignment horizontal="center" wrapText="1"/>
    </xf>
    <xf numFmtId="4" fontId="15" fillId="6" borderId="43" xfId="0" applyNumberFormat="1" applyFont="1" applyFill="1" applyBorder="1" applyAlignment="1">
      <alignment horizontal="center" wrapText="1"/>
    </xf>
    <xf numFmtId="0" fontId="15" fillId="6" borderId="41" xfId="0" applyFont="1" applyFill="1" applyBorder="1" applyAlignment="1">
      <alignment horizontal="center" wrapText="1" readingOrder="1"/>
    </xf>
    <xf numFmtId="0" fontId="15" fillId="6" borderId="43" xfId="0" applyFont="1" applyFill="1" applyBorder="1" applyAlignment="1">
      <alignment horizontal="center" wrapText="1" readingOrder="1"/>
    </xf>
    <xf numFmtId="0" fontId="15" fillId="6" borderId="2" xfId="0" applyFont="1" applyFill="1" applyBorder="1" applyAlignment="1">
      <alignment horizontal="center" vertical="center" readingOrder="1"/>
    </xf>
    <xf numFmtId="0" fontId="15" fillId="6" borderId="37" xfId="0" applyFont="1" applyFill="1" applyBorder="1" applyAlignment="1">
      <alignment horizontal="center" vertical="center" readingOrder="1"/>
    </xf>
    <xf numFmtId="0" fontId="15" fillId="6" borderId="2" xfId="0" applyFont="1" applyFill="1" applyBorder="1" applyAlignment="1">
      <alignment horizontal="center" vertical="center" wrapText="1" readingOrder="1"/>
    </xf>
    <xf numFmtId="0" fontId="15" fillId="6" borderId="4" xfId="0" applyFont="1" applyFill="1" applyBorder="1" applyAlignment="1">
      <alignment horizontal="center" vertical="center" wrapText="1" readingOrder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4">
    <cellStyle name="Entrada" xfId="3" builtinId="20"/>
    <cellStyle name="Millares" xfId="1" builtinId="3"/>
    <cellStyle name="Normal" xfId="0" builtinId="0"/>
    <cellStyle name="Porcentaje" xfId="2" builtinId="5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41225729886639E-2"/>
          <c:y val="9.5364033797205122E-2"/>
          <c:w val="0.88483325877790919"/>
          <c:h val="0.61296808639270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CB4-44FE-AD21-E81F1BC0FD6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CB4-44FE-AD21-E81F1BC0FD6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CB4-44FE-AD21-E81F1BC0FD6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CB4-44FE-AD21-E81F1BC0FD6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CB4-44FE-AD21-E81F1BC0FD6F}"/>
              </c:ext>
            </c:extLst>
          </c:dPt>
          <c:dLbls>
            <c:dLbl>
              <c:idx val="0"/>
              <c:layout>
                <c:manualLayout>
                  <c:x val="4.8917101014115075E-2"/>
                  <c:y val="-4.156314985238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4-44FE-AD21-E81F1BC0FD6F}"/>
                </c:ext>
              </c:extLst>
            </c:dLbl>
            <c:dLbl>
              <c:idx val="1"/>
              <c:layout>
                <c:manualLayout>
                  <c:x val="0.20785390904960901"/>
                  <c:y val="-3.19482032860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4-44FE-AD21-E81F1BC0FD6F}"/>
                </c:ext>
              </c:extLst>
            </c:dLbl>
            <c:dLbl>
              <c:idx val="2"/>
              <c:layout>
                <c:manualLayout>
                  <c:x val="-5.595044229013358E-2"/>
                  <c:y val="-2.530714222345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B4-44FE-AD21-E81F1BC0FD6F}"/>
                </c:ext>
              </c:extLst>
            </c:dLbl>
            <c:dLbl>
              <c:idx val="3"/>
              <c:layout>
                <c:manualLayout>
                  <c:x val="1.7942661297643771E-3"/>
                  <c:y val="-3.74157407670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B4-44FE-AD21-E81F1BC0FD6F}"/>
                </c:ext>
              </c:extLst>
            </c:dLbl>
            <c:dLbl>
              <c:idx val="4"/>
              <c:layout>
                <c:manualLayout>
                  <c:x val="6.6021715469014919E-2"/>
                  <c:y val="-1.37613280477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B4-44FE-AD21-E81F1BC0FD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Estado'!$B$19:$B$23</c:f>
              <c:strCache>
                <c:ptCount val="5"/>
                <c:pt idx="0">
                  <c:v>Remuneraciones + Cargas Patronales</c:v>
                </c:pt>
                <c:pt idx="1">
                  <c:v>Gasto Operativo</c:v>
                </c:pt>
                <c:pt idx="2">
                  <c:v>Inversión publica</c:v>
                </c:pt>
                <c:pt idx="3">
                  <c:v>Transferencias Corrientes</c:v>
                </c:pt>
                <c:pt idx="4">
                  <c:v>Transferencias de Capital</c:v>
                </c:pt>
              </c:strCache>
            </c:strRef>
          </c:cat>
          <c:val>
            <c:numRef>
              <c:f>'Resumen Estado'!$I$19:$I$23</c:f>
              <c:numCache>
                <c:formatCode>0%</c:formatCode>
                <c:ptCount val="5"/>
                <c:pt idx="0">
                  <c:v>0.9506065044342733</c:v>
                </c:pt>
                <c:pt idx="1">
                  <c:v>0.88316452380465682</c:v>
                </c:pt>
                <c:pt idx="2">
                  <c:v>0.72562639995617073</c:v>
                </c:pt>
                <c:pt idx="3">
                  <c:v>0.97737966254244668</c:v>
                </c:pt>
                <c:pt idx="4">
                  <c:v>0.95179195080046541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B4-44FE-AD21-E81F1BC0F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46576793079717E-2"/>
          <c:y val="0.77529940245724582"/>
          <c:w val="0.77541883055053373"/>
          <c:h val="0.20180140328185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'[4]ANALISIS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7C1-41EC-9A69-9516550E92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7C1-41EC-9A69-9516550E92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7C1-41EC-9A69-9516550E927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7C1-41EC-9A69-9516550E927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7C1-41EC-9A69-9516550E9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'[4]ANALISIS POR PROG'!$M$6:$M$10</c:f>
              <c:numCache>
                <c:formatCode>General</c:formatCode>
                <c:ptCount val="5"/>
                <c:pt idx="0">
                  <c:v>0.4069365961545035</c:v>
                </c:pt>
                <c:pt idx="1">
                  <c:v>0.39953349776620251</c:v>
                </c:pt>
                <c:pt idx="2">
                  <c:v>0.44453446791071144</c:v>
                </c:pt>
                <c:pt idx="3">
                  <c:v>0.44022075114807946</c:v>
                </c:pt>
                <c:pt idx="4">
                  <c:v>0.49954321946279751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C1-41EC-9A69-9516550E92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'[4]ANALISIS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948-4C89-A5C9-42EBF21355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948-4C89-A5C9-42EBF21355D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948-4C89-A5C9-42EBF21355D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948-4C89-A5C9-42EBF21355D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948-4C89-A5C9-42EBF21355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'[4]ANALISIS POR PROG'!$I$6:$I$10</c:f>
              <c:numCache>
                <c:formatCode>General</c:formatCode>
                <c:ptCount val="5"/>
                <c:pt idx="0">
                  <c:v>0.11534050548301988</c:v>
                </c:pt>
                <c:pt idx="1">
                  <c:v>7.3769272787640755E-2</c:v>
                </c:pt>
                <c:pt idx="2">
                  <c:v>8.4133605358179708E-2</c:v>
                </c:pt>
                <c:pt idx="3">
                  <c:v>0.10534467342561989</c:v>
                </c:pt>
                <c:pt idx="4">
                  <c:v>8.2262302698334594E-2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48-4C89-A5C9-42EBF213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69655218797"/>
          <c:y val="1.997824159434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'[4]ANALISIS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3C-4952-B454-2AD35C778FC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3C-4952-B454-2AD35C778F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3C-4952-B454-2AD35C778FC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3C-4952-B454-2AD35C778FC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3C-4952-B454-2AD35C778F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'[4]ANALISIS POR PROG'!$O$6:$O$10</c:f>
              <c:numCache>
                <c:formatCode>General</c:formatCode>
                <c:ptCount val="5"/>
                <c:pt idx="0">
                  <c:v>0.47438405129255068</c:v>
                </c:pt>
                <c:pt idx="1">
                  <c:v>0.51731043492765927</c:v>
                </c:pt>
                <c:pt idx="2">
                  <c:v>0.45431463498618929</c:v>
                </c:pt>
                <c:pt idx="3">
                  <c:v>0.44041643007037978</c:v>
                </c:pt>
                <c:pt idx="4">
                  <c:v>0.41819447783886787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3C-4952-B454-2AD35C778FC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4525274784338"/>
          <c:y val="0.10277969993884978"/>
          <c:w val="0.76159852172594011"/>
          <c:h val="0.831729485913062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COMPARATIVO!$A$3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18213058419244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E4-4597-A297-76FBA1C63124}"/>
                </c:ext>
              </c:extLst>
            </c:dLbl>
            <c:dLbl>
              <c:idx val="1"/>
              <c:layout>
                <c:manualLayout>
                  <c:x val="0.16494845360824742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4-4597-A297-76FBA1C631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(COMPARATIVO!$C$3,COMPARATIVO!$E$3)</c:f>
              <c:numCache>
                <c:formatCode>0%</c:formatCode>
                <c:ptCount val="2"/>
                <c:pt idx="0">
                  <c:v>1.680957733434366E-2</c:v>
                </c:pt>
                <c:pt idx="1">
                  <c:v>1.9389765824505162E-2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4-4597-A297-76FBA1C63124}"/>
            </c:ext>
          </c:extLst>
        </c:ser>
        <c:ser>
          <c:idx val="1"/>
          <c:order val="1"/>
          <c:tx>
            <c:strRef>
              <c:f>COMPARATIVO!$A$4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311001073319443"/>
                  <c:y val="-8.469241010736056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4-4597-A297-76FBA1C63124}"/>
                </c:ext>
              </c:extLst>
            </c:dLbl>
            <c:dLbl>
              <c:idx val="1"/>
              <c:layout>
                <c:manualLayout>
                  <c:x val="0.16111120130602233"/>
                  <c:y val="-8.240342605040504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4-4597-A297-76FBA1C631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(COMPARATIVO!$C$4,COMPARATIVO!$E$4)</c:f>
              <c:numCache>
                <c:formatCode>0%</c:formatCode>
                <c:ptCount val="2"/>
                <c:pt idx="0">
                  <c:v>8.2657159497906817E-3</c:v>
                </c:pt>
                <c:pt idx="1">
                  <c:v>7.9768787351876431E-3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E4-4597-A297-76FBA1C63124}"/>
            </c:ext>
          </c:extLst>
        </c:ser>
        <c:ser>
          <c:idx val="2"/>
          <c:order val="2"/>
          <c:tx>
            <c:strRef>
              <c:f>COMPARATIVO!$A$5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(COMPARATIVO!$C$5,COMPARATIVO!$E$5)</c:f>
              <c:numCache>
                <c:formatCode>0%</c:formatCode>
                <c:ptCount val="2"/>
                <c:pt idx="0">
                  <c:v>7.5894705086223035E-2</c:v>
                </c:pt>
                <c:pt idx="1">
                  <c:v>8.1090404611298392E-2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E4-4597-A297-76FBA1C63124}"/>
            </c:ext>
          </c:extLst>
        </c:ser>
        <c:ser>
          <c:idx val="3"/>
          <c:order val="3"/>
          <c:tx>
            <c:strRef>
              <c:f>COMPARATIVO!$A$6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(COMPARATIVO!$C$6,COMPARATIVO!$E$6)</c:f>
              <c:numCache>
                <c:formatCode>0%</c:formatCode>
                <c:ptCount val="2"/>
                <c:pt idx="0">
                  <c:v>0.80522938207329831</c:v>
                </c:pt>
                <c:pt idx="1">
                  <c:v>0.78948579176518452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E4-4597-A297-76FBA1C63124}"/>
            </c:ext>
          </c:extLst>
        </c:ser>
        <c:ser>
          <c:idx val="4"/>
          <c:order val="4"/>
          <c:tx>
            <c:strRef>
              <c:f>COMPARATIVO!$A$7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(COMPARATIVO!$C$7,COMPARATIVO!$E$7)</c:f>
              <c:numCache>
                <c:formatCode>0%</c:formatCode>
                <c:ptCount val="2"/>
                <c:pt idx="0">
                  <c:v>9.3800619556344403E-2</c:v>
                </c:pt>
                <c:pt idx="1">
                  <c:v>0.10205715906382434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E4-4597-A297-76FBA1C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945632"/>
        <c:axId val="146946192"/>
      </c:barChart>
      <c:catAx>
        <c:axId val="1469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46192"/>
        <c:crosses val="autoZero"/>
        <c:auto val="1"/>
        <c:lblAlgn val="ctr"/>
        <c:lblOffset val="100"/>
        <c:noMultiLvlLbl val="0"/>
      </c:catAx>
      <c:valAx>
        <c:axId val="14694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4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COMPARATIVO!$A$12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(COMPARATIVO!$C$12,COMPARATIVO!$E$12)</c:f>
              <c:numCache>
                <c:formatCode>0%</c:formatCode>
                <c:ptCount val="2"/>
                <c:pt idx="0">
                  <c:v>0.89259456274377547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7-4412-B881-EC0BA04CF035}"/>
            </c:ext>
          </c:extLst>
        </c:ser>
        <c:ser>
          <c:idx val="1"/>
          <c:order val="1"/>
          <c:tx>
            <c:strRef>
              <c:f>COMPARATIVO!$A$13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(COMPARATIVO!$C$13,COMPARATIVO!$E$13)</c:f>
              <c:numCache>
                <c:formatCode>0%</c:formatCode>
                <c:ptCount val="2"/>
                <c:pt idx="0">
                  <c:v>0.8733843302341413</c:v>
                </c:pt>
                <c:pt idx="1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7-4412-B881-EC0BA04CF035}"/>
            </c:ext>
          </c:extLst>
        </c:ser>
        <c:ser>
          <c:idx val="2"/>
          <c:order val="2"/>
          <c:tx>
            <c:strRef>
              <c:f>COMPARATIVO!$A$14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(COMPARATIVO!$C$14,COMPARATIVO!$E$14)</c:f>
              <c:numCache>
                <c:formatCode>0%</c:formatCode>
                <c:ptCount val="2"/>
                <c:pt idx="0">
                  <c:v>0.91234350386523133</c:v>
                </c:pt>
                <c:pt idx="1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7-4412-B881-EC0BA04CF035}"/>
            </c:ext>
          </c:extLst>
        </c:ser>
        <c:ser>
          <c:idx val="3"/>
          <c:order val="3"/>
          <c:tx>
            <c:strRef>
              <c:f>COMPARATIVO!$A$15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(COMPARATIVO!$C$15,COMPARATIVO!$E$15)</c:f>
              <c:numCache>
                <c:formatCode>0%</c:formatCode>
                <c:ptCount val="2"/>
                <c:pt idx="0">
                  <c:v>0.93763792048164374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7-4412-B881-EC0BA04CF035}"/>
            </c:ext>
          </c:extLst>
        </c:ser>
        <c:ser>
          <c:idx val="4"/>
          <c:order val="4"/>
          <c:tx>
            <c:strRef>
              <c:f>COMPARATIVO!$A$16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(COMPARATIVO!$C$16,COMPARATIVO!$E$16)</c:f>
              <c:numCache>
                <c:formatCode>0%</c:formatCode>
                <c:ptCount val="2"/>
                <c:pt idx="0">
                  <c:v>0.9395011475584113</c:v>
                </c:pt>
                <c:pt idx="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7-4412-B881-EC0BA04C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212288"/>
        <c:axId val="239212848"/>
      </c:barChart>
      <c:catAx>
        <c:axId val="23921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9212848"/>
        <c:crosses val="autoZero"/>
        <c:auto val="1"/>
        <c:lblAlgn val="ctr"/>
        <c:lblOffset val="100"/>
        <c:noMultiLvlLbl val="0"/>
      </c:catAx>
      <c:valAx>
        <c:axId val="23921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921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CONSOLIDADO</a:t>
            </a:r>
          </a:p>
          <a:p>
            <a:pPr>
              <a:defRPr/>
            </a:pPr>
            <a:r>
              <a:rPr lang="es-CR"/>
              <a:t>Devengado- Disponible Presupuestario</a:t>
            </a:r>
          </a:p>
        </c:rich>
      </c:tx>
      <c:layout>
        <c:manualLayout>
          <c:xMode val="edge"/>
          <c:yMode val="edge"/>
          <c:x val="0.17697849266167934"/>
          <c:y val="2.5127644758690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'[12]COMPORT. RESUMEN'!$K$2</c:f>
              <c:strCache>
                <c:ptCount val="1"/>
                <c:pt idx="0">
                  <c:v>Devengado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'[12]COMPORT. RESUMEN'!$L$4:$L$9</c:f>
              <c:numCache>
                <c:formatCode>General</c:formatCode>
                <c:ptCount val="6"/>
                <c:pt idx="0">
                  <c:v>0.8231549409519765</c:v>
                </c:pt>
                <c:pt idx="1">
                  <c:v>0.64939564939508154</c:v>
                </c:pt>
                <c:pt idx="2">
                  <c:v>0.68745435030949797</c:v>
                </c:pt>
                <c:pt idx="3">
                  <c:v>0.43942429677867412</c:v>
                </c:pt>
                <c:pt idx="4">
                  <c:v>0.81690096287220737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D89-4D62-AA96-9C42BEA0ED93}"/>
            </c:ext>
          </c:extLst>
        </c:ser>
        <c:ser>
          <c:idx val="2"/>
          <c:order val="1"/>
          <c:tx>
            <c:strRef>
              <c:f>'[12]COMPORT. RESUMEN'!$O$2</c:f>
              <c:strCache>
                <c:ptCount val="1"/>
                <c:pt idx="0">
                  <c:v>Disp. Pre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'[12]COMPORT. RESUMEN'!$P$4:$P$9</c:f>
              <c:numCache>
                <c:formatCode>General</c:formatCode>
                <c:ptCount val="6"/>
                <c:pt idx="0">
                  <c:v>0.15761843110398804</c:v>
                </c:pt>
                <c:pt idx="1">
                  <c:v>0.16335441250358637</c:v>
                </c:pt>
                <c:pt idx="2">
                  <c:v>4.956981374599656E-2</c:v>
                </c:pt>
                <c:pt idx="3">
                  <c:v>8.727813826385869E-2</c:v>
                </c:pt>
                <c:pt idx="4">
                  <c:v>7.2229351268042127E-2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D89-4D62-AA96-9C42BEA0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78365872"/>
        <c:axId val="878365312"/>
      </c:barChart>
      <c:catAx>
        <c:axId val="8783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78365312"/>
        <c:crosses val="autoZero"/>
        <c:auto val="1"/>
        <c:lblAlgn val="ctr"/>
        <c:lblOffset val="100"/>
        <c:noMultiLvlLbl val="0"/>
      </c:catAx>
      <c:valAx>
        <c:axId val="87836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783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'[13]ANALISIS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D2-4686-AD9C-39DB0CBD193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D2-4686-AD9C-39DB0CBD193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D2-4686-AD9C-39DB0CBD193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9D2-4686-AD9C-39DB0CBD193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9D2-4686-AD9C-39DB0CBD193F}"/>
              </c:ext>
            </c:extLst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2-4686-AD9C-39DB0CBD193F}"/>
                </c:ext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2-4686-AD9C-39DB0CBD193F}"/>
                </c:ext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2-4686-AD9C-39DB0CBD193F}"/>
                </c:ext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D2-4686-AD9C-39DB0CBD1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'[13]ANALISIS POR PROG'!$D$6:$D$10</c:f>
              <c:numCache>
                <c:formatCode>General</c:formatCode>
                <c:ptCount val="5"/>
                <c:pt idx="0">
                  <c:v>1.8650549249572126E-2</c:v>
                </c:pt>
                <c:pt idx="1">
                  <c:v>9.1884953173149361E-3</c:v>
                </c:pt>
                <c:pt idx="2">
                  <c:v>8.3839126225293423E-2</c:v>
                </c:pt>
                <c:pt idx="3">
                  <c:v>0.78588711890865282</c:v>
                </c:pt>
                <c:pt idx="4">
                  <c:v>0.10243471029916669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D2-4686-AD9C-39DB0CBD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'[13]ANALISIS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095-4CE5-AF49-558073A3A9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095-4CE5-AF49-558073A3A9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095-4CE5-AF49-558073A3A9F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095-4CE5-AF49-558073A3A9F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095-4CE5-AF49-558073A3A9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'[13]ANALISIS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'[13]ANALISIS POR PROG'!$M$6:$M$10</c:f>
              <c:numCache>
                <c:formatCode>General</c:formatCode>
                <c:ptCount val="5"/>
                <c:pt idx="0">
                  <c:v>9.6284073233280518E-2</c:v>
                </c:pt>
                <c:pt idx="1">
                  <c:v>9.1333985393464115E-2</c:v>
                </c:pt>
                <c:pt idx="2">
                  <c:v>9.9762278474957264E-2</c:v>
                </c:pt>
                <c:pt idx="3">
                  <c:v>8.6451641353202255E-2</c:v>
                </c:pt>
                <c:pt idx="4">
                  <c:v>0.11772685477350321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95-4CE5-AF49-558073A3A9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'[13]ANALISIS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1A7-4C94-9E19-DC8577A05CE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1A7-4C94-9E19-DC8577A05CE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1A7-4C94-9E19-DC8577A05CE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1A7-4C94-9E19-DC8577A05CE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1A7-4C94-9E19-DC8577A05C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'[13]ANALISIS POR PROG'!$I$6:$I$10</c:f>
              <c:numCache>
                <c:formatCode>General</c:formatCode>
                <c:ptCount val="5"/>
                <c:pt idx="0">
                  <c:v>0.14872077289136815</c:v>
                </c:pt>
                <c:pt idx="1">
                  <c:v>0.14530687459058375</c:v>
                </c:pt>
                <c:pt idx="2">
                  <c:v>0.14996514199368186</c:v>
                </c:pt>
                <c:pt idx="3">
                  <c:v>0.17026502524532014</c:v>
                </c:pt>
                <c:pt idx="4">
                  <c:v>0.15696255746635066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A7-4C94-9E19-DC8577A05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69655218797"/>
          <c:y val="1.997824159434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'[13]ANALISIS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40F-4DE4-9214-E398080BE1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40F-4DE4-9214-E398080BE1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40F-4DE4-9214-E398080BE17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0F-4DE4-9214-E398080BE17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0F-4DE4-9214-E398080BE1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'[13]ANALISIS POR PROG'!$O$6:$O$10</c:f>
              <c:numCache>
                <c:formatCode>General</c:formatCode>
                <c:ptCount val="5"/>
                <c:pt idx="0">
                  <c:v>0.75447345774989893</c:v>
                </c:pt>
                <c:pt idx="1">
                  <c:v>0.76335914001595218</c:v>
                </c:pt>
                <c:pt idx="2">
                  <c:v>0.74791195530855648</c:v>
                </c:pt>
                <c:pt idx="3">
                  <c:v>0.74037981316887724</c:v>
                </c:pt>
                <c:pt idx="4">
                  <c:v>0.72531058776014623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0F-4DE4-9214-E398080BE17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55-40F3-B1A7-4AA0D3126B6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55-40F3-B1A7-4AA0D3126B6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555-40F3-B1A7-4AA0D3126B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555-40F3-B1A7-4AA0D3126B6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555-40F3-B1A7-4AA0D3126B60}"/>
              </c:ext>
            </c:extLst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5-40F3-B1A7-4AA0D3126B60}"/>
                </c:ext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5-40F3-B1A7-4AA0D3126B60}"/>
                </c:ext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55-40F3-B1A7-4AA0D3126B60}"/>
                </c:ext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55-40F3-B1A7-4AA0D3126B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PROG'!$D$6:$D$10</c:f>
              <c:numCache>
                <c:formatCode>0%</c:formatCode>
                <c:ptCount val="5"/>
                <c:pt idx="0">
                  <c:v>1.680957733434366E-2</c:v>
                </c:pt>
                <c:pt idx="1">
                  <c:v>8.2657159497906817E-3</c:v>
                </c:pt>
                <c:pt idx="2">
                  <c:v>7.5894705086223035E-2</c:v>
                </c:pt>
                <c:pt idx="3">
                  <c:v>0.80522938207329831</c:v>
                </c:pt>
                <c:pt idx="4">
                  <c:v>9.3800619556344403E-2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55-40F3-B1A7-4AA0D312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9C-44E8-AD8E-9AB09C0AF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9C-44E8-AD8E-9AB09C0AF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69C-44E8-AD8E-9AB09C0AF89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69C-44E8-AD8E-9AB09C0AF89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69C-44E8-AD8E-9AB09C0AF8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PROG'!$M$6:$M$10</c:f>
              <c:numCache>
                <c:formatCode>0%</c:formatCode>
                <c:ptCount val="5"/>
                <c:pt idx="0">
                  <c:v>0.89259456274377547</c:v>
                </c:pt>
                <c:pt idx="1">
                  <c:v>0.8733843302341413</c:v>
                </c:pt>
                <c:pt idx="2">
                  <c:v>0.91234350386523133</c:v>
                </c:pt>
                <c:pt idx="3">
                  <c:v>0.93763792048164374</c:v>
                </c:pt>
                <c:pt idx="4">
                  <c:v>0.9395011475584113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9C-44E8-AD8E-9AB09C0AF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ED0-440F-AEED-3DB774328E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ED0-440F-AEED-3DB774328E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ED0-440F-AEED-3DB774328E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ED0-440F-AEED-3DB774328E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ED0-440F-AEED-3DB774328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PROG'!$I$6:$I$10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8.1107717487688554E-4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D0-440F-AEED-3DB77432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70430777914"/>
          <c:y val="6.47623016744215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9A9-4A56-80DC-51745108BC8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9A9-4A56-80DC-51745108BC8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9A9-4A56-80DC-51745108BC8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9A9-4A56-80DC-51745108BC8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9A9-4A56-80DC-51745108BC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PROG'!$O$6:$O$10</c:f>
              <c:numCache>
                <c:formatCode>0%</c:formatCode>
                <c:ptCount val="5"/>
                <c:pt idx="0">
                  <c:v>0.10740543725622456</c:v>
                </c:pt>
                <c:pt idx="1">
                  <c:v>0.12661566976585864</c:v>
                </c:pt>
                <c:pt idx="2">
                  <c:v>8.7656496134768655E-2</c:v>
                </c:pt>
                <c:pt idx="3">
                  <c:v>6.1551002343479405E-2</c:v>
                </c:pt>
                <c:pt idx="4">
                  <c:v>6.0498852441588744E-2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A9-4A56-80DC-51745108BC8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CONSOLIDADO</a:t>
            </a:r>
          </a:p>
          <a:p>
            <a:pPr>
              <a:defRPr/>
            </a:pPr>
            <a:r>
              <a:rPr lang="es-CR"/>
              <a:t>Devengado- Disponible Presupuestario</a:t>
            </a:r>
          </a:p>
        </c:rich>
      </c:tx>
      <c:layout>
        <c:manualLayout>
          <c:xMode val="edge"/>
          <c:yMode val="edge"/>
          <c:x val="0.17697849266167934"/>
          <c:y val="2.5127644758690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'COMPORT. RESUMEN'!$K$2</c:f>
              <c:strCache>
                <c:ptCount val="1"/>
                <c:pt idx="0">
                  <c:v> Devengado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RESUMEN'!$L$4:$L$9</c:f>
              <c:numCache>
                <c:formatCode>0.00%</c:formatCode>
                <c:ptCount val="6"/>
                <c:pt idx="0">
                  <c:v>0.95058426828704989</c:v>
                </c:pt>
                <c:pt idx="1">
                  <c:v>0.87032041225478218</c:v>
                </c:pt>
                <c:pt idx="2">
                  <c:v>0.89983780116518441</c:v>
                </c:pt>
                <c:pt idx="3">
                  <c:v>0.72562639995617073</c:v>
                </c:pt>
                <c:pt idx="4">
                  <c:v>0.97657794768936568</c:v>
                </c:pt>
                <c:pt idx="5">
                  <c:v>0.95179195080046541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BB-427E-B300-4516191977C6}"/>
            </c:ext>
          </c:extLst>
        </c:ser>
        <c:ser>
          <c:idx val="2"/>
          <c:order val="1"/>
          <c:tx>
            <c:strRef>
              <c:f>'COMPORT. RESUMEN'!$O$2</c:f>
              <c:strCache>
                <c:ptCount val="1"/>
                <c:pt idx="0">
                  <c:v> Disp. Pre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RESUMEN'!$P$4:$P$9</c:f>
              <c:numCache>
                <c:formatCode>0.00%</c:formatCode>
                <c:ptCount val="6"/>
                <c:pt idx="0">
                  <c:v>4.9415731712950037E-2</c:v>
                </c:pt>
                <c:pt idx="1">
                  <c:v>0.12967958774521787</c:v>
                </c:pt>
                <c:pt idx="2">
                  <c:v>0.10016219883481564</c:v>
                </c:pt>
                <c:pt idx="3">
                  <c:v>0.27437360004382938</c:v>
                </c:pt>
                <c:pt idx="4">
                  <c:v>2.3422052310634302E-2</c:v>
                </c:pt>
                <c:pt idx="5">
                  <c:v>2.4396337748324584E-9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6BB-427E-B300-45161919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7254240"/>
        <c:axId val="147254800"/>
      </c:barChart>
      <c:catAx>
        <c:axId val="14725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7254800"/>
        <c:crosses val="autoZero"/>
        <c:auto val="1"/>
        <c:lblAlgn val="ctr"/>
        <c:lblOffset val="100"/>
        <c:noMultiLvlLbl val="0"/>
      </c:catAx>
      <c:valAx>
        <c:axId val="1472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725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Presupuesto Utilizado,</a:t>
            </a:r>
            <a:r>
              <a:rPr lang="en-US" baseline="0"/>
              <a:t> </a:t>
            </a:r>
            <a:r>
              <a:rPr lang="en-US"/>
              <a:t>Ejecutado Y</a:t>
            </a:r>
            <a:r>
              <a:rPr lang="en-US" baseline="0"/>
              <a:t> Disponible</a:t>
            </a:r>
            <a:r>
              <a:rPr lang="en-US"/>
              <a:t> 2019</a:t>
            </a:r>
          </a:p>
          <a:p>
            <a:pPr>
              <a:defRPr/>
            </a:pPr>
            <a:r>
              <a:rPr lang="en-US"/>
              <a:t>Consolidado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MENSUAL!$C$2</c:f>
              <c:strCache>
                <c:ptCount val="1"/>
                <c:pt idx="0">
                  <c:v>Presupuesto Ejecutado (devengado)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MENSUAL!$A$3:$A$25</c15:sqref>
                  </c15:fullRef>
                </c:ext>
              </c:extLst>
              <c:f>MENSUAL!$A$4:$A$25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*JUNIO</c:v>
                </c:pt>
                <c:pt idx="6">
                  <c:v>*JULIO</c:v>
                </c:pt>
                <c:pt idx="7">
                  <c:v>*AGOSTO</c:v>
                </c:pt>
                <c:pt idx="8">
                  <c:v>*SETIEMBRE</c:v>
                </c:pt>
                <c:pt idx="9">
                  <c:v>*OCTUBRE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MENSUAL!$C$3:$C$25</c15:sqref>
                  </c15:fullRef>
                </c:ext>
              </c:extLst>
              <c:f>MENSUAL!$C$4:$C$25</c:f>
              <c:numCache>
                <c:formatCode>0.00%</c:formatCode>
                <c:ptCount val="12"/>
                <c:pt idx="0">
                  <c:v>9.0999502615619218E-2</c:v>
                </c:pt>
                <c:pt idx="1">
                  <c:v>0.16208558058412564</c:v>
                </c:pt>
                <c:pt idx="2">
                  <c:v>0.21103803730046736</c:v>
                </c:pt>
                <c:pt idx="3">
                  <c:v>0.2683059706236996</c:v>
                </c:pt>
                <c:pt idx="4">
                  <c:v>0.33654852464590096</c:v>
                </c:pt>
                <c:pt idx="5">
                  <c:v>0.40357339701204359</c:v>
                </c:pt>
                <c:pt idx="6">
                  <c:v>0.4559637610202909</c:v>
                </c:pt>
                <c:pt idx="7">
                  <c:v>0.57187960624439083</c:v>
                </c:pt>
                <c:pt idx="8">
                  <c:v>0.64524762629733545</c:v>
                </c:pt>
                <c:pt idx="9">
                  <c:v>0.72209878689562612</c:v>
                </c:pt>
                <c:pt idx="10">
                  <c:v>0.82065412655287384</c:v>
                </c:pt>
                <c:pt idx="11">
                  <c:v>0.93460471831535463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4-4438-99BC-AFDB8FE565F9}"/>
            </c:ext>
          </c:extLst>
        </c:ser>
        <c:ser>
          <c:idx val="0"/>
          <c:order val="1"/>
          <c:tx>
            <c:strRef>
              <c:f>MENSUAL!$B$2</c:f>
              <c:strCache>
                <c:ptCount val="1"/>
                <c:pt idx="0">
                  <c:v>Presupuesto Utilizado (solicitado + comprometido + rec.mercancía)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MENSUAL!$A$3:$A$25</c15:sqref>
                  </c15:fullRef>
                </c:ext>
              </c:extLst>
              <c:f>MENSUAL!$A$4:$A$25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*JUNIO</c:v>
                </c:pt>
                <c:pt idx="6">
                  <c:v>*JULIO</c:v>
                </c:pt>
                <c:pt idx="7">
                  <c:v>*AGOSTO</c:v>
                </c:pt>
                <c:pt idx="8">
                  <c:v>*SETIEMBRE</c:v>
                </c:pt>
                <c:pt idx="9">
                  <c:v>*OCTUBRE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MENSUAL!$B$3:$B$25</c15:sqref>
                  </c15:fullRef>
                </c:ext>
              </c:extLst>
              <c:f>MENSUAL!$B$4:$B$25</c:f>
              <c:numCache>
                <c:formatCode>0.00%</c:formatCode>
                <c:ptCount val="12"/>
                <c:pt idx="0">
                  <c:v>0.26005831070520985</c:v>
                </c:pt>
                <c:pt idx="1">
                  <c:v>0.3039153743224382</c:v>
                </c:pt>
                <c:pt idx="2">
                  <c:v>0.32960012885760459</c:v>
                </c:pt>
                <c:pt idx="3">
                  <c:v>0.40280058234374921</c:v>
                </c:pt>
                <c:pt idx="4">
                  <c:v>0.45458487631689282</c:v>
                </c:pt>
                <c:pt idx="5">
                  <c:v>9.69E-2</c:v>
                </c:pt>
                <c:pt idx="6">
                  <c:v>0.14598819473842453</c:v>
                </c:pt>
                <c:pt idx="7">
                  <c:v>0.10825792648540104</c:v>
                </c:pt>
                <c:pt idx="8">
                  <c:v>8.9452745664617556E-2</c:v>
                </c:pt>
                <c:pt idx="9">
                  <c:v>7.0491157513382627E-2</c:v>
                </c:pt>
                <c:pt idx="10">
                  <c:v>7.8065672801339248E-2</c:v>
                </c:pt>
                <c:pt idx="11">
                  <c:v>6.5310317233987093E-4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4-4438-99BC-AFDB8FE565F9}"/>
            </c:ext>
          </c:extLst>
        </c:ser>
        <c:ser>
          <c:idx val="2"/>
          <c:order val="2"/>
          <c:tx>
            <c:strRef>
              <c:f>MENSUAL!$D$2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MENSUAL!$A$3:$A$25</c15:sqref>
                  </c15:fullRef>
                </c:ext>
              </c:extLst>
              <c:f>MENSUAL!$A$4:$A$25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*JUNIO</c:v>
                </c:pt>
                <c:pt idx="6">
                  <c:v>*JULIO</c:v>
                </c:pt>
                <c:pt idx="7">
                  <c:v>*AGOSTO</c:v>
                </c:pt>
                <c:pt idx="8">
                  <c:v>*SETIEMBRE</c:v>
                </c:pt>
                <c:pt idx="9">
                  <c:v>*OCTUBRE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MENSUAL!$D$3:$D$25</c15:sqref>
                  </c15:fullRef>
                </c:ext>
              </c:extLst>
              <c:f>MENSUAL!$D$4:$D$25</c:f>
              <c:numCache>
                <c:formatCode>0.00%</c:formatCode>
                <c:ptCount val="12"/>
                <c:pt idx="0">
                  <c:v>0.73994168929479021</c:v>
                </c:pt>
                <c:pt idx="1">
                  <c:v>0.69608462567756169</c:v>
                </c:pt>
                <c:pt idx="2">
                  <c:v>0.67039987114239541</c:v>
                </c:pt>
                <c:pt idx="3">
                  <c:v>0.59719941765625073</c:v>
                </c:pt>
                <c:pt idx="4">
                  <c:v>0.54541512368310729</c:v>
                </c:pt>
                <c:pt idx="5">
                  <c:v>0.49951345205419967</c:v>
                </c:pt>
                <c:pt idx="6">
                  <c:v>0.39804804424128459</c:v>
                </c:pt>
                <c:pt idx="7">
                  <c:v>0.31986246727020812</c:v>
                </c:pt>
                <c:pt idx="8">
                  <c:v>0.26529962803804696</c:v>
                </c:pt>
                <c:pt idx="9">
                  <c:v>0.20741005559099115</c:v>
                </c:pt>
                <c:pt idx="10">
                  <c:v>0.10128020064578699</c:v>
                </c:pt>
                <c:pt idx="11">
                  <c:v>6.4742178512305432E-2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4-4438-99BC-AFDB8FE5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6934432"/>
        <c:axId val="146934992"/>
      </c:barChart>
      <c:catAx>
        <c:axId val="14693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34992"/>
        <c:crosses val="autoZero"/>
        <c:auto val="1"/>
        <c:lblAlgn val="ctr"/>
        <c:lblOffset val="100"/>
        <c:noMultiLvlLbl val="0"/>
      </c:catAx>
      <c:valAx>
        <c:axId val="14693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3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EJECUCIÓN POR PROGRAMA</a:t>
            </a:r>
          </a:p>
        </c:rich>
      </c:tx>
      <c:layout>
        <c:manualLayout>
          <c:xMode val="edge"/>
          <c:yMode val="edge"/>
          <c:x val="0.21160709078031914"/>
          <c:y val="2.801120448179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'Ejecucion por Programa'!$AG$6</c:f>
              <c:strCache>
                <c:ptCount val="1"/>
                <c:pt idx="0">
                  <c:v>PROG 779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6.5816102067751871E-3"/>
                  <c:y val="7.76485692720655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7-42FE-92CA-35514B90A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Programa'!$AH$6:$AV$6</c:f>
              <c:numCache>
                <c:formatCode>0.0%</c:formatCode>
                <c:ptCount val="15"/>
                <c:pt idx="0">
                  <c:v>0</c:v>
                </c:pt>
                <c:pt idx="1">
                  <c:v>7.0419120509668698E-2</c:v>
                </c:pt>
                <c:pt idx="2">
                  <c:v>0.1051920636379533</c:v>
                </c:pt>
                <c:pt idx="3">
                  <c:v>0.16634194867651356</c:v>
                </c:pt>
                <c:pt idx="4">
                  <c:v>0.16634194867651356</c:v>
                </c:pt>
                <c:pt idx="5">
                  <c:v>0.21380633958732984</c:v>
                </c:pt>
                <c:pt idx="6">
                  <c:v>0.26041464032126493</c:v>
                </c:pt>
                <c:pt idx="7">
                  <c:v>0.30336542002214928</c:v>
                </c:pt>
                <c:pt idx="8">
                  <c:v>0.35385834581634595</c:v>
                </c:pt>
                <c:pt idx="9">
                  <c:v>0.52629880850785726</c:v>
                </c:pt>
                <c:pt idx="10">
                  <c:v>0.54138361692075698</c:v>
                </c:pt>
                <c:pt idx="11">
                  <c:v>0.59700785352283037</c:v>
                </c:pt>
                <c:pt idx="12">
                  <c:v>0.70674797079911356</c:v>
                </c:pt>
                <c:pt idx="13">
                  <c:v>0.76869545581451726</c:v>
                </c:pt>
                <c:pt idx="14">
                  <c:v>0.89259456274377547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7-42FE-92CA-35514B90A0A4}"/>
            </c:ext>
          </c:extLst>
        </c:ser>
        <c:ser>
          <c:idx val="1"/>
          <c:order val="1"/>
          <c:tx>
            <c:strRef>
              <c:f>'Ejecucion por Programa'!$AG$7</c:f>
              <c:strCache>
                <c:ptCount val="1"/>
                <c:pt idx="0">
                  <c:v>PROG 780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2.4539877300613498E-2"/>
                  <c:y val="8.528784648187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27-42FE-92CA-35514B90A0A4}"/>
                </c:ext>
              </c:extLst>
            </c:dLbl>
            <c:dLbl>
              <c:idx val="2"/>
              <c:layout>
                <c:manualLayout>
                  <c:x val="1.9649122807017545E-2"/>
                  <c:y val="-1.869158420006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27-42FE-92CA-35514B90A0A4}"/>
                </c:ext>
              </c:extLst>
            </c:dLbl>
            <c:dLbl>
              <c:idx val="3"/>
              <c:layout>
                <c:manualLayout>
                  <c:x val="7.0175438596491229E-3"/>
                  <c:y val="-1.86915842000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27-42FE-92CA-35514B90A0A4}"/>
                </c:ext>
              </c:extLst>
            </c:dLbl>
            <c:dLbl>
              <c:idx val="4"/>
              <c:layout>
                <c:manualLayout>
                  <c:x val="1.0480066996972884E-2"/>
                  <c:y val="-3.894080041680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39393939393943E-2"/>
                      <c:h val="7.78349945213053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827-42FE-92CA-35514B90A0A4}"/>
                </c:ext>
              </c:extLst>
            </c:dLbl>
            <c:dLbl>
              <c:idx val="14"/>
              <c:layout>
                <c:manualLayout>
                  <c:x val="1.7014848506892912E-2"/>
                  <c:y val="7.165107276692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27-42FE-92CA-35514B90A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Programa'!$AH$7:$AV$7</c:f>
              <c:numCache>
                <c:formatCode>0.0%</c:formatCode>
                <c:ptCount val="15"/>
                <c:pt idx="0">
                  <c:v>0</c:v>
                </c:pt>
                <c:pt idx="1">
                  <c:v>9.847306681403302E-2</c:v>
                </c:pt>
                <c:pt idx="2">
                  <c:v>0.14412050791800232</c:v>
                </c:pt>
                <c:pt idx="3">
                  <c:v>0.22521648410063372</c:v>
                </c:pt>
                <c:pt idx="4">
                  <c:v>0.22521648410063372</c:v>
                </c:pt>
                <c:pt idx="5">
                  <c:v>0.28187128888614627</c:v>
                </c:pt>
                <c:pt idx="6">
                  <c:v>0.33919628395495699</c:v>
                </c:pt>
                <c:pt idx="7">
                  <c:v>0.39732708495640168</c:v>
                </c:pt>
                <c:pt idx="8">
                  <c:v>0.46004519725307963</c:v>
                </c:pt>
                <c:pt idx="9">
                  <c:v>0.5127507660757088</c:v>
                </c:pt>
                <c:pt idx="10">
                  <c:v>0.54261820773149716</c:v>
                </c:pt>
                <c:pt idx="11">
                  <c:v>0.60221737638396511</c:v>
                </c:pt>
                <c:pt idx="12">
                  <c:v>0.67315665049193119</c:v>
                </c:pt>
                <c:pt idx="13">
                  <c:v>0.74984207286196081</c:v>
                </c:pt>
                <c:pt idx="14">
                  <c:v>0.8733843302341413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27-42FE-92CA-35514B90A0A4}"/>
            </c:ext>
          </c:extLst>
        </c:ser>
        <c:ser>
          <c:idx val="2"/>
          <c:order val="2"/>
          <c:tx>
            <c:strRef>
              <c:f>'Ejecucion por Programa'!$AG$8</c:f>
              <c:strCache>
                <c:ptCount val="1"/>
                <c:pt idx="0">
                  <c:v>PROG 781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27-42FE-92CA-35514B90A0A4}"/>
                </c:ext>
              </c:extLst>
            </c:dLbl>
            <c:dLbl>
              <c:idx val="2"/>
              <c:layout>
                <c:manualLayout>
                  <c:x val="-4.4912280701754438E-2"/>
                  <c:y val="-1.74521015890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27-42FE-92CA-35514B90A0A4}"/>
                </c:ext>
              </c:extLst>
            </c:dLbl>
            <c:dLbl>
              <c:idx val="3"/>
              <c:layout>
                <c:manualLayout>
                  <c:x val="8.4210526315789472E-3"/>
                  <c:y val="-9.3457921000338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27-42FE-92CA-35514B90A0A4}"/>
                </c:ext>
              </c:extLst>
            </c:dLbl>
            <c:dLbl>
              <c:idx val="4"/>
              <c:layout>
                <c:manualLayout>
                  <c:x val="2.0489283759316181E-3"/>
                  <c:y val="-4.6728960500169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27-42FE-92CA-35514B90A0A4}"/>
                </c:ext>
              </c:extLst>
            </c:dLbl>
            <c:dLbl>
              <c:idx val="6"/>
              <c:layout>
                <c:manualLayout>
                  <c:x val="0"/>
                  <c:y val="-2.49221122667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27-42FE-92CA-35514B90A0A4}"/>
                </c:ext>
              </c:extLst>
            </c:dLbl>
            <c:dLbl>
              <c:idx val="14"/>
              <c:layout>
                <c:manualLayout>
                  <c:x val="1.0562289480642899E-2"/>
                  <c:y val="-6.89177351981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27-42FE-92CA-35514B90A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Programa'!$AH$8:$AV$8</c:f>
              <c:numCache>
                <c:formatCode>0.0%</c:formatCode>
                <c:ptCount val="15"/>
                <c:pt idx="0">
                  <c:v>0</c:v>
                </c:pt>
                <c:pt idx="1">
                  <c:v>0.1034676705007908</c:v>
                </c:pt>
                <c:pt idx="2">
                  <c:v>0.14685775682797078</c:v>
                </c:pt>
                <c:pt idx="3">
                  <c:v>0.23832923646647955</c:v>
                </c:pt>
                <c:pt idx="4">
                  <c:v>0.23832923646647955</c:v>
                </c:pt>
                <c:pt idx="5">
                  <c:v>0.30143125937641302</c:v>
                </c:pt>
                <c:pt idx="6">
                  <c:v>0.35710474336060977</c:v>
                </c:pt>
                <c:pt idx="7">
                  <c:v>0.42067539423026834</c:v>
                </c:pt>
                <c:pt idx="8">
                  <c:v>0.48457547136075985</c:v>
                </c:pt>
                <c:pt idx="9">
                  <c:v>0.5420373509532308</c:v>
                </c:pt>
                <c:pt idx="10">
                  <c:v>0.57130568807912852</c:v>
                </c:pt>
                <c:pt idx="11">
                  <c:v>0.64107788372986207</c:v>
                </c:pt>
                <c:pt idx="12">
                  <c:v>0.71372859373685638</c:v>
                </c:pt>
                <c:pt idx="13">
                  <c:v>0.78155259840657876</c:v>
                </c:pt>
                <c:pt idx="14">
                  <c:v>0.91234350386523133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27-42FE-92CA-35514B90A0A4}"/>
            </c:ext>
          </c:extLst>
        </c:ser>
        <c:ser>
          <c:idx val="3"/>
          <c:order val="3"/>
          <c:tx>
            <c:strRef>
              <c:f>'Ejecucion por Programa'!$AG$9</c:f>
              <c:strCache>
                <c:ptCount val="1"/>
                <c:pt idx="0">
                  <c:v>PROG 783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-7.6257515764774891E-3"/>
                  <c:y val="-9.034265696699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27-42FE-92CA-35514B90A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Programa'!$AH$9:$AV$9</c:f>
              <c:numCache>
                <c:formatCode>0.0%</c:formatCode>
                <c:ptCount val="15"/>
                <c:pt idx="0">
                  <c:v>0</c:v>
                </c:pt>
                <c:pt idx="1">
                  <c:v>8.2754659490175769E-2</c:v>
                </c:pt>
                <c:pt idx="2">
                  <c:v>0.12395199074682743</c:v>
                </c:pt>
                <c:pt idx="3">
                  <c:v>0.2057917742419221</c:v>
                </c:pt>
                <c:pt idx="4">
                  <c:v>0.2057917742419221</c:v>
                </c:pt>
                <c:pt idx="5">
                  <c:v>0.26576438671716529</c:v>
                </c:pt>
                <c:pt idx="6">
                  <c:v>0.32424020876802151</c:v>
                </c:pt>
                <c:pt idx="7">
                  <c:v>0.38137051910877928</c:v>
                </c:pt>
                <c:pt idx="8">
                  <c:v>0.44617821619113329</c:v>
                </c:pt>
                <c:pt idx="9">
                  <c:v>0.48714224106997811</c:v>
                </c:pt>
                <c:pt idx="10">
                  <c:v>0.5099788499543082</c:v>
                </c:pt>
                <c:pt idx="11">
                  <c:v>0.57139356645109007</c:v>
                </c:pt>
                <c:pt idx="12">
                  <c:v>0.63477107375470487</c:v>
                </c:pt>
                <c:pt idx="13">
                  <c:v>0.70808288615654291</c:v>
                </c:pt>
                <c:pt idx="14">
                  <c:v>0.93763792048164374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827-42FE-92CA-35514B90A0A4}"/>
            </c:ext>
          </c:extLst>
        </c:ser>
        <c:ser>
          <c:idx val="4"/>
          <c:order val="4"/>
          <c:tx>
            <c:strRef>
              <c:f>'Ejecucion por Programa'!$AG$10</c:f>
              <c:strCache>
                <c:ptCount val="1"/>
                <c:pt idx="0">
                  <c:v>PROG 784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8.9279953072297982E-3"/>
                  <c:y val="-2.0225913060585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27-42FE-92CA-35514B90A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Programa'!$AH$10:$AV$10</c:f>
              <c:numCache>
                <c:formatCode>0.0%</c:formatCode>
                <c:ptCount val="15"/>
                <c:pt idx="0">
                  <c:v>0</c:v>
                </c:pt>
                <c:pt idx="1">
                  <c:v>0.11570925218181546</c:v>
                </c:pt>
                <c:pt idx="2">
                  <c:v>0.1626488165739505</c:v>
                </c:pt>
                <c:pt idx="3">
                  <c:v>0.25129019514931733</c:v>
                </c:pt>
                <c:pt idx="4">
                  <c:v>0.25129019514931733</c:v>
                </c:pt>
                <c:pt idx="5">
                  <c:v>0.31431923888391666</c:v>
                </c:pt>
                <c:pt idx="6">
                  <c:v>0.38348291768852633</c:v>
                </c:pt>
                <c:pt idx="7">
                  <c:v>0.44740282664124387</c:v>
                </c:pt>
                <c:pt idx="8">
                  <c:v>0.51275678897521071</c:v>
                </c:pt>
                <c:pt idx="9">
                  <c:v>0.5531082270342087</c:v>
                </c:pt>
                <c:pt idx="10">
                  <c:v>0.57968585922017446</c:v>
                </c:pt>
                <c:pt idx="11">
                  <c:v>0.64460673182559847</c:v>
                </c:pt>
                <c:pt idx="12">
                  <c:v>0.70797571855644348</c:v>
                </c:pt>
                <c:pt idx="13">
                  <c:v>0.77281210486863083</c:v>
                </c:pt>
                <c:pt idx="14">
                  <c:v>0.9395011475584113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827-42FE-92CA-35514B90A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40032"/>
        <c:axId val="146940592"/>
      </c:lineChart>
      <c:catAx>
        <c:axId val="1469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40592"/>
        <c:crosses val="autoZero"/>
        <c:auto val="1"/>
        <c:lblAlgn val="ctr"/>
        <c:lblOffset val="100"/>
        <c:noMultiLvlLbl val="1"/>
      </c:catAx>
      <c:valAx>
        <c:axId val="14694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694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solidFill>
        <a:schemeClr val="accent1">
          <a:lumMod val="50000"/>
        </a:schemeClr>
      </a:solidFill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'[4]ANALISIS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4B3-45B1-8839-4D4FBF3E09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4B3-45B1-8839-4D4FBF3E09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4B3-45B1-8839-4D4FBF3E09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4B3-45B1-8839-4D4FBF3E093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4B3-45B1-8839-4D4FBF3E0932}"/>
              </c:ext>
            </c:extLst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B3-45B1-8839-4D4FBF3E0932}"/>
                </c:ext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B3-45B1-8839-4D4FBF3E0932}"/>
                </c:ext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3-45B1-8839-4D4FBF3E0932}"/>
                </c:ext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B3-45B1-8839-4D4FBF3E09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'[4]ANALISIS POR PROG'!$D$6:$D$10</c:f>
              <c:numCache>
                <c:formatCode>General</c:formatCode>
                <c:ptCount val="5"/>
                <c:pt idx="0">
                  <c:v>2.0521267803394246E-2</c:v>
                </c:pt>
                <c:pt idx="1">
                  <c:v>9.0822791052947542E-3</c:v>
                </c:pt>
                <c:pt idx="2">
                  <c:v>8.2958903942111473E-2</c:v>
                </c:pt>
                <c:pt idx="3">
                  <c:v>0.78438350075466767</c:v>
                </c:pt>
                <c:pt idx="4">
                  <c:v>0.1030540483945319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B3-45B1-8839-4D4FBF3E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2170338</xdr:colOff>
      <xdr:row>27</xdr:row>
      <xdr:rowOff>40140</xdr:rowOff>
    </xdr:from>
    <xdr:to>
      <xdr:col>8</xdr:col>
      <xdr:colOff>56697</xdr:colOff>
      <xdr:row>44</xdr:row>
      <xdr:rowOff>90714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49543</xdr:rowOff>
    </xdr:from>
    <xdr:to>
      <xdr:col>6</xdr:col>
      <xdr:colOff>1059656</xdr:colOff>
      <xdr:row>22</xdr:row>
      <xdr:rowOff>35719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94822</xdr:colOff>
      <xdr:row>12</xdr:row>
      <xdr:rowOff>83346</xdr:rowOff>
    </xdr:from>
    <xdr:to>
      <xdr:col>14</xdr:col>
      <xdr:colOff>583407</xdr:colOff>
      <xdr:row>22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188241</xdr:colOff>
      <xdr:row>23</xdr:row>
      <xdr:rowOff>95249</xdr:rowOff>
    </xdr:from>
    <xdr:to>
      <xdr:col>6</xdr:col>
      <xdr:colOff>1119186</xdr:colOff>
      <xdr:row>33</xdr:row>
      <xdr:rowOff>119063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95250</xdr:colOff>
      <xdr:row>23</xdr:row>
      <xdr:rowOff>130970</xdr:rowOff>
    </xdr:from>
    <xdr:to>
      <xdr:col>14</xdr:col>
      <xdr:colOff>619125</xdr:colOff>
      <xdr:row>33</xdr:row>
      <xdr:rowOff>107157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12</xdr:row>
      <xdr:rowOff>123825</xdr:rowOff>
    </xdr:from>
    <xdr:to>
      <xdr:col>14</xdr:col>
      <xdr:colOff>342900</xdr:colOff>
      <xdr:row>30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128586</xdr:rowOff>
    </xdr:from>
    <xdr:to>
      <xdr:col>12</xdr:col>
      <xdr:colOff>476250</xdr:colOff>
      <xdr:row>30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13</xdr:row>
      <xdr:rowOff>104774</xdr:rowOff>
    </xdr:from>
    <xdr:to>
      <xdr:col>29</xdr:col>
      <xdr:colOff>495300</xdr:colOff>
      <xdr:row>34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49542</xdr:rowOff>
    </xdr:from>
    <xdr:to>
      <xdr:col>6</xdr:col>
      <xdr:colOff>1059656</xdr:colOff>
      <xdr:row>32</xdr:row>
      <xdr:rowOff>160812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2EA347-44C6-4C1E-835D-BA25DE6F0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94821</xdr:colOff>
      <xdr:row>12</xdr:row>
      <xdr:rowOff>83344</xdr:rowOff>
    </xdr:from>
    <xdr:to>
      <xdr:col>15</xdr:col>
      <xdr:colOff>142874</xdr:colOff>
      <xdr:row>32</xdr:row>
      <xdr:rowOff>183697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15002A-E599-455A-86F9-36DF0472B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152523</xdr:colOff>
      <xdr:row>33</xdr:row>
      <xdr:rowOff>92007</xdr:rowOff>
    </xdr:from>
    <xdr:to>
      <xdr:col>6</xdr:col>
      <xdr:colOff>1083468</xdr:colOff>
      <xdr:row>54</xdr:row>
      <xdr:rowOff>3248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1246A89-C338-4B0F-9537-F0D61DF39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1184443</xdr:colOff>
      <xdr:row>33</xdr:row>
      <xdr:rowOff>71902</xdr:rowOff>
    </xdr:from>
    <xdr:to>
      <xdr:col>15</xdr:col>
      <xdr:colOff>250031</xdr:colOff>
      <xdr:row>54</xdr:row>
      <xdr:rowOff>16544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0266AC-A9AF-4860-ACF8-B6647AED3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176211</xdr:rowOff>
    </xdr:from>
    <xdr:to>
      <xdr:col>15</xdr:col>
      <xdr:colOff>533400</xdr:colOff>
      <xdr:row>20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25</xdr:row>
      <xdr:rowOff>19051</xdr:rowOff>
    </xdr:from>
    <xdr:to>
      <xdr:col>15</xdr:col>
      <xdr:colOff>123824</xdr:colOff>
      <xdr:row>42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12</xdr:row>
      <xdr:rowOff>123825</xdr:rowOff>
    </xdr:from>
    <xdr:to>
      <xdr:col>14</xdr:col>
      <xdr:colOff>342900</xdr:colOff>
      <xdr:row>30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EA88E7-D667-466A-B305-39DD1BFB8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49542</xdr:rowOff>
    </xdr:from>
    <xdr:to>
      <xdr:col>6</xdr:col>
      <xdr:colOff>1059656</xdr:colOff>
      <xdr:row>32</xdr:row>
      <xdr:rowOff>160812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7B6EF1-A5CC-4485-B2D1-9859932D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94821</xdr:colOff>
      <xdr:row>12</xdr:row>
      <xdr:rowOff>83344</xdr:rowOff>
    </xdr:from>
    <xdr:to>
      <xdr:col>15</xdr:col>
      <xdr:colOff>142874</xdr:colOff>
      <xdr:row>32</xdr:row>
      <xdr:rowOff>183697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D93B75-077C-44C3-B9D4-37B97586B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152523</xdr:colOff>
      <xdr:row>33</xdr:row>
      <xdr:rowOff>92007</xdr:rowOff>
    </xdr:from>
    <xdr:to>
      <xdr:col>6</xdr:col>
      <xdr:colOff>1083468</xdr:colOff>
      <xdr:row>54</xdr:row>
      <xdr:rowOff>3248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43CC2E7-4EE6-48CB-A11A-92D8C441E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1184443</xdr:colOff>
      <xdr:row>33</xdr:row>
      <xdr:rowOff>71902</xdr:rowOff>
    </xdr:from>
    <xdr:to>
      <xdr:col>15</xdr:col>
      <xdr:colOff>250031</xdr:colOff>
      <xdr:row>54</xdr:row>
      <xdr:rowOff>16544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3195260-B76E-47D6-A298-2776B5278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\Comportamiento%2023-oct-15\Informe%20ejecucion%2023-10-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10%20OCTUBRE/Ejecuci&#243;n%20Presupuestaria%20al%2031-Octubre-18%20Consolidad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10%20OCTUBRE/BORRADO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11%20NOVIEMBRE/Ejecuci&#243;n%20Presupuestaria%20al%2030-Noviembre-18%20Consolidad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al%2031-Enero-19%20Consolidad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31-Enero-19%20Prog%2077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31-Enero-19%20Prog%2078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31-Enero-19%20Prog%2078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31-Enero-19%20Prog%2078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9/01%20ENERO/Ejecuci&#243;n%20Presupuestaria%2031-Enero-19%20Prog%2078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7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Users\karroyo\Documents\Ministerio%20de%20Justicia%20y%20Paz\Informes%20de%20Ejecucion%20Mensuales\Agosto-2015\INFORME%20DE%20EJECUCION%20%20AL%2031-AGOSTO-2015%20CONSOLIDAD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3%20con%20BI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8%20AGOSTO/Ejecuci&#243;n%20Presupuestaria%20al%2031-Agosto-18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al%2031-Julio-18%20Consolid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31-Julio-18%20Prog%2077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31-Julio-18%20Prog%2078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31-Julio-18%20Prog%2078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31-Julio-18%20Prog%2078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PRESUPUESTO/Informes%20de%20Ejecuci&#243;n%20mensual/PERIODO%202018/07%20JULIO/Ejecuci&#243;n%20Presupuestaria%2031-Julio-18%20Prog%207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779"/>
      <sheetName val="Resumen 779"/>
      <sheetName val="Prog.780"/>
      <sheetName val="Resumen 780"/>
      <sheetName val="Prog.781"/>
      <sheetName val="Resumen 781"/>
      <sheetName val="Prog.783"/>
      <sheetName val="Resumen 783"/>
      <sheetName val="Prog.784"/>
      <sheetName val="Resumen 784"/>
      <sheetName val="Consolidado"/>
      <sheetName val="Resumen Consolidado"/>
      <sheetName val="Analisis Programas"/>
    </sheetNames>
    <sheetDataSet>
      <sheetData sheetId="0" refreshError="1"/>
      <sheetData sheetId="1">
        <row r="37">
          <cell r="B37" t="str">
            <v>1  SERVICIOS</v>
          </cell>
        </row>
      </sheetData>
      <sheetData sheetId="2" refreshError="1"/>
      <sheetData sheetId="3">
        <row r="36">
          <cell r="E36" t="str">
            <v>Compromiso</v>
          </cell>
        </row>
      </sheetData>
      <sheetData sheetId="4" refreshError="1"/>
      <sheetData sheetId="5">
        <row r="42">
          <cell r="C42">
            <v>1365352000</v>
          </cell>
        </row>
      </sheetData>
      <sheetData sheetId="6" refreshError="1"/>
      <sheetData sheetId="7">
        <row r="37">
          <cell r="B37" t="str">
            <v>1  SERVICIOS</v>
          </cell>
        </row>
      </sheetData>
      <sheetData sheetId="8" refreshError="1"/>
      <sheetData sheetId="9">
        <row r="42">
          <cell r="C42">
            <v>1007732000</v>
          </cell>
        </row>
      </sheetData>
      <sheetData sheetId="10" refreshError="1"/>
      <sheetData sheetId="11">
        <row r="36">
          <cell r="E36" t="str">
            <v>Compromiso</v>
          </cell>
        </row>
      </sheetData>
      <sheetData sheetId="12">
        <row r="5">
          <cell r="C5" t="str">
            <v xml:space="preserve">Apropiación Actual </v>
          </cell>
        </row>
        <row r="6">
          <cell r="B6" t="str">
            <v>PROG 779</v>
          </cell>
        </row>
        <row r="7">
          <cell r="B7" t="str">
            <v>PROG 780</v>
          </cell>
        </row>
        <row r="8">
          <cell r="B8" t="str">
            <v>PROG 781</v>
          </cell>
        </row>
        <row r="9">
          <cell r="B9" t="str">
            <v>PROG 783</v>
          </cell>
        </row>
        <row r="10">
          <cell r="B10" t="str">
            <v>PROG 784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SIGAF"/>
      <sheetName val="Hoja4"/>
      <sheetName val="Resumen por Partida"/>
      <sheetName val="COMPORT. RESUMEN"/>
      <sheetName val="MENSUAL"/>
      <sheetName val="ANALISIS POR PROG"/>
      <sheetName val="Ejecucion por Programa"/>
      <sheetName val="RESUMEN"/>
      <sheetName val="COMPARATIVO"/>
      <sheetName val="proyec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PROG 779</v>
          </cell>
        </row>
        <row r="7">
          <cell r="B7" t="str">
            <v>PROG 780</v>
          </cell>
        </row>
        <row r="8">
          <cell r="B8" t="str">
            <v>PROG 781</v>
          </cell>
        </row>
        <row r="9">
          <cell r="B9" t="str">
            <v>PROG 783</v>
          </cell>
        </row>
        <row r="10">
          <cell r="B10" t="str">
            <v>PROG 784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ANALISIS POR PROG"/>
      <sheetName val="Partidas mayor al 50%"/>
      <sheetName val="Hoja4"/>
      <sheetName val="Resumen por Partida"/>
      <sheetName val="SIGAF 2018"/>
      <sheetName val="COMPORT. RESUMEN"/>
      <sheetName val="MENSUAL"/>
      <sheetName val="Ejecucion por Programa"/>
      <sheetName val="2018-1"/>
      <sheetName val="2018"/>
      <sheetName val="RESUMEN"/>
      <sheetName val="COMPARATIVO"/>
      <sheetName val="DEVENGADO MENSUAL"/>
      <sheetName val="SIGAF"/>
      <sheetName val="AGOSTO 2019"/>
      <sheetName val="JULIO 2019"/>
      <sheetName val="JUNIO 2019"/>
      <sheetName val="MAYO 2019"/>
      <sheetName val="ABRIL 2019"/>
      <sheetName val="MARZO 2019"/>
      <sheetName val="FEBRERO 2019"/>
      <sheetName val="ENERO 2019"/>
      <sheetName val="DICIEMBRE 2018"/>
      <sheetName val="NOVIEMBRE 2018"/>
      <sheetName val="Hoja9"/>
      <sheetName val="Hoja10"/>
      <sheetName val="proyeccion"/>
    </sheetNames>
    <sheetDataSet>
      <sheetData sheetId="0"/>
      <sheetData sheetId="1"/>
      <sheetData sheetId="2"/>
      <sheetData sheetId="3">
        <row r="3">
          <cell r="K3">
            <v>1362761298.6300001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2519449227</v>
          </cell>
        </row>
        <row r="5">
          <cell r="B5">
            <v>11325587195</v>
          </cell>
        </row>
        <row r="6">
          <cell r="B6">
            <v>112163237755</v>
          </cell>
        </row>
        <row r="7">
          <cell r="B7">
            <v>13313316000</v>
          </cell>
        </row>
      </sheetData>
      <sheetData sheetId="14"/>
      <sheetData sheetId="15"/>
      <sheetData sheetId="16">
        <row r="104">
          <cell r="F104">
            <v>1241247489</v>
          </cell>
          <cell r="K104">
            <v>628748713.33000004</v>
          </cell>
        </row>
        <row r="183">
          <cell r="K183">
            <v>6223835579.0500002</v>
          </cell>
        </row>
        <row r="293">
          <cell r="K293">
            <v>64340733557.870003</v>
          </cell>
        </row>
        <row r="426">
          <cell r="K426">
            <v>8128774917.3100004</v>
          </cell>
        </row>
      </sheetData>
      <sheetData sheetId="17">
        <row r="3">
          <cell r="K3">
            <v>1204786818.0799999</v>
          </cell>
        </row>
        <row r="104">
          <cell r="K104">
            <v>557011347.32000005</v>
          </cell>
        </row>
        <row r="183">
          <cell r="K183">
            <v>5461833951.1599998</v>
          </cell>
        </row>
        <row r="293">
          <cell r="K293">
            <v>49897536213.580002</v>
          </cell>
        </row>
        <row r="426">
          <cell r="K426">
            <v>7209451464.1099997</v>
          </cell>
        </row>
      </sheetData>
      <sheetData sheetId="18">
        <row r="3">
          <cell r="K3">
            <v>1038308271.0700001</v>
          </cell>
        </row>
        <row r="104">
          <cell r="K104">
            <v>484930047.67000002</v>
          </cell>
        </row>
        <row r="183">
          <cell r="K183">
            <v>4782080452.3500004</v>
          </cell>
        </row>
        <row r="293">
          <cell r="K293">
            <v>44350718922.050003</v>
          </cell>
        </row>
        <row r="426">
          <cell r="K426">
            <v>6282975846.3599997</v>
          </cell>
        </row>
      </sheetData>
      <sheetData sheetId="19">
        <row r="3">
          <cell r="K3">
            <v>873402661.24000001</v>
          </cell>
        </row>
        <row r="104">
          <cell r="K104">
            <v>412361866.26999998</v>
          </cell>
        </row>
        <row r="183">
          <cell r="K183">
            <v>4064003766.7800002</v>
          </cell>
        </row>
        <row r="292">
          <cell r="K292">
            <v>36750879651.699997</v>
          </cell>
        </row>
        <row r="424">
          <cell r="K424">
            <v>5382018511.6800003</v>
          </cell>
        </row>
      </sheetData>
      <sheetData sheetId="20">
        <row r="3">
          <cell r="K3">
            <v>706416781.33000004</v>
          </cell>
        </row>
        <row r="104">
          <cell r="K104">
            <v>334899853.06</v>
          </cell>
        </row>
        <row r="183">
          <cell r="K183">
            <v>3354640471.8699999</v>
          </cell>
        </row>
        <row r="292">
          <cell r="K292">
            <v>28981327550.299999</v>
          </cell>
        </row>
        <row r="424">
          <cell r="K424">
            <v>4477235505.5200005</v>
          </cell>
        </row>
      </sheetData>
      <sheetData sheetId="21">
        <row r="3">
          <cell r="K3">
            <v>527378127.72000003</v>
          </cell>
        </row>
        <row r="104">
          <cell r="K104">
            <v>251047689.12</v>
          </cell>
        </row>
        <row r="183">
          <cell r="K183">
            <v>2642394212.4299998</v>
          </cell>
        </row>
        <row r="292">
          <cell r="K292">
            <v>22764972633.48</v>
          </cell>
        </row>
        <row r="424">
          <cell r="K424">
            <v>3588958973.9200001</v>
          </cell>
        </row>
      </sheetData>
      <sheetData sheetId="22">
        <row r="3">
          <cell r="K3">
            <v>390163462.35000002</v>
          </cell>
        </row>
        <row r="103">
          <cell r="K103">
            <v>189962074.90000001</v>
          </cell>
        </row>
        <row r="182">
          <cell r="K182">
            <v>1931129854.25</v>
          </cell>
        </row>
        <row r="291">
          <cell r="K291">
            <v>16683695394.290001</v>
          </cell>
        </row>
        <row r="420">
          <cell r="K420">
            <v>2700725595.96</v>
          </cell>
        </row>
      </sheetData>
      <sheetData sheetId="23">
        <row r="3">
          <cell r="K3">
            <v>242582833.88</v>
          </cell>
        </row>
        <row r="103">
          <cell r="K103">
            <v>113368080.03</v>
          </cell>
        </row>
        <row r="182">
          <cell r="K182">
            <v>1129866383.6400001</v>
          </cell>
        </row>
        <row r="420">
          <cell r="K420">
            <v>1629058459.9300001</v>
          </cell>
        </row>
      </sheetData>
      <sheetData sheetId="24"/>
      <sheetData sheetId="25"/>
      <sheetData sheetId="26"/>
      <sheetData sheetId="27">
        <row r="6">
          <cell r="L6">
            <v>242582833.88</v>
          </cell>
        </row>
        <row r="9">
          <cell r="L9">
            <v>9177986155.2900009</v>
          </cell>
        </row>
      </sheetData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SIGAF"/>
      <sheetName val="Hoja4"/>
      <sheetName val="Resumen por Partida"/>
      <sheetName val="COMPORT. RESUMEN"/>
      <sheetName val="MENSUAL"/>
      <sheetName val="ANALISIS POR PROG"/>
      <sheetName val="Ejecucion por Programa"/>
      <sheetName val="RESUMEN"/>
      <sheetName val="COMPARATIVO"/>
      <sheetName val="proyeccion"/>
    </sheetNames>
    <sheetDataSet>
      <sheetData sheetId="0">
        <row r="9">
          <cell r="A9" t="str">
            <v>Representar en</v>
          </cell>
          <cell r="C9" t="str">
            <v>1 CRC</v>
          </cell>
          <cell r="D9" t="str">
            <v>1 CRC</v>
          </cell>
          <cell r="E9" t="str">
            <v>1 CRC</v>
          </cell>
          <cell r="G9" t="str">
            <v>1 CRC</v>
          </cell>
          <cell r="I9" t="str">
            <v>1 CRC</v>
          </cell>
          <cell r="K9" t="str">
            <v>1 CRC</v>
          </cell>
          <cell r="M9" t="str">
            <v>1 CRC</v>
          </cell>
          <cell r="O9" t="str">
            <v>1 CRC</v>
          </cell>
          <cell r="Q9" t="str">
            <v>1 CRC</v>
          </cell>
        </row>
        <row r="10">
          <cell r="A10">
            <v>214</v>
          </cell>
          <cell r="C10">
            <v>134302218983</v>
          </cell>
          <cell r="D10">
            <v>134296244482</v>
          </cell>
          <cell r="E10">
            <v>149586829.28999999</v>
          </cell>
          <cell r="G10">
            <v>10411486751.93</v>
          </cell>
          <cell r="I10">
            <v>582090454.92999995</v>
          </cell>
          <cell r="K10">
            <v>100055772288.44</v>
          </cell>
          <cell r="M10">
            <v>96339145286.529999</v>
          </cell>
          <cell r="O10">
            <v>23103282658.41</v>
          </cell>
          <cell r="Q10">
            <v>23097308157.41</v>
          </cell>
        </row>
        <row r="11">
          <cell r="A11" t="str">
            <v>E-0</v>
          </cell>
          <cell r="C11">
            <v>89646093488</v>
          </cell>
          <cell r="D11">
            <v>89640118987</v>
          </cell>
          <cell r="E11">
            <v>0</v>
          </cell>
          <cell r="G11">
            <v>1723592086.1300001</v>
          </cell>
          <cell r="I11">
            <v>0</v>
          </cell>
          <cell r="K11">
            <v>73792624791.690002</v>
          </cell>
          <cell r="M11">
            <v>73785719613.630005</v>
          </cell>
          <cell r="O11">
            <v>14129876610.18</v>
          </cell>
          <cell r="Q11">
            <v>14123902109.18</v>
          </cell>
        </row>
        <row r="12">
          <cell r="A12" t="str">
            <v>E-001</v>
          </cell>
          <cell r="C12">
            <v>32281521474</v>
          </cell>
          <cell r="D12">
            <v>32275546973</v>
          </cell>
          <cell r="E12">
            <v>0</v>
          </cell>
          <cell r="G12">
            <v>960284.38</v>
          </cell>
          <cell r="I12">
            <v>0</v>
          </cell>
          <cell r="K12">
            <v>27804062462.299999</v>
          </cell>
          <cell r="M12">
            <v>27804062462.299999</v>
          </cell>
          <cell r="O12">
            <v>4476498727.3199997</v>
          </cell>
          <cell r="Q12">
            <v>4470524226.3199997</v>
          </cell>
        </row>
        <row r="13">
          <cell r="A13" t="str">
            <v>E-00101</v>
          </cell>
          <cell r="C13">
            <v>32065860264</v>
          </cell>
          <cell r="D13">
            <v>32059885763</v>
          </cell>
          <cell r="E13">
            <v>0</v>
          </cell>
          <cell r="G13">
            <v>960284.38</v>
          </cell>
          <cell r="I13">
            <v>0</v>
          </cell>
          <cell r="K13">
            <v>27647295390.630001</v>
          </cell>
          <cell r="M13">
            <v>27647295390.630001</v>
          </cell>
          <cell r="O13">
            <v>4417604588.9899998</v>
          </cell>
          <cell r="Q13">
            <v>4411630087.9899998</v>
          </cell>
        </row>
        <row r="14">
          <cell r="A14" t="str">
            <v>E-00103</v>
          </cell>
          <cell r="C14">
            <v>213161210</v>
          </cell>
          <cell r="D14">
            <v>213161210</v>
          </cell>
          <cell r="E14">
            <v>0</v>
          </cell>
          <cell r="G14">
            <v>0</v>
          </cell>
          <cell r="I14">
            <v>0</v>
          </cell>
          <cell r="K14">
            <v>156767071.66999999</v>
          </cell>
          <cell r="M14">
            <v>156767071.66999999</v>
          </cell>
          <cell r="O14">
            <v>56394138.329999998</v>
          </cell>
          <cell r="Q14">
            <v>56394138.329999998</v>
          </cell>
        </row>
        <row r="15">
          <cell r="A15" t="str">
            <v>E-00105</v>
          </cell>
          <cell r="C15">
            <v>2500000</v>
          </cell>
          <cell r="D15">
            <v>2500000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2500000</v>
          </cell>
          <cell r="Q15">
            <v>2500000</v>
          </cell>
        </row>
        <row r="16">
          <cell r="A16" t="str">
            <v>E-002</v>
          </cell>
          <cell r="C16">
            <v>3645387667</v>
          </cell>
          <cell r="D16">
            <v>3645387667</v>
          </cell>
          <cell r="E16">
            <v>0</v>
          </cell>
          <cell r="G16">
            <v>0</v>
          </cell>
          <cell r="I16">
            <v>0</v>
          </cell>
          <cell r="K16">
            <v>3263987919.3899999</v>
          </cell>
          <cell r="M16">
            <v>3263987919.3899999</v>
          </cell>
          <cell r="O16">
            <v>381399747.61000001</v>
          </cell>
          <cell r="Q16">
            <v>381399747.61000001</v>
          </cell>
        </row>
        <row r="17">
          <cell r="A17" t="str">
            <v>E-00201</v>
          </cell>
          <cell r="C17">
            <v>18953667</v>
          </cell>
          <cell r="D17">
            <v>18953667</v>
          </cell>
          <cell r="E17">
            <v>0</v>
          </cell>
          <cell r="G17">
            <v>0</v>
          </cell>
          <cell r="I17">
            <v>0</v>
          </cell>
          <cell r="K17">
            <v>16201039.870000001</v>
          </cell>
          <cell r="M17">
            <v>16201039.870000001</v>
          </cell>
          <cell r="O17">
            <v>2752627.13</v>
          </cell>
          <cell r="Q17">
            <v>2752627.13</v>
          </cell>
        </row>
        <row r="18">
          <cell r="A18" t="str">
            <v>E-00202</v>
          </cell>
          <cell r="C18">
            <v>15000000</v>
          </cell>
          <cell r="D18">
            <v>15000000</v>
          </cell>
          <cell r="E18">
            <v>0</v>
          </cell>
          <cell r="G18">
            <v>0</v>
          </cell>
          <cell r="I18">
            <v>0</v>
          </cell>
          <cell r="K18">
            <v>12032690.5</v>
          </cell>
          <cell r="M18">
            <v>12032690.5</v>
          </cell>
          <cell r="O18">
            <v>2967309.5</v>
          </cell>
          <cell r="Q18">
            <v>2967309.5</v>
          </cell>
        </row>
        <row r="19">
          <cell r="A19" t="str">
            <v>E-00203</v>
          </cell>
          <cell r="C19">
            <v>3611434000</v>
          </cell>
          <cell r="D19">
            <v>3611434000</v>
          </cell>
          <cell r="E19">
            <v>0</v>
          </cell>
          <cell r="G19">
            <v>0</v>
          </cell>
          <cell r="I19">
            <v>0</v>
          </cell>
          <cell r="K19">
            <v>3235754189.02</v>
          </cell>
          <cell r="M19">
            <v>3235754189.02</v>
          </cell>
          <cell r="O19">
            <v>375679810.98000002</v>
          </cell>
          <cell r="Q19">
            <v>375679810.98000002</v>
          </cell>
        </row>
        <row r="20">
          <cell r="A20" t="str">
            <v>E-003</v>
          </cell>
          <cell r="C20">
            <v>40068946019</v>
          </cell>
          <cell r="D20">
            <v>40068946019</v>
          </cell>
          <cell r="E20">
            <v>0</v>
          </cell>
          <cell r="G20">
            <v>1010439.07</v>
          </cell>
          <cell r="I20">
            <v>0</v>
          </cell>
          <cell r="K20">
            <v>30800957444.68</v>
          </cell>
          <cell r="M20">
            <v>30800957444.68</v>
          </cell>
          <cell r="O20">
            <v>9266978135.25</v>
          </cell>
          <cell r="Q20">
            <v>9266978135.25</v>
          </cell>
        </row>
        <row r="21">
          <cell r="A21" t="str">
            <v>E-00301</v>
          </cell>
          <cell r="C21">
            <v>11699468775</v>
          </cell>
          <cell r="D21">
            <v>11699468775</v>
          </cell>
          <cell r="E21">
            <v>0</v>
          </cell>
          <cell r="G21">
            <v>369693.64</v>
          </cell>
          <cell r="I21">
            <v>0</v>
          </cell>
          <cell r="K21">
            <v>10324736738.719999</v>
          </cell>
          <cell r="M21">
            <v>10324736738.719999</v>
          </cell>
          <cell r="O21">
            <v>1374362342.6399999</v>
          </cell>
          <cell r="Q21">
            <v>1374362342.6399999</v>
          </cell>
        </row>
        <row r="22">
          <cell r="A22" t="str">
            <v>E-00302</v>
          </cell>
          <cell r="C22">
            <v>8077517267</v>
          </cell>
          <cell r="D22">
            <v>8077517267</v>
          </cell>
          <cell r="E22">
            <v>0</v>
          </cell>
          <cell r="G22">
            <v>274282.77</v>
          </cell>
          <cell r="I22">
            <v>0</v>
          </cell>
          <cell r="K22">
            <v>7101519568.0500002</v>
          </cell>
          <cell r="M22">
            <v>7101519568.0500002</v>
          </cell>
          <cell r="O22">
            <v>975723416.18000007</v>
          </cell>
          <cell r="Q22">
            <v>975723416.18000007</v>
          </cell>
        </row>
        <row r="23">
          <cell r="A23" t="str">
            <v>E-00303</v>
          </cell>
          <cell r="C23">
            <v>5785022089</v>
          </cell>
          <cell r="D23">
            <v>5785022089</v>
          </cell>
          <cell r="E23">
            <v>0</v>
          </cell>
          <cell r="G23">
            <v>0</v>
          </cell>
          <cell r="I23">
            <v>0</v>
          </cell>
          <cell r="K23">
            <v>3016623.42</v>
          </cell>
          <cell r="M23">
            <v>3016623.42</v>
          </cell>
          <cell r="O23">
            <v>5782005465.5799999</v>
          </cell>
          <cell r="Q23">
            <v>5782005465.5799999</v>
          </cell>
        </row>
        <row r="24">
          <cell r="A24" t="str">
            <v>E-00304</v>
          </cell>
          <cell r="C24">
            <v>4943339000</v>
          </cell>
          <cell r="D24">
            <v>4943339000</v>
          </cell>
          <cell r="E24">
            <v>0</v>
          </cell>
          <cell r="G24">
            <v>137893.68</v>
          </cell>
          <cell r="I24">
            <v>0</v>
          </cell>
          <cell r="K24">
            <v>4933569946.7699995</v>
          </cell>
          <cell r="M24">
            <v>4933569946.7699995</v>
          </cell>
          <cell r="O24">
            <v>9631159.5500000007</v>
          </cell>
          <cell r="Q24">
            <v>9631159.5500000007</v>
          </cell>
        </row>
        <row r="25">
          <cell r="A25" t="str">
            <v>E-00399</v>
          </cell>
          <cell r="C25">
            <v>9563598888</v>
          </cell>
          <cell r="D25">
            <v>9563598888</v>
          </cell>
          <cell r="E25">
            <v>0</v>
          </cell>
          <cell r="G25">
            <v>228568.98</v>
          </cell>
          <cell r="I25">
            <v>0</v>
          </cell>
          <cell r="K25">
            <v>8438114567.7200003</v>
          </cell>
          <cell r="M25">
            <v>8438114567.7200003</v>
          </cell>
          <cell r="O25">
            <v>1125255751.3</v>
          </cell>
          <cell r="Q25">
            <v>1125255751.3</v>
          </cell>
        </row>
        <row r="26">
          <cell r="A26" t="str">
            <v>E-004</v>
          </cell>
          <cell r="C26">
            <v>6887191746</v>
          </cell>
          <cell r="D26">
            <v>6887191746</v>
          </cell>
          <cell r="E26">
            <v>0</v>
          </cell>
          <cell r="G26">
            <v>864195259</v>
          </cell>
          <cell r="I26">
            <v>0</v>
          </cell>
          <cell r="K26">
            <v>6018996487</v>
          </cell>
          <cell r="M26">
            <v>6018996487</v>
          </cell>
          <cell r="O26">
            <v>4000000</v>
          </cell>
          <cell r="Q26">
            <v>4000000</v>
          </cell>
        </row>
        <row r="27">
          <cell r="A27" t="str">
            <v>E-00401</v>
          </cell>
          <cell r="C27">
            <v>6534349303</v>
          </cell>
          <cell r="D27">
            <v>6534349303</v>
          </cell>
          <cell r="E27">
            <v>0</v>
          </cell>
          <cell r="G27">
            <v>819987816</v>
          </cell>
          <cell r="I27">
            <v>0</v>
          </cell>
          <cell r="K27">
            <v>5710361487</v>
          </cell>
          <cell r="M27">
            <v>5710361487</v>
          </cell>
          <cell r="O27">
            <v>4000000</v>
          </cell>
          <cell r="Q27">
            <v>4000000</v>
          </cell>
        </row>
        <row r="28">
          <cell r="A28" t="str">
            <v>E0040120077900</v>
          </cell>
          <cell r="C28">
            <v>102394000</v>
          </cell>
          <cell r="D28">
            <v>102394000</v>
          </cell>
          <cell r="E28">
            <v>0</v>
          </cell>
          <cell r="G28">
            <v>13648514</v>
          </cell>
          <cell r="I28">
            <v>0</v>
          </cell>
          <cell r="K28">
            <v>84745486</v>
          </cell>
          <cell r="M28">
            <v>84745486</v>
          </cell>
          <cell r="O28">
            <v>4000000</v>
          </cell>
          <cell r="Q28">
            <v>4000000</v>
          </cell>
        </row>
        <row r="29">
          <cell r="A29" t="str">
            <v>E0040120078000</v>
          </cell>
          <cell r="C29">
            <v>63432000</v>
          </cell>
          <cell r="D29">
            <v>63432000</v>
          </cell>
          <cell r="E29">
            <v>0</v>
          </cell>
          <cell r="G29">
            <v>3822174</v>
          </cell>
          <cell r="I29">
            <v>0</v>
          </cell>
          <cell r="K29">
            <v>59609826</v>
          </cell>
          <cell r="M29">
            <v>59609826</v>
          </cell>
          <cell r="O29">
            <v>0</v>
          </cell>
          <cell r="Q29">
            <v>0</v>
          </cell>
        </row>
        <row r="30">
          <cell r="A30" t="str">
            <v>E0040120078100</v>
          </cell>
          <cell r="C30">
            <v>632901476</v>
          </cell>
          <cell r="D30">
            <v>632901476</v>
          </cell>
          <cell r="E30">
            <v>0</v>
          </cell>
          <cell r="G30">
            <v>96256041</v>
          </cell>
          <cell r="I30">
            <v>0</v>
          </cell>
          <cell r="K30">
            <v>536645435</v>
          </cell>
          <cell r="M30">
            <v>536645435</v>
          </cell>
          <cell r="O30">
            <v>0</v>
          </cell>
          <cell r="Q30">
            <v>0</v>
          </cell>
        </row>
        <row r="31">
          <cell r="A31" t="str">
            <v>E0040120078300</v>
          </cell>
          <cell r="C31">
            <v>4820585887</v>
          </cell>
          <cell r="D31">
            <v>4820585887</v>
          </cell>
          <cell r="E31">
            <v>0</v>
          </cell>
          <cell r="G31">
            <v>606453090</v>
          </cell>
          <cell r="I31">
            <v>0</v>
          </cell>
          <cell r="K31">
            <v>4214132797</v>
          </cell>
          <cell r="M31">
            <v>4214132797</v>
          </cell>
          <cell r="O31">
            <v>0</v>
          </cell>
          <cell r="Q31">
            <v>0</v>
          </cell>
        </row>
        <row r="32">
          <cell r="A32" t="str">
            <v>E0040120078400</v>
          </cell>
          <cell r="C32">
            <v>915035940</v>
          </cell>
          <cell r="D32">
            <v>915035940</v>
          </cell>
          <cell r="E32">
            <v>0</v>
          </cell>
          <cell r="G32">
            <v>99807997</v>
          </cell>
          <cell r="I32">
            <v>0</v>
          </cell>
          <cell r="K32">
            <v>815227943</v>
          </cell>
          <cell r="M32">
            <v>815227943</v>
          </cell>
          <cell r="O32">
            <v>0</v>
          </cell>
          <cell r="Q32">
            <v>0</v>
          </cell>
        </row>
        <row r="33">
          <cell r="A33" t="str">
            <v>E-00405</v>
          </cell>
          <cell r="C33">
            <v>352842443</v>
          </cell>
          <cell r="D33">
            <v>352842443</v>
          </cell>
          <cell r="E33">
            <v>0</v>
          </cell>
          <cell r="G33">
            <v>44207443</v>
          </cell>
          <cell r="I33">
            <v>0</v>
          </cell>
          <cell r="K33">
            <v>308635000</v>
          </cell>
          <cell r="M33">
            <v>308635000</v>
          </cell>
          <cell r="O33">
            <v>0</v>
          </cell>
          <cell r="Q33">
            <v>0</v>
          </cell>
        </row>
        <row r="34">
          <cell r="A34" t="str">
            <v>E0040520077900</v>
          </cell>
          <cell r="C34">
            <v>5536000</v>
          </cell>
          <cell r="D34">
            <v>5536000</v>
          </cell>
          <cell r="E34">
            <v>0</v>
          </cell>
          <cell r="G34">
            <v>955174</v>
          </cell>
          <cell r="I34">
            <v>0</v>
          </cell>
          <cell r="K34">
            <v>4580826</v>
          </cell>
          <cell r="M34">
            <v>4580826</v>
          </cell>
          <cell r="O34">
            <v>0</v>
          </cell>
          <cell r="Q34">
            <v>0</v>
          </cell>
        </row>
        <row r="35">
          <cell r="A35" t="str">
            <v>E0040520078000</v>
          </cell>
          <cell r="C35">
            <v>3579000</v>
          </cell>
          <cell r="D35">
            <v>3579000</v>
          </cell>
          <cell r="E35">
            <v>0</v>
          </cell>
          <cell r="G35">
            <v>357748</v>
          </cell>
          <cell r="I35">
            <v>0</v>
          </cell>
          <cell r="K35">
            <v>3221252</v>
          </cell>
          <cell r="M35">
            <v>3221252</v>
          </cell>
          <cell r="O35">
            <v>0</v>
          </cell>
          <cell r="Q35">
            <v>0</v>
          </cell>
        </row>
        <row r="36">
          <cell r="A36" t="str">
            <v>E0040520078100</v>
          </cell>
          <cell r="C36">
            <v>33670670</v>
          </cell>
          <cell r="D36">
            <v>33670670</v>
          </cell>
          <cell r="E36">
            <v>0</v>
          </cell>
          <cell r="G36">
            <v>4663221</v>
          </cell>
          <cell r="I36">
            <v>0</v>
          </cell>
          <cell r="K36">
            <v>29007449</v>
          </cell>
          <cell r="M36">
            <v>29007449</v>
          </cell>
          <cell r="O36">
            <v>0</v>
          </cell>
          <cell r="Q36">
            <v>0</v>
          </cell>
        </row>
        <row r="37">
          <cell r="A37" t="str">
            <v>E0040520078300</v>
          </cell>
          <cell r="C37">
            <v>260594913</v>
          </cell>
          <cell r="D37">
            <v>260594913</v>
          </cell>
          <cell r="E37">
            <v>0</v>
          </cell>
          <cell r="G37">
            <v>32833239</v>
          </cell>
          <cell r="I37">
            <v>0</v>
          </cell>
          <cell r="K37">
            <v>227761674</v>
          </cell>
          <cell r="M37">
            <v>227761674</v>
          </cell>
          <cell r="O37">
            <v>0</v>
          </cell>
          <cell r="Q37">
            <v>0</v>
          </cell>
        </row>
        <row r="38">
          <cell r="A38" t="str">
            <v>E0040520078400</v>
          </cell>
          <cell r="C38">
            <v>49461860</v>
          </cell>
          <cell r="D38">
            <v>49461860</v>
          </cell>
          <cell r="E38">
            <v>0</v>
          </cell>
          <cell r="G38">
            <v>5398061</v>
          </cell>
          <cell r="I38">
            <v>0</v>
          </cell>
          <cell r="K38">
            <v>44063799</v>
          </cell>
          <cell r="M38">
            <v>44063799</v>
          </cell>
          <cell r="O38">
            <v>0</v>
          </cell>
          <cell r="Q38">
            <v>0</v>
          </cell>
        </row>
        <row r="39">
          <cell r="A39" t="str">
            <v>E-005</v>
          </cell>
          <cell r="C39">
            <v>6763046582</v>
          </cell>
          <cell r="D39">
            <v>6763046582</v>
          </cell>
          <cell r="E39">
            <v>0</v>
          </cell>
          <cell r="G39">
            <v>857426103.68000007</v>
          </cell>
          <cell r="I39">
            <v>0</v>
          </cell>
          <cell r="K39">
            <v>5904620478.3199997</v>
          </cell>
          <cell r="M39">
            <v>5897715300.2600002</v>
          </cell>
          <cell r="O39">
            <v>1000000</v>
          </cell>
          <cell r="Q39">
            <v>1000000</v>
          </cell>
        </row>
        <row r="40">
          <cell r="A40" t="str">
            <v>E-00501</v>
          </cell>
          <cell r="C40">
            <v>3498204785</v>
          </cell>
          <cell r="D40">
            <v>3498204785</v>
          </cell>
          <cell r="E40">
            <v>0</v>
          </cell>
          <cell r="G40">
            <v>454761887</v>
          </cell>
          <cell r="I40">
            <v>0</v>
          </cell>
          <cell r="K40">
            <v>3043442898</v>
          </cell>
          <cell r="M40">
            <v>3043442898</v>
          </cell>
          <cell r="O40">
            <v>0</v>
          </cell>
          <cell r="Q40">
            <v>0</v>
          </cell>
        </row>
        <row r="41">
          <cell r="A41" t="str">
            <v>E0050120077900</v>
          </cell>
          <cell r="C41">
            <v>56274000</v>
          </cell>
          <cell r="D41">
            <v>56274000</v>
          </cell>
          <cell r="E41">
            <v>0</v>
          </cell>
          <cell r="G41">
            <v>9732694</v>
          </cell>
          <cell r="I41">
            <v>0</v>
          </cell>
          <cell r="K41">
            <v>46541306</v>
          </cell>
          <cell r="M41">
            <v>46541306</v>
          </cell>
          <cell r="O41">
            <v>0</v>
          </cell>
          <cell r="Q41">
            <v>0</v>
          </cell>
        </row>
        <row r="42">
          <cell r="A42" t="str">
            <v>E0050120078000</v>
          </cell>
          <cell r="C42">
            <v>35423000</v>
          </cell>
          <cell r="D42">
            <v>35423000</v>
          </cell>
          <cell r="E42">
            <v>0</v>
          </cell>
          <cell r="G42">
            <v>2686348</v>
          </cell>
          <cell r="I42">
            <v>0</v>
          </cell>
          <cell r="K42">
            <v>32736652</v>
          </cell>
          <cell r="M42">
            <v>32736652</v>
          </cell>
          <cell r="O42">
            <v>0</v>
          </cell>
          <cell r="Q42">
            <v>0</v>
          </cell>
        </row>
        <row r="43">
          <cell r="A43" t="str">
            <v>E0050120078100</v>
          </cell>
          <cell r="C43">
            <v>342090641</v>
          </cell>
          <cell r="D43">
            <v>342090641</v>
          </cell>
          <cell r="E43">
            <v>0</v>
          </cell>
          <cell r="G43">
            <v>61958784</v>
          </cell>
          <cell r="I43">
            <v>0</v>
          </cell>
          <cell r="K43">
            <v>280131857</v>
          </cell>
          <cell r="M43">
            <v>280131857</v>
          </cell>
          <cell r="O43">
            <v>0</v>
          </cell>
          <cell r="Q43">
            <v>0</v>
          </cell>
        </row>
        <row r="44">
          <cell r="A44" t="str">
            <v>E0050120078300</v>
          </cell>
          <cell r="C44">
            <v>2646889074</v>
          </cell>
          <cell r="D44">
            <v>2646889074</v>
          </cell>
          <cell r="E44">
            <v>0</v>
          </cell>
          <cell r="G44">
            <v>337242908</v>
          </cell>
          <cell r="I44">
            <v>0</v>
          </cell>
          <cell r="K44">
            <v>2309646166</v>
          </cell>
          <cell r="M44">
            <v>2309646166</v>
          </cell>
          <cell r="O44">
            <v>0</v>
          </cell>
          <cell r="Q44">
            <v>0</v>
          </cell>
        </row>
        <row r="45">
          <cell r="A45" t="str">
            <v>E0050120078400</v>
          </cell>
          <cell r="C45">
            <v>417528070</v>
          </cell>
          <cell r="D45">
            <v>417528070</v>
          </cell>
          <cell r="E45">
            <v>0</v>
          </cell>
          <cell r="G45">
            <v>43141153</v>
          </cell>
          <cell r="I45">
            <v>0</v>
          </cell>
          <cell r="K45">
            <v>374386917</v>
          </cell>
          <cell r="M45">
            <v>374386917</v>
          </cell>
          <cell r="O45">
            <v>0</v>
          </cell>
          <cell r="Q45">
            <v>0</v>
          </cell>
        </row>
        <row r="46">
          <cell r="A46" t="str">
            <v>E-00502</v>
          </cell>
          <cell r="C46">
            <v>1058152235</v>
          </cell>
          <cell r="D46">
            <v>1058152235</v>
          </cell>
          <cell r="E46">
            <v>0</v>
          </cell>
          <cell r="G46">
            <v>132247878</v>
          </cell>
          <cell r="I46">
            <v>0</v>
          </cell>
          <cell r="K46">
            <v>925904357</v>
          </cell>
          <cell r="M46">
            <v>925904357</v>
          </cell>
          <cell r="O46">
            <v>0</v>
          </cell>
          <cell r="Q46">
            <v>0</v>
          </cell>
        </row>
        <row r="47">
          <cell r="A47" t="str">
            <v>E0050220077900</v>
          </cell>
          <cell r="C47">
            <v>16641000</v>
          </cell>
          <cell r="D47">
            <v>16641000</v>
          </cell>
          <cell r="E47">
            <v>0</v>
          </cell>
          <cell r="G47">
            <v>2898463</v>
          </cell>
          <cell r="I47">
            <v>0</v>
          </cell>
          <cell r="K47">
            <v>13742537</v>
          </cell>
          <cell r="M47">
            <v>13742537</v>
          </cell>
          <cell r="O47">
            <v>0</v>
          </cell>
          <cell r="Q47">
            <v>0</v>
          </cell>
        </row>
        <row r="48">
          <cell r="A48" t="str">
            <v>E0050220078000</v>
          </cell>
          <cell r="C48">
            <v>10733000</v>
          </cell>
          <cell r="D48">
            <v>10733000</v>
          </cell>
          <cell r="E48">
            <v>0</v>
          </cell>
          <cell r="G48">
            <v>1069278</v>
          </cell>
          <cell r="I48">
            <v>0</v>
          </cell>
          <cell r="K48">
            <v>9663722</v>
          </cell>
          <cell r="M48">
            <v>9663722</v>
          </cell>
          <cell r="O48">
            <v>0</v>
          </cell>
          <cell r="Q48">
            <v>0</v>
          </cell>
        </row>
        <row r="49">
          <cell r="A49" t="str">
            <v>E0050220078100</v>
          </cell>
          <cell r="C49">
            <v>101011907</v>
          </cell>
          <cell r="D49">
            <v>101011907</v>
          </cell>
          <cell r="E49">
            <v>0</v>
          </cell>
          <cell r="G49">
            <v>13989559</v>
          </cell>
          <cell r="I49">
            <v>0</v>
          </cell>
          <cell r="K49">
            <v>87022348</v>
          </cell>
          <cell r="M49">
            <v>87022348</v>
          </cell>
          <cell r="O49">
            <v>0</v>
          </cell>
          <cell r="Q49">
            <v>0</v>
          </cell>
        </row>
        <row r="50">
          <cell r="A50" t="str">
            <v>E0050220078300</v>
          </cell>
          <cell r="C50">
            <v>781381738</v>
          </cell>
          <cell r="D50">
            <v>781381738</v>
          </cell>
          <cell r="E50">
            <v>0</v>
          </cell>
          <cell r="G50">
            <v>98097374</v>
          </cell>
          <cell r="I50">
            <v>0</v>
          </cell>
          <cell r="K50">
            <v>683284364</v>
          </cell>
          <cell r="M50">
            <v>683284364</v>
          </cell>
          <cell r="O50">
            <v>0</v>
          </cell>
          <cell r="Q50">
            <v>0</v>
          </cell>
        </row>
        <row r="51">
          <cell r="A51" t="str">
            <v>E0050220078400</v>
          </cell>
          <cell r="C51">
            <v>148384590</v>
          </cell>
          <cell r="D51">
            <v>148384590</v>
          </cell>
          <cell r="E51">
            <v>0</v>
          </cell>
          <cell r="G51">
            <v>16193204</v>
          </cell>
          <cell r="I51">
            <v>0</v>
          </cell>
          <cell r="K51">
            <v>132191386</v>
          </cell>
          <cell r="M51">
            <v>132191386</v>
          </cell>
          <cell r="O51">
            <v>0</v>
          </cell>
          <cell r="Q51">
            <v>0</v>
          </cell>
        </row>
        <row r="52">
          <cell r="A52" t="str">
            <v>E-00503</v>
          </cell>
          <cell r="C52">
            <v>2115689562</v>
          </cell>
          <cell r="D52">
            <v>2115689562</v>
          </cell>
          <cell r="E52">
            <v>0</v>
          </cell>
          <cell r="G52">
            <v>263879500</v>
          </cell>
          <cell r="I52">
            <v>0</v>
          </cell>
          <cell r="K52">
            <v>1851810062</v>
          </cell>
          <cell r="M52">
            <v>1851810062</v>
          </cell>
          <cell r="O52">
            <v>0</v>
          </cell>
          <cell r="Q52">
            <v>0</v>
          </cell>
        </row>
        <row r="53">
          <cell r="A53" t="str">
            <v>E0050320077900</v>
          </cell>
          <cell r="C53">
            <v>33271000</v>
          </cell>
          <cell r="D53">
            <v>33271000</v>
          </cell>
          <cell r="E53">
            <v>0</v>
          </cell>
          <cell r="G53">
            <v>5785977</v>
          </cell>
          <cell r="I53">
            <v>0</v>
          </cell>
          <cell r="K53">
            <v>27485023</v>
          </cell>
          <cell r="M53">
            <v>27485023</v>
          </cell>
          <cell r="O53">
            <v>0</v>
          </cell>
          <cell r="Q53">
            <v>0</v>
          </cell>
        </row>
        <row r="54">
          <cell r="A54" t="str">
            <v>E0050320078000</v>
          </cell>
          <cell r="C54">
            <v>20964000</v>
          </cell>
          <cell r="D54">
            <v>20964000</v>
          </cell>
          <cell r="E54">
            <v>0</v>
          </cell>
          <cell r="G54">
            <v>1636560</v>
          </cell>
          <cell r="I54">
            <v>0</v>
          </cell>
          <cell r="K54">
            <v>19327440</v>
          </cell>
          <cell r="M54">
            <v>19327440</v>
          </cell>
          <cell r="O54">
            <v>0</v>
          </cell>
          <cell r="Q54">
            <v>0</v>
          </cell>
        </row>
        <row r="55">
          <cell r="A55" t="str">
            <v>E0050320078100</v>
          </cell>
          <cell r="C55">
            <v>202022915</v>
          </cell>
          <cell r="D55">
            <v>202022915</v>
          </cell>
          <cell r="E55">
            <v>0</v>
          </cell>
          <cell r="G55">
            <v>27978223</v>
          </cell>
          <cell r="I55">
            <v>0</v>
          </cell>
          <cell r="K55">
            <v>174044692</v>
          </cell>
          <cell r="M55">
            <v>174044692</v>
          </cell>
          <cell r="O55">
            <v>0</v>
          </cell>
          <cell r="Q55">
            <v>0</v>
          </cell>
        </row>
        <row r="56">
          <cell r="A56" t="str">
            <v>E0050320078300</v>
          </cell>
          <cell r="C56">
            <v>1562663477</v>
          </cell>
          <cell r="D56">
            <v>1562663477</v>
          </cell>
          <cell r="E56">
            <v>0</v>
          </cell>
          <cell r="G56">
            <v>196093339</v>
          </cell>
          <cell r="I56">
            <v>0</v>
          </cell>
          <cell r="K56">
            <v>1366570138</v>
          </cell>
          <cell r="M56">
            <v>1366570138</v>
          </cell>
          <cell r="O56">
            <v>0</v>
          </cell>
          <cell r="Q56">
            <v>0</v>
          </cell>
        </row>
        <row r="57">
          <cell r="A57" t="str">
            <v>E0050320078400</v>
          </cell>
          <cell r="C57">
            <v>296768170</v>
          </cell>
          <cell r="D57">
            <v>296768170</v>
          </cell>
          <cell r="E57">
            <v>0</v>
          </cell>
          <cell r="G57">
            <v>32385401</v>
          </cell>
          <cell r="I57">
            <v>0</v>
          </cell>
          <cell r="K57">
            <v>264382769</v>
          </cell>
          <cell r="M57">
            <v>264382769</v>
          </cell>
          <cell r="O57">
            <v>0</v>
          </cell>
          <cell r="Q57">
            <v>0</v>
          </cell>
        </row>
        <row r="58">
          <cell r="A58" t="str">
            <v>E-00505</v>
          </cell>
          <cell r="C58">
            <v>91000000</v>
          </cell>
          <cell r="D58">
            <v>91000000</v>
          </cell>
          <cell r="E58">
            <v>0</v>
          </cell>
          <cell r="G58">
            <v>6536838.6799999997</v>
          </cell>
          <cell r="I58">
            <v>0</v>
          </cell>
          <cell r="K58">
            <v>83463161.319999993</v>
          </cell>
          <cell r="M58">
            <v>76557983.260000005</v>
          </cell>
          <cell r="O58">
            <v>1000000</v>
          </cell>
          <cell r="Q58">
            <v>1000000</v>
          </cell>
        </row>
        <row r="59">
          <cell r="A59" t="str">
            <v>E0050520078400</v>
          </cell>
          <cell r="C59">
            <v>91000000</v>
          </cell>
          <cell r="D59">
            <v>91000000</v>
          </cell>
          <cell r="E59">
            <v>0</v>
          </cell>
          <cell r="G59">
            <v>6536838.6799999997</v>
          </cell>
          <cell r="I59">
            <v>0</v>
          </cell>
          <cell r="K59">
            <v>83463161.319999993</v>
          </cell>
          <cell r="M59">
            <v>76557983.260000005</v>
          </cell>
          <cell r="O59">
            <v>1000000</v>
          </cell>
          <cell r="Q59">
            <v>1000000</v>
          </cell>
        </row>
        <row r="60">
          <cell r="A60" t="str">
            <v>E-099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  <cell r="M60">
            <v>0</v>
          </cell>
          <cell r="O60">
            <v>0</v>
          </cell>
          <cell r="Q60">
            <v>0</v>
          </cell>
        </row>
        <row r="61">
          <cell r="A61" t="str">
            <v>E-09901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  <cell r="O61">
            <v>0</v>
          </cell>
          <cell r="Q61">
            <v>0</v>
          </cell>
        </row>
        <row r="62">
          <cell r="A62" t="str">
            <v>E-1</v>
          </cell>
          <cell r="C62">
            <v>16216640106.32</v>
          </cell>
          <cell r="D62">
            <v>16216640106.32</v>
          </cell>
          <cell r="E62">
            <v>8417050</v>
          </cell>
          <cell r="G62">
            <v>2995303587.4099998</v>
          </cell>
          <cell r="I62">
            <v>32844218.710000001</v>
          </cell>
          <cell r="K62">
            <v>10531015532.85</v>
          </cell>
          <cell r="M62">
            <v>8232514086.21</v>
          </cell>
          <cell r="O62">
            <v>2649059717.3499999</v>
          </cell>
          <cell r="Q62">
            <v>2649059717.3499999</v>
          </cell>
        </row>
        <row r="63">
          <cell r="A63" t="str">
            <v>E-101</v>
          </cell>
          <cell r="C63">
            <v>6493906031</v>
          </cell>
          <cell r="D63">
            <v>6493906031</v>
          </cell>
          <cell r="E63">
            <v>0</v>
          </cell>
          <cell r="G63">
            <v>965635362.25999999</v>
          </cell>
          <cell r="I63">
            <v>0</v>
          </cell>
          <cell r="K63">
            <v>4156237693.9299998</v>
          </cell>
          <cell r="M63">
            <v>2879314875.7999997</v>
          </cell>
          <cell r="O63">
            <v>1372032974.8099999</v>
          </cell>
          <cell r="Q63">
            <v>1372032974.8099999</v>
          </cell>
        </row>
        <row r="64">
          <cell r="A64" t="str">
            <v>E-10101</v>
          </cell>
          <cell r="C64">
            <v>683348040</v>
          </cell>
          <cell r="D64">
            <v>683348040</v>
          </cell>
          <cell r="E64">
            <v>0</v>
          </cell>
          <cell r="G64">
            <v>100089986.59999999</v>
          </cell>
          <cell r="I64">
            <v>0</v>
          </cell>
          <cell r="K64">
            <v>534973626.10999995</v>
          </cell>
          <cell r="M64">
            <v>527238083.70999998</v>
          </cell>
          <cell r="O64">
            <v>48284427.289999992</v>
          </cell>
          <cell r="Q64">
            <v>48284427.289999992</v>
          </cell>
        </row>
        <row r="65">
          <cell r="A65" t="str">
            <v>E-10102</v>
          </cell>
          <cell r="C65">
            <v>6134000</v>
          </cell>
          <cell r="D65">
            <v>6134000</v>
          </cell>
          <cell r="E65">
            <v>0</v>
          </cell>
          <cell r="G65">
            <v>822174.71999999997</v>
          </cell>
          <cell r="I65">
            <v>0</v>
          </cell>
          <cell r="K65">
            <v>1887552.01</v>
          </cell>
          <cell r="M65">
            <v>1887552.01</v>
          </cell>
          <cell r="O65">
            <v>3424273.27</v>
          </cell>
          <cell r="Q65">
            <v>3424273.27</v>
          </cell>
        </row>
        <row r="66">
          <cell r="A66" t="str">
            <v>E-10103</v>
          </cell>
          <cell r="C66">
            <v>1168734000</v>
          </cell>
          <cell r="D66">
            <v>1168734000</v>
          </cell>
          <cell r="E66">
            <v>0</v>
          </cell>
          <cell r="G66">
            <v>301243569.44</v>
          </cell>
          <cell r="I66">
            <v>0</v>
          </cell>
          <cell r="K66">
            <v>740922272.82999992</v>
          </cell>
          <cell r="M66">
            <v>651837636.83999991</v>
          </cell>
          <cell r="O66">
            <v>126568157.73</v>
          </cell>
          <cell r="Q66">
            <v>126568157.73</v>
          </cell>
        </row>
        <row r="67">
          <cell r="A67" t="str">
            <v>E-10104</v>
          </cell>
          <cell r="C67">
            <v>21133488</v>
          </cell>
          <cell r="D67">
            <v>21133488</v>
          </cell>
          <cell r="E67">
            <v>0</v>
          </cell>
          <cell r="G67">
            <v>7170455.0099999998</v>
          </cell>
          <cell r="I67">
            <v>0</v>
          </cell>
          <cell r="K67">
            <v>13492429.99</v>
          </cell>
          <cell r="M67">
            <v>11731709.210000001</v>
          </cell>
          <cell r="O67">
            <v>470603</v>
          </cell>
          <cell r="Q67">
            <v>470603</v>
          </cell>
        </row>
        <row r="68">
          <cell r="A68" t="str">
            <v>E-10199</v>
          </cell>
          <cell r="C68">
            <v>4614556503</v>
          </cell>
          <cell r="D68">
            <v>4614556503</v>
          </cell>
          <cell r="E68">
            <v>0</v>
          </cell>
          <cell r="G68">
            <v>556309176.49000001</v>
          </cell>
          <cell r="I68">
            <v>0</v>
          </cell>
          <cell r="K68">
            <v>2864961812.9899998</v>
          </cell>
          <cell r="M68">
            <v>1686619894.03</v>
          </cell>
          <cell r="O68">
            <v>1193285513.52</v>
          </cell>
          <cell r="Q68">
            <v>1193285513.52</v>
          </cell>
        </row>
        <row r="69">
          <cell r="A69" t="str">
            <v>E-102</v>
          </cell>
          <cell r="C69">
            <v>5726578214</v>
          </cell>
          <cell r="D69">
            <v>5726578214</v>
          </cell>
          <cell r="E69">
            <v>0</v>
          </cell>
          <cell r="G69">
            <v>1121328465.79</v>
          </cell>
          <cell r="I69">
            <v>0</v>
          </cell>
          <cell r="K69">
            <v>4312332600.3899994</v>
          </cell>
          <cell r="M69">
            <v>3637687550.3299999</v>
          </cell>
          <cell r="O69">
            <v>292917147.81999999</v>
          </cell>
          <cell r="Q69">
            <v>292917147.81999999</v>
          </cell>
        </row>
        <row r="70">
          <cell r="A70" t="str">
            <v>E-10201</v>
          </cell>
          <cell r="C70">
            <v>3100767700</v>
          </cell>
          <cell r="D70">
            <v>3100767700</v>
          </cell>
          <cell r="E70">
            <v>0</v>
          </cell>
          <cell r="G70">
            <v>681110217</v>
          </cell>
          <cell r="I70">
            <v>0</v>
          </cell>
          <cell r="K70">
            <v>2418906691</v>
          </cell>
          <cell r="M70">
            <v>2003258022</v>
          </cell>
          <cell r="O70">
            <v>750792</v>
          </cell>
          <cell r="Q70">
            <v>750792</v>
          </cell>
        </row>
        <row r="71">
          <cell r="A71" t="str">
            <v>E-10202</v>
          </cell>
          <cell r="C71">
            <v>1540946000</v>
          </cell>
          <cell r="D71">
            <v>1540946000</v>
          </cell>
          <cell r="E71">
            <v>0</v>
          </cell>
          <cell r="G71">
            <v>230933148.56</v>
          </cell>
          <cell r="I71">
            <v>0</v>
          </cell>
          <cell r="K71">
            <v>1301499833.4400001</v>
          </cell>
          <cell r="M71">
            <v>1128807542.8899999</v>
          </cell>
          <cell r="O71">
            <v>8513018</v>
          </cell>
          <cell r="Q71">
            <v>8513018</v>
          </cell>
        </row>
        <row r="72">
          <cell r="A72" t="str">
            <v>E-10203</v>
          </cell>
          <cell r="C72">
            <v>16925000</v>
          </cell>
          <cell r="D72">
            <v>16925000</v>
          </cell>
          <cell r="E72">
            <v>0</v>
          </cell>
          <cell r="G72">
            <v>1912535</v>
          </cell>
          <cell r="I72">
            <v>0</v>
          </cell>
          <cell r="K72">
            <v>4922715</v>
          </cell>
          <cell r="M72">
            <v>4178415</v>
          </cell>
          <cell r="O72">
            <v>10089750</v>
          </cell>
          <cell r="Q72">
            <v>10089750</v>
          </cell>
        </row>
        <row r="73">
          <cell r="A73" t="str">
            <v>E-10204</v>
          </cell>
          <cell r="C73">
            <v>905797316</v>
          </cell>
          <cell r="D73">
            <v>905797316</v>
          </cell>
          <cell r="E73">
            <v>0</v>
          </cell>
          <cell r="G73">
            <v>183991146.59999999</v>
          </cell>
          <cell r="I73">
            <v>0</v>
          </cell>
          <cell r="K73">
            <v>512338350.94999999</v>
          </cell>
          <cell r="M73">
            <v>429041712.50999999</v>
          </cell>
          <cell r="O73">
            <v>209467818.44999999</v>
          </cell>
          <cell r="Q73">
            <v>209467818.44999999</v>
          </cell>
        </row>
        <row r="74">
          <cell r="A74" t="str">
            <v>E-10299</v>
          </cell>
          <cell r="C74">
            <v>162142198</v>
          </cell>
          <cell r="D74">
            <v>162142198</v>
          </cell>
          <cell r="E74">
            <v>0</v>
          </cell>
          <cell r="G74">
            <v>23381418.629999999</v>
          </cell>
          <cell r="I74">
            <v>0</v>
          </cell>
          <cell r="K74">
            <v>74665010</v>
          </cell>
          <cell r="M74">
            <v>72401857.930000007</v>
          </cell>
          <cell r="O74">
            <v>64095769.370000005</v>
          </cell>
          <cell r="Q74">
            <v>64095769.370000005</v>
          </cell>
        </row>
        <row r="75">
          <cell r="A75" t="str">
            <v>E-103</v>
          </cell>
          <cell r="C75">
            <v>34353640</v>
          </cell>
          <cell r="D75">
            <v>34353640</v>
          </cell>
          <cell r="E75">
            <v>0</v>
          </cell>
          <cell r="G75">
            <v>11260741.92</v>
          </cell>
          <cell r="I75">
            <v>15000</v>
          </cell>
          <cell r="K75">
            <v>18700306.379999999</v>
          </cell>
          <cell r="M75">
            <v>18344635.280000001</v>
          </cell>
          <cell r="O75">
            <v>4377591.7</v>
          </cell>
          <cell r="Q75">
            <v>4377591.7</v>
          </cell>
        </row>
        <row r="76">
          <cell r="A76" t="str">
            <v>E-10301</v>
          </cell>
          <cell r="C76">
            <v>15951680</v>
          </cell>
          <cell r="D76">
            <v>15951680</v>
          </cell>
          <cell r="E76">
            <v>0</v>
          </cell>
          <cell r="G76">
            <v>5075991</v>
          </cell>
          <cell r="I76">
            <v>0</v>
          </cell>
          <cell r="K76">
            <v>10292720</v>
          </cell>
          <cell r="M76">
            <v>9954330</v>
          </cell>
          <cell r="O76">
            <v>582969</v>
          </cell>
          <cell r="Q76">
            <v>582969</v>
          </cell>
        </row>
        <row r="77">
          <cell r="A77" t="str">
            <v>E-10302</v>
          </cell>
          <cell r="C77">
            <v>97250</v>
          </cell>
          <cell r="D77">
            <v>97250</v>
          </cell>
          <cell r="E77">
            <v>0</v>
          </cell>
          <cell r="G77">
            <v>0</v>
          </cell>
          <cell r="I77">
            <v>0</v>
          </cell>
          <cell r="K77">
            <v>97250</v>
          </cell>
          <cell r="M77">
            <v>97250</v>
          </cell>
          <cell r="O77">
            <v>0</v>
          </cell>
          <cell r="Q77">
            <v>0</v>
          </cell>
        </row>
        <row r="78">
          <cell r="A78" t="str">
            <v>E-10303</v>
          </cell>
          <cell r="C78">
            <v>12905710</v>
          </cell>
          <cell r="D78">
            <v>12905710</v>
          </cell>
          <cell r="E78">
            <v>0</v>
          </cell>
          <cell r="G78">
            <v>2436712</v>
          </cell>
          <cell r="I78">
            <v>15000</v>
          </cell>
          <cell r="K78">
            <v>7460708</v>
          </cell>
          <cell r="M78">
            <v>7460708</v>
          </cell>
          <cell r="O78">
            <v>2993290</v>
          </cell>
          <cell r="Q78">
            <v>2993290</v>
          </cell>
        </row>
        <row r="79">
          <cell r="A79" t="str">
            <v>E-10304</v>
          </cell>
          <cell r="C79">
            <v>600000</v>
          </cell>
          <cell r="D79">
            <v>600000</v>
          </cell>
          <cell r="E79">
            <v>0</v>
          </cell>
          <cell r="G79">
            <v>0</v>
          </cell>
          <cell r="I79">
            <v>0</v>
          </cell>
          <cell r="K79">
            <v>0</v>
          </cell>
          <cell r="M79">
            <v>0</v>
          </cell>
          <cell r="O79">
            <v>600000</v>
          </cell>
          <cell r="Q79">
            <v>600000</v>
          </cell>
        </row>
        <row r="80">
          <cell r="A80" t="str">
            <v>E-10306</v>
          </cell>
          <cell r="C80">
            <v>250000</v>
          </cell>
          <cell r="D80">
            <v>250000</v>
          </cell>
          <cell r="E80">
            <v>0</v>
          </cell>
          <cell r="G80">
            <v>25030.5</v>
          </cell>
          <cell r="I80">
            <v>0</v>
          </cell>
          <cell r="K80">
            <v>82963.5</v>
          </cell>
          <cell r="M80">
            <v>82963.5</v>
          </cell>
          <cell r="O80">
            <v>142006</v>
          </cell>
          <cell r="Q80">
            <v>142006</v>
          </cell>
        </row>
        <row r="81">
          <cell r="A81" t="str">
            <v>E-10307</v>
          </cell>
          <cell r="C81">
            <v>4549000</v>
          </cell>
          <cell r="D81">
            <v>4549000</v>
          </cell>
          <cell r="E81">
            <v>0</v>
          </cell>
          <cell r="G81">
            <v>3723008.42</v>
          </cell>
          <cell r="I81">
            <v>0</v>
          </cell>
          <cell r="K81">
            <v>766664.88</v>
          </cell>
          <cell r="M81">
            <v>749383.78</v>
          </cell>
          <cell r="O81">
            <v>59326.7</v>
          </cell>
          <cell r="Q81">
            <v>59326.7</v>
          </cell>
        </row>
        <row r="82">
          <cell r="A82" t="str">
            <v>E-104</v>
          </cell>
          <cell r="C82">
            <v>1082824093</v>
          </cell>
          <cell r="D82">
            <v>1082824093</v>
          </cell>
          <cell r="E82">
            <v>0</v>
          </cell>
          <cell r="G82">
            <v>212207186.70999998</v>
          </cell>
          <cell r="I82">
            <v>8623439.0500000007</v>
          </cell>
          <cell r="K82">
            <v>453086291.70999998</v>
          </cell>
          <cell r="M82">
            <v>363818720.46000004</v>
          </cell>
          <cell r="O82">
            <v>408907175.52999997</v>
          </cell>
          <cell r="Q82">
            <v>408907175.52999997</v>
          </cell>
        </row>
        <row r="83">
          <cell r="A83" t="str">
            <v>E-10401</v>
          </cell>
          <cell r="C83">
            <v>24045000</v>
          </cell>
          <cell r="D83">
            <v>24045000</v>
          </cell>
          <cell r="E83">
            <v>0</v>
          </cell>
          <cell r="G83">
            <v>21150056</v>
          </cell>
          <cell r="I83">
            <v>0</v>
          </cell>
          <cell r="K83">
            <v>1811000</v>
          </cell>
          <cell r="M83">
            <v>610000</v>
          </cell>
          <cell r="O83">
            <v>1083944</v>
          </cell>
          <cell r="Q83">
            <v>1083944</v>
          </cell>
        </row>
        <row r="84">
          <cell r="A84" t="str">
            <v>E-10402</v>
          </cell>
          <cell r="C84">
            <v>1000000</v>
          </cell>
          <cell r="D84">
            <v>1000000</v>
          </cell>
          <cell r="E84">
            <v>0</v>
          </cell>
          <cell r="G84">
            <v>6725</v>
          </cell>
          <cell r="I84">
            <v>0</v>
          </cell>
          <cell r="K84">
            <v>18275</v>
          </cell>
          <cell r="M84">
            <v>18275</v>
          </cell>
          <cell r="O84">
            <v>975000</v>
          </cell>
          <cell r="Q84">
            <v>975000</v>
          </cell>
        </row>
        <row r="85">
          <cell r="A85" t="str">
            <v>E-10403</v>
          </cell>
          <cell r="C85">
            <v>471056885</v>
          </cell>
          <cell r="D85">
            <v>471056885</v>
          </cell>
          <cell r="E85">
            <v>0</v>
          </cell>
          <cell r="G85">
            <v>50698666.229999997</v>
          </cell>
          <cell r="I85">
            <v>0</v>
          </cell>
          <cell r="K85">
            <v>107029465.85000001</v>
          </cell>
          <cell r="M85">
            <v>55045965.850000001</v>
          </cell>
          <cell r="O85">
            <v>313328752.92000002</v>
          </cell>
          <cell r="Q85">
            <v>313328752.92000002</v>
          </cell>
        </row>
        <row r="86">
          <cell r="A86" t="str">
            <v>E-10404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I86">
            <v>0</v>
          </cell>
          <cell r="K86">
            <v>0</v>
          </cell>
          <cell r="M86">
            <v>0</v>
          </cell>
          <cell r="O86">
            <v>0</v>
          </cell>
          <cell r="Q86">
            <v>0</v>
          </cell>
        </row>
        <row r="87">
          <cell r="A87" t="str">
            <v>E-10405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  <cell r="K87">
            <v>0</v>
          </cell>
          <cell r="M87">
            <v>0</v>
          </cell>
          <cell r="O87">
            <v>0</v>
          </cell>
          <cell r="Q87">
            <v>0</v>
          </cell>
        </row>
        <row r="88">
          <cell r="A88" t="str">
            <v>E-10406</v>
          </cell>
          <cell r="C88">
            <v>484796875</v>
          </cell>
          <cell r="D88">
            <v>484796875</v>
          </cell>
          <cell r="E88">
            <v>0</v>
          </cell>
          <cell r="G88">
            <v>92385209.849999994</v>
          </cell>
          <cell r="I88">
            <v>8341430.0499999998</v>
          </cell>
          <cell r="K88">
            <v>314826003.02999997</v>
          </cell>
          <cell r="M88">
            <v>278988596.77999997</v>
          </cell>
          <cell r="O88">
            <v>69244232.069999993</v>
          </cell>
          <cell r="Q88">
            <v>69244232.069999993</v>
          </cell>
        </row>
        <row r="89">
          <cell r="A89" t="str">
            <v>E-10499</v>
          </cell>
          <cell r="C89">
            <v>101925333</v>
          </cell>
          <cell r="D89">
            <v>101925333</v>
          </cell>
          <cell r="E89">
            <v>0</v>
          </cell>
          <cell r="G89">
            <v>47966529.630000003</v>
          </cell>
          <cell r="I89">
            <v>282009</v>
          </cell>
          <cell r="K89">
            <v>29401547.830000002</v>
          </cell>
          <cell r="M89">
            <v>29155882.830000002</v>
          </cell>
          <cell r="O89">
            <v>24275246.539999999</v>
          </cell>
          <cell r="Q89">
            <v>24275246.539999999</v>
          </cell>
        </row>
        <row r="90">
          <cell r="A90" t="str">
            <v>E-105</v>
          </cell>
          <cell r="C90">
            <v>234621038.31999999</v>
          </cell>
          <cell r="D90">
            <v>234621038.31999999</v>
          </cell>
          <cell r="E90">
            <v>417050</v>
          </cell>
          <cell r="G90">
            <v>43456118.730000004</v>
          </cell>
          <cell r="I90">
            <v>0</v>
          </cell>
          <cell r="K90">
            <v>146620584.19999999</v>
          </cell>
          <cell r="M90">
            <v>146345004.19999999</v>
          </cell>
          <cell r="O90">
            <v>44127285.390000001</v>
          </cell>
          <cell r="Q90">
            <v>44127285.390000001</v>
          </cell>
        </row>
        <row r="91">
          <cell r="A91" t="str">
            <v>E-10501</v>
          </cell>
          <cell r="C91">
            <v>10868000</v>
          </cell>
          <cell r="D91">
            <v>10868000</v>
          </cell>
          <cell r="E91">
            <v>8200</v>
          </cell>
          <cell r="G91">
            <v>2499525</v>
          </cell>
          <cell r="I91">
            <v>0</v>
          </cell>
          <cell r="K91">
            <v>6339985</v>
          </cell>
          <cell r="M91">
            <v>6336155</v>
          </cell>
          <cell r="O91">
            <v>2020290</v>
          </cell>
          <cell r="Q91">
            <v>2020290</v>
          </cell>
        </row>
        <row r="92">
          <cell r="A92" t="str">
            <v>E-10502</v>
          </cell>
          <cell r="C92">
            <v>200488600</v>
          </cell>
          <cell r="D92">
            <v>200488600</v>
          </cell>
          <cell r="E92">
            <v>408850</v>
          </cell>
          <cell r="G92">
            <v>39047770</v>
          </cell>
          <cell r="I92">
            <v>0</v>
          </cell>
          <cell r="K92">
            <v>126610620</v>
          </cell>
          <cell r="M92">
            <v>126338870</v>
          </cell>
          <cell r="O92">
            <v>34421360</v>
          </cell>
          <cell r="Q92">
            <v>34421360</v>
          </cell>
        </row>
        <row r="93">
          <cell r="A93" t="str">
            <v>E-10503</v>
          </cell>
          <cell r="C93">
            <v>9070123.0199999996</v>
          </cell>
          <cell r="D93">
            <v>9070123.0199999996</v>
          </cell>
          <cell r="E93">
            <v>0</v>
          </cell>
          <cell r="G93">
            <v>1135560.56</v>
          </cell>
          <cell r="I93">
            <v>0</v>
          </cell>
          <cell r="K93">
            <v>5356328.38</v>
          </cell>
          <cell r="M93">
            <v>5356328.38</v>
          </cell>
          <cell r="O93">
            <v>2578234.08</v>
          </cell>
          <cell r="Q93">
            <v>2578234.08</v>
          </cell>
        </row>
        <row r="94">
          <cell r="A94" t="str">
            <v>E-10504</v>
          </cell>
          <cell r="C94">
            <v>14194315.300000001</v>
          </cell>
          <cell r="D94">
            <v>14194315.300000001</v>
          </cell>
          <cell r="E94">
            <v>0</v>
          </cell>
          <cell r="G94">
            <v>773263.17</v>
          </cell>
          <cell r="I94">
            <v>0</v>
          </cell>
          <cell r="K94">
            <v>8313650.8200000003</v>
          </cell>
          <cell r="M94">
            <v>8313650.8200000003</v>
          </cell>
          <cell r="O94">
            <v>5107401.3099999996</v>
          </cell>
          <cell r="Q94">
            <v>5107401.3099999996</v>
          </cell>
        </row>
        <row r="95">
          <cell r="A95" t="str">
            <v>E-106</v>
          </cell>
          <cell r="C95">
            <v>1566930000</v>
          </cell>
          <cell r="D95">
            <v>1566930000</v>
          </cell>
          <cell r="E95">
            <v>0</v>
          </cell>
          <cell r="G95">
            <v>193463634</v>
          </cell>
          <cell r="I95">
            <v>0</v>
          </cell>
          <cell r="K95">
            <v>1104742419.5999999</v>
          </cell>
          <cell r="M95">
            <v>880140687.60000002</v>
          </cell>
          <cell r="O95">
            <v>268723946.39999998</v>
          </cell>
          <cell r="Q95">
            <v>268723946.39999998</v>
          </cell>
        </row>
        <row r="96">
          <cell r="A96" t="str">
            <v>E-10601</v>
          </cell>
          <cell r="C96">
            <v>1566930000</v>
          </cell>
          <cell r="D96">
            <v>1566930000</v>
          </cell>
          <cell r="E96">
            <v>0</v>
          </cell>
          <cell r="G96">
            <v>193463634</v>
          </cell>
          <cell r="I96">
            <v>0</v>
          </cell>
          <cell r="K96">
            <v>1104742419.5999999</v>
          </cell>
          <cell r="M96">
            <v>880140687.60000002</v>
          </cell>
          <cell r="O96">
            <v>268723946.39999998</v>
          </cell>
          <cell r="Q96">
            <v>268723946.39999998</v>
          </cell>
        </row>
        <row r="97">
          <cell r="A97" t="str">
            <v>E-10602</v>
          </cell>
          <cell r="C97">
            <v>0</v>
          </cell>
          <cell r="D97">
            <v>0</v>
          </cell>
          <cell r="E97">
            <v>0</v>
          </cell>
          <cell r="G97">
            <v>0</v>
          </cell>
          <cell r="I97">
            <v>0</v>
          </cell>
          <cell r="K97">
            <v>0</v>
          </cell>
          <cell r="M97">
            <v>0</v>
          </cell>
          <cell r="O97">
            <v>0</v>
          </cell>
          <cell r="Q97">
            <v>0</v>
          </cell>
        </row>
        <row r="98">
          <cell r="A98" t="str">
            <v>E-107</v>
          </cell>
          <cell r="C98">
            <v>26838000</v>
          </cell>
          <cell r="D98">
            <v>26838000</v>
          </cell>
          <cell r="E98">
            <v>0</v>
          </cell>
          <cell r="G98">
            <v>8255762.7999999998</v>
          </cell>
          <cell r="I98">
            <v>1315000</v>
          </cell>
          <cell r="K98">
            <v>15786465.969999999</v>
          </cell>
          <cell r="M98">
            <v>11960865.970000001</v>
          </cell>
          <cell r="O98">
            <v>1480771.23</v>
          </cell>
          <cell r="Q98">
            <v>1480771.23</v>
          </cell>
        </row>
        <row r="99">
          <cell r="A99" t="str">
            <v>E-10701</v>
          </cell>
          <cell r="C99">
            <v>24366000</v>
          </cell>
          <cell r="D99">
            <v>24366000</v>
          </cell>
          <cell r="E99">
            <v>0</v>
          </cell>
          <cell r="G99">
            <v>7955762.7999999998</v>
          </cell>
          <cell r="I99">
            <v>1315000</v>
          </cell>
          <cell r="K99">
            <v>15002561</v>
          </cell>
          <cell r="M99">
            <v>11176961</v>
          </cell>
          <cell r="O99">
            <v>92676.2</v>
          </cell>
          <cell r="Q99">
            <v>92676.2</v>
          </cell>
        </row>
        <row r="100">
          <cell r="A100" t="str">
            <v>E-10702</v>
          </cell>
          <cell r="C100">
            <v>1872000</v>
          </cell>
          <cell r="D100">
            <v>1872000</v>
          </cell>
          <cell r="E100">
            <v>0</v>
          </cell>
          <cell r="G100">
            <v>0</v>
          </cell>
          <cell r="I100">
            <v>0</v>
          </cell>
          <cell r="K100">
            <v>599040</v>
          </cell>
          <cell r="M100">
            <v>599040</v>
          </cell>
          <cell r="O100">
            <v>1272960</v>
          </cell>
          <cell r="Q100">
            <v>1272960</v>
          </cell>
        </row>
        <row r="101">
          <cell r="A101" t="str">
            <v>E-10703</v>
          </cell>
          <cell r="C101">
            <v>600000</v>
          </cell>
          <cell r="D101">
            <v>600000</v>
          </cell>
          <cell r="E101">
            <v>0</v>
          </cell>
          <cell r="G101">
            <v>300000</v>
          </cell>
          <cell r="I101">
            <v>0</v>
          </cell>
          <cell r="K101">
            <v>184864.97</v>
          </cell>
          <cell r="M101">
            <v>184864.97</v>
          </cell>
          <cell r="O101">
            <v>115135.03</v>
          </cell>
          <cell r="Q101">
            <v>115135.03</v>
          </cell>
        </row>
        <row r="102">
          <cell r="A102" t="str">
            <v>E-108</v>
          </cell>
          <cell r="C102">
            <v>941850575</v>
          </cell>
          <cell r="D102">
            <v>941850575</v>
          </cell>
          <cell r="E102">
            <v>8000000</v>
          </cell>
          <cell r="G102">
            <v>405768237.99000001</v>
          </cell>
          <cell r="I102">
            <v>22890779.66</v>
          </cell>
          <cell r="K102">
            <v>318628222.27000004</v>
          </cell>
          <cell r="M102">
            <v>290412274.22000003</v>
          </cell>
          <cell r="O102">
            <v>186563335.07999998</v>
          </cell>
          <cell r="Q102">
            <v>186563335.07999998</v>
          </cell>
        </row>
        <row r="103">
          <cell r="A103" t="str">
            <v>E-10801</v>
          </cell>
          <cell r="C103">
            <v>128087087</v>
          </cell>
          <cell r="D103">
            <v>128087087</v>
          </cell>
          <cell r="E103">
            <v>8000000</v>
          </cell>
          <cell r="G103">
            <v>4767723.72</v>
          </cell>
          <cell r="I103">
            <v>155500</v>
          </cell>
          <cell r="K103">
            <v>3006803.39</v>
          </cell>
          <cell r="M103">
            <v>2695803.39</v>
          </cell>
          <cell r="O103">
            <v>112157059.89</v>
          </cell>
          <cell r="Q103">
            <v>112157059.89</v>
          </cell>
        </row>
        <row r="104">
          <cell r="A104" t="str">
            <v>E-10804</v>
          </cell>
          <cell r="C104">
            <v>331910642</v>
          </cell>
          <cell r="D104">
            <v>331910642</v>
          </cell>
          <cell r="E104">
            <v>0</v>
          </cell>
          <cell r="G104">
            <v>194744644.16</v>
          </cell>
          <cell r="I104">
            <v>14461200</v>
          </cell>
          <cell r="K104">
            <v>122065896.48999999</v>
          </cell>
          <cell r="M104">
            <v>118324203.12</v>
          </cell>
          <cell r="O104">
            <v>638901.35</v>
          </cell>
          <cell r="Q104">
            <v>638901.35</v>
          </cell>
        </row>
        <row r="105">
          <cell r="A105" t="str">
            <v>E-10805</v>
          </cell>
          <cell r="C105">
            <v>196330000</v>
          </cell>
          <cell r="D105">
            <v>196330000</v>
          </cell>
          <cell r="E105">
            <v>0</v>
          </cell>
          <cell r="G105">
            <v>102647784.13</v>
          </cell>
          <cell r="I105">
            <v>0</v>
          </cell>
          <cell r="K105">
            <v>82896592.159999996</v>
          </cell>
          <cell r="M105">
            <v>77312867.810000002</v>
          </cell>
          <cell r="O105">
            <v>10785623.710000001</v>
          </cell>
          <cell r="Q105">
            <v>10785623.710000001</v>
          </cell>
        </row>
        <row r="106">
          <cell r="A106" t="str">
            <v>E-10806</v>
          </cell>
          <cell r="C106">
            <v>9463000</v>
          </cell>
          <cell r="D106">
            <v>9463000</v>
          </cell>
          <cell r="E106">
            <v>0</v>
          </cell>
          <cell r="G106">
            <v>615568.80000000005</v>
          </cell>
          <cell r="I106">
            <v>0</v>
          </cell>
          <cell r="K106">
            <v>3637184.65</v>
          </cell>
          <cell r="M106">
            <v>2725513.9</v>
          </cell>
          <cell r="O106">
            <v>5210246.55</v>
          </cell>
          <cell r="Q106">
            <v>5210246.55</v>
          </cell>
        </row>
        <row r="107">
          <cell r="A107" t="str">
            <v>E-10807</v>
          </cell>
          <cell r="C107">
            <v>34430759</v>
          </cell>
          <cell r="D107">
            <v>34430759</v>
          </cell>
          <cell r="E107">
            <v>0</v>
          </cell>
          <cell r="G107">
            <v>14954360.4</v>
          </cell>
          <cell r="I107">
            <v>902000</v>
          </cell>
          <cell r="K107">
            <v>11885488.800000001</v>
          </cell>
          <cell r="M107">
            <v>11730488.800000001</v>
          </cell>
          <cell r="O107">
            <v>6688909.7999999998</v>
          </cell>
          <cell r="Q107">
            <v>6688909.7999999998</v>
          </cell>
        </row>
        <row r="108">
          <cell r="A108" t="str">
            <v>E-10808</v>
          </cell>
          <cell r="C108">
            <v>74592119</v>
          </cell>
          <cell r="D108">
            <v>74592119</v>
          </cell>
          <cell r="E108">
            <v>0</v>
          </cell>
          <cell r="G108">
            <v>15100512.68</v>
          </cell>
          <cell r="I108">
            <v>6548622.1100000003</v>
          </cell>
          <cell r="K108">
            <v>19265937.530000001</v>
          </cell>
          <cell r="M108">
            <v>16435743.75</v>
          </cell>
          <cell r="O108">
            <v>33677046.68</v>
          </cell>
          <cell r="Q108">
            <v>33677046.68</v>
          </cell>
        </row>
        <row r="109">
          <cell r="A109" t="str">
            <v>E-10899</v>
          </cell>
          <cell r="C109">
            <v>167036968</v>
          </cell>
          <cell r="D109">
            <v>167036968</v>
          </cell>
          <cell r="E109">
            <v>0</v>
          </cell>
          <cell r="G109">
            <v>72937644.099999994</v>
          </cell>
          <cell r="I109">
            <v>823457.54999999993</v>
          </cell>
          <cell r="K109">
            <v>75870319.25</v>
          </cell>
          <cell r="M109">
            <v>61187653.450000003</v>
          </cell>
          <cell r="O109">
            <v>17405547.100000001</v>
          </cell>
          <cell r="Q109">
            <v>17405547.100000001</v>
          </cell>
        </row>
        <row r="110">
          <cell r="A110" t="str">
            <v>E-109</v>
          </cell>
          <cell r="C110">
            <v>19170000</v>
          </cell>
          <cell r="D110">
            <v>19170000</v>
          </cell>
          <cell r="E110">
            <v>0</v>
          </cell>
          <cell r="G110">
            <v>14014425</v>
          </cell>
          <cell r="I110">
            <v>0</v>
          </cell>
          <cell r="K110">
            <v>135741</v>
          </cell>
          <cell r="M110">
            <v>135741</v>
          </cell>
          <cell r="O110">
            <v>5019834</v>
          </cell>
          <cell r="Q110">
            <v>5019834</v>
          </cell>
        </row>
        <row r="111">
          <cell r="A111" t="str">
            <v>E-10999</v>
          </cell>
          <cell r="C111">
            <v>19170000</v>
          </cell>
          <cell r="D111">
            <v>19170000</v>
          </cell>
          <cell r="E111">
            <v>0</v>
          </cell>
          <cell r="G111">
            <v>14014425</v>
          </cell>
          <cell r="I111">
            <v>0</v>
          </cell>
          <cell r="K111">
            <v>135741</v>
          </cell>
          <cell r="M111">
            <v>135741</v>
          </cell>
          <cell r="O111">
            <v>5019834</v>
          </cell>
          <cell r="Q111">
            <v>5019834</v>
          </cell>
        </row>
        <row r="112">
          <cell r="A112" t="str">
            <v>E-199</v>
          </cell>
          <cell r="C112">
            <v>89568515</v>
          </cell>
          <cell r="D112">
            <v>89568515</v>
          </cell>
          <cell r="E112">
            <v>0</v>
          </cell>
          <cell r="G112">
            <v>19913652.210000001</v>
          </cell>
          <cell r="I112">
            <v>0</v>
          </cell>
          <cell r="K112">
            <v>4745207.4000000004</v>
          </cell>
          <cell r="M112">
            <v>4353731.3499999996</v>
          </cell>
          <cell r="O112">
            <v>64909655.390000001</v>
          </cell>
          <cell r="Q112">
            <v>64909655.390000001</v>
          </cell>
        </row>
        <row r="113">
          <cell r="A113" t="str">
            <v>E-19901</v>
          </cell>
          <cell r="C113">
            <v>2268515</v>
          </cell>
          <cell r="D113">
            <v>2268515</v>
          </cell>
          <cell r="E113">
            <v>0</v>
          </cell>
          <cell r="G113">
            <v>1643471.98</v>
          </cell>
          <cell r="I113">
            <v>0</v>
          </cell>
          <cell r="K113">
            <v>624543.59</v>
          </cell>
          <cell r="M113">
            <v>442297.59999999998</v>
          </cell>
          <cell r="O113">
            <v>499.43</v>
          </cell>
          <cell r="Q113">
            <v>499.43</v>
          </cell>
        </row>
        <row r="114">
          <cell r="A114" t="str">
            <v>E-19902</v>
          </cell>
          <cell r="C114">
            <v>54075000</v>
          </cell>
          <cell r="D114">
            <v>54075000</v>
          </cell>
          <cell r="E114">
            <v>0</v>
          </cell>
          <cell r="G114">
            <v>710598.23</v>
          </cell>
          <cell r="I114">
            <v>0</v>
          </cell>
          <cell r="K114">
            <v>2360663.81</v>
          </cell>
          <cell r="M114">
            <v>2151433.75</v>
          </cell>
          <cell r="O114">
            <v>51003737.960000001</v>
          </cell>
          <cell r="Q114">
            <v>51003737.960000001</v>
          </cell>
        </row>
        <row r="115">
          <cell r="A115" t="str">
            <v>E-19905</v>
          </cell>
          <cell r="C115">
            <v>33225000</v>
          </cell>
          <cell r="D115">
            <v>33225000</v>
          </cell>
          <cell r="E115">
            <v>0</v>
          </cell>
          <cell r="G115">
            <v>17559582</v>
          </cell>
          <cell r="I115">
            <v>0</v>
          </cell>
          <cell r="K115">
            <v>1760000</v>
          </cell>
          <cell r="M115">
            <v>1760000</v>
          </cell>
          <cell r="O115">
            <v>13905418</v>
          </cell>
          <cell r="Q115">
            <v>13905418</v>
          </cell>
        </row>
        <row r="116">
          <cell r="A116" t="str">
            <v>E-2</v>
          </cell>
          <cell r="C116">
            <v>15431160767.51</v>
          </cell>
          <cell r="D116">
            <v>15431160767.51</v>
          </cell>
          <cell r="E116">
            <v>56937952.859999999</v>
          </cell>
          <cell r="G116">
            <v>3688338518.5300002</v>
          </cell>
          <cell r="I116">
            <v>312745931.04000002</v>
          </cell>
          <cell r="K116">
            <v>10608218599.950001</v>
          </cell>
          <cell r="M116">
            <v>9350708193.5500011</v>
          </cell>
          <cell r="O116">
            <v>764919765.13</v>
          </cell>
          <cell r="Q116">
            <v>764919765.13</v>
          </cell>
        </row>
        <row r="117">
          <cell r="A117" t="str">
            <v>E-201</v>
          </cell>
          <cell r="C117">
            <v>956362475</v>
          </cell>
          <cell r="D117">
            <v>956362475</v>
          </cell>
          <cell r="E117">
            <v>1008000</v>
          </cell>
          <cell r="G117">
            <v>269474721.05000001</v>
          </cell>
          <cell r="I117">
            <v>5594868</v>
          </cell>
          <cell r="K117">
            <v>641532752.88</v>
          </cell>
          <cell r="M117">
            <v>610647322.96000004</v>
          </cell>
          <cell r="O117">
            <v>38752133.07</v>
          </cell>
          <cell r="Q117">
            <v>38752133.07</v>
          </cell>
        </row>
        <row r="118">
          <cell r="A118" t="str">
            <v>E-20101</v>
          </cell>
          <cell r="C118">
            <v>666637000</v>
          </cell>
          <cell r="D118">
            <v>666637000</v>
          </cell>
          <cell r="E118">
            <v>0</v>
          </cell>
          <cell r="G118">
            <v>127927842.45999999</v>
          </cell>
          <cell r="I118">
            <v>0</v>
          </cell>
          <cell r="K118">
            <v>510560626.15000004</v>
          </cell>
          <cell r="M118">
            <v>488788058.43000001</v>
          </cell>
          <cell r="O118">
            <v>28148531.390000001</v>
          </cell>
          <cell r="Q118">
            <v>28148531.390000001</v>
          </cell>
        </row>
        <row r="119">
          <cell r="A119" t="str">
            <v>E-20102</v>
          </cell>
          <cell r="C119">
            <v>210891180</v>
          </cell>
          <cell r="D119">
            <v>210891180</v>
          </cell>
          <cell r="E119">
            <v>1008000</v>
          </cell>
          <cell r="G119">
            <v>136468200</v>
          </cell>
          <cell r="I119">
            <v>5467500</v>
          </cell>
          <cell r="K119">
            <v>67687385</v>
          </cell>
          <cell r="M119">
            <v>66925285</v>
          </cell>
          <cell r="O119">
            <v>260095</v>
          </cell>
          <cell r="Q119">
            <v>260095</v>
          </cell>
        </row>
        <row r="120">
          <cell r="A120" t="str">
            <v>E-20103</v>
          </cell>
          <cell r="C120">
            <v>5824000</v>
          </cell>
          <cell r="D120">
            <v>5824000</v>
          </cell>
          <cell r="E120">
            <v>0</v>
          </cell>
          <cell r="G120">
            <v>0</v>
          </cell>
          <cell r="I120">
            <v>0</v>
          </cell>
          <cell r="K120">
            <v>0</v>
          </cell>
          <cell r="M120">
            <v>0</v>
          </cell>
          <cell r="O120">
            <v>5824000</v>
          </cell>
          <cell r="Q120">
            <v>5824000</v>
          </cell>
        </row>
        <row r="121">
          <cell r="A121" t="str">
            <v>E-20104</v>
          </cell>
          <cell r="C121">
            <v>59415400</v>
          </cell>
          <cell r="D121">
            <v>59415400</v>
          </cell>
          <cell r="E121">
            <v>0</v>
          </cell>
          <cell r="G121">
            <v>2534178.59</v>
          </cell>
          <cell r="I121">
            <v>127368</v>
          </cell>
          <cell r="K121">
            <v>54319501.730000004</v>
          </cell>
          <cell r="M121">
            <v>46885739.530000001</v>
          </cell>
          <cell r="O121">
            <v>2434351.6799999997</v>
          </cell>
          <cell r="Q121">
            <v>2434351.6799999997</v>
          </cell>
        </row>
        <row r="122">
          <cell r="A122" t="str">
            <v>E-20199</v>
          </cell>
          <cell r="C122">
            <v>13594895</v>
          </cell>
          <cell r="D122">
            <v>13594895</v>
          </cell>
          <cell r="E122">
            <v>0</v>
          </cell>
          <cell r="G122">
            <v>2544500</v>
          </cell>
          <cell r="I122">
            <v>0</v>
          </cell>
          <cell r="K122">
            <v>8965240</v>
          </cell>
          <cell r="M122">
            <v>8048240</v>
          </cell>
          <cell r="O122">
            <v>2085155</v>
          </cell>
          <cell r="Q122">
            <v>2085155</v>
          </cell>
        </row>
        <row r="123">
          <cell r="A123" t="str">
            <v>E-202</v>
          </cell>
          <cell r="C123">
            <v>10524984481.51</v>
          </cell>
          <cell r="D123">
            <v>10524984481.51</v>
          </cell>
          <cell r="E123">
            <v>0</v>
          </cell>
          <cell r="G123">
            <v>1981450335.1800001</v>
          </cell>
          <cell r="I123">
            <v>204724977.43000001</v>
          </cell>
          <cell r="K123">
            <v>8100170382.3400002</v>
          </cell>
          <cell r="M123">
            <v>7129636986.79</v>
          </cell>
          <cell r="O123">
            <v>238638786.56</v>
          </cell>
          <cell r="Q123">
            <v>238638786.56</v>
          </cell>
        </row>
        <row r="124">
          <cell r="A124" t="str">
            <v>E-20203</v>
          </cell>
          <cell r="C124">
            <v>10512984481.51</v>
          </cell>
          <cell r="D124">
            <v>10512984481.51</v>
          </cell>
          <cell r="E124">
            <v>0</v>
          </cell>
          <cell r="G124">
            <v>1976382515.1800001</v>
          </cell>
          <cell r="I124">
            <v>204724977.43000001</v>
          </cell>
          <cell r="K124">
            <v>8093251227.3400002</v>
          </cell>
          <cell r="M124">
            <v>7125649311.79</v>
          </cell>
          <cell r="O124">
            <v>238625761.56</v>
          </cell>
          <cell r="Q124">
            <v>238625761.56</v>
          </cell>
        </row>
        <row r="125">
          <cell r="A125" t="str">
            <v>E-20204</v>
          </cell>
          <cell r="C125">
            <v>12000000</v>
          </cell>
          <cell r="D125">
            <v>12000000</v>
          </cell>
          <cell r="E125">
            <v>0</v>
          </cell>
          <cell r="G125">
            <v>5067820</v>
          </cell>
          <cell r="I125">
            <v>0</v>
          </cell>
          <cell r="K125">
            <v>6919155</v>
          </cell>
          <cell r="M125">
            <v>3987675</v>
          </cell>
          <cell r="O125">
            <v>13025</v>
          </cell>
          <cell r="Q125">
            <v>13025</v>
          </cell>
        </row>
        <row r="126">
          <cell r="A126" t="str">
            <v>E-203</v>
          </cell>
          <cell r="C126">
            <v>733474654</v>
          </cell>
          <cell r="D126">
            <v>733474654</v>
          </cell>
          <cell r="E126">
            <v>270875</v>
          </cell>
          <cell r="G126">
            <v>244852656.90000001</v>
          </cell>
          <cell r="I126">
            <v>37280041.670000002</v>
          </cell>
          <cell r="K126">
            <v>292107794.66000003</v>
          </cell>
          <cell r="M126">
            <v>182858385.87</v>
          </cell>
          <cell r="O126">
            <v>158963285.76999998</v>
          </cell>
          <cell r="Q126">
            <v>158963285.76999998</v>
          </cell>
        </row>
        <row r="127">
          <cell r="A127" t="str">
            <v>E-20301</v>
          </cell>
          <cell r="C127">
            <v>294716374</v>
          </cell>
          <cell r="D127">
            <v>294716374</v>
          </cell>
          <cell r="E127">
            <v>11750</v>
          </cell>
          <cell r="G127">
            <v>94114635.480000004</v>
          </cell>
          <cell r="I127">
            <v>4993527.26</v>
          </cell>
          <cell r="K127">
            <v>159828498.78</v>
          </cell>
          <cell r="M127">
            <v>61057582.979999997</v>
          </cell>
          <cell r="O127">
            <v>35767962.479999997</v>
          </cell>
          <cell r="Q127">
            <v>35767962.479999997</v>
          </cell>
        </row>
        <row r="128">
          <cell r="A128" t="str">
            <v>E-20302</v>
          </cell>
          <cell r="C128">
            <v>69168000</v>
          </cell>
          <cell r="D128">
            <v>69168000</v>
          </cell>
          <cell r="E128">
            <v>0</v>
          </cell>
          <cell r="G128">
            <v>34430810</v>
          </cell>
          <cell r="I128">
            <v>75487</v>
          </cell>
          <cell r="K128">
            <v>34614699.920000002</v>
          </cell>
          <cell r="M128">
            <v>34381659.920000002</v>
          </cell>
          <cell r="O128">
            <v>47003.08</v>
          </cell>
          <cell r="Q128">
            <v>47003.08</v>
          </cell>
        </row>
        <row r="129">
          <cell r="A129" t="str">
            <v>E-20303</v>
          </cell>
          <cell r="C129">
            <v>97694469</v>
          </cell>
          <cell r="D129">
            <v>97694469</v>
          </cell>
          <cell r="E129">
            <v>0</v>
          </cell>
          <cell r="G129">
            <v>62895678</v>
          </cell>
          <cell r="I129">
            <v>0</v>
          </cell>
          <cell r="K129">
            <v>34681337.5</v>
          </cell>
          <cell r="M129">
            <v>34681337.5</v>
          </cell>
          <cell r="O129">
            <v>117453.5</v>
          </cell>
          <cell r="Q129">
            <v>117453.5</v>
          </cell>
        </row>
        <row r="130">
          <cell r="A130" t="str">
            <v>E-20304</v>
          </cell>
          <cell r="C130">
            <v>153201637</v>
          </cell>
          <cell r="D130">
            <v>153201637</v>
          </cell>
          <cell r="E130">
            <v>0</v>
          </cell>
          <cell r="G130">
            <v>16865904.670000002</v>
          </cell>
          <cell r="I130">
            <v>0</v>
          </cell>
          <cell r="K130">
            <v>36150279.259999998</v>
          </cell>
          <cell r="M130">
            <v>34522986.269999996</v>
          </cell>
          <cell r="O130">
            <v>100185453.07000001</v>
          </cell>
          <cell r="Q130">
            <v>100185453.07000001</v>
          </cell>
        </row>
        <row r="131">
          <cell r="A131" t="str">
            <v>E-20305</v>
          </cell>
          <cell r="C131">
            <v>7129000</v>
          </cell>
          <cell r="D131">
            <v>7129000</v>
          </cell>
          <cell r="E131">
            <v>0</v>
          </cell>
          <cell r="G131">
            <v>0</v>
          </cell>
          <cell r="I131">
            <v>0</v>
          </cell>
          <cell r="K131">
            <v>7043000</v>
          </cell>
          <cell r="M131">
            <v>0</v>
          </cell>
          <cell r="O131">
            <v>86000</v>
          </cell>
          <cell r="Q131">
            <v>86000</v>
          </cell>
        </row>
        <row r="132">
          <cell r="A132" t="str">
            <v>E-20306</v>
          </cell>
          <cell r="C132">
            <v>85690514</v>
          </cell>
          <cell r="D132">
            <v>85690514</v>
          </cell>
          <cell r="E132">
            <v>0</v>
          </cell>
          <cell r="G132">
            <v>24970542.75</v>
          </cell>
          <cell r="I132">
            <v>28114217.41</v>
          </cell>
          <cell r="K132">
            <v>12868819.199999999</v>
          </cell>
          <cell r="M132">
            <v>12868819.199999999</v>
          </cell>
          <cell r="O132">
            <v>19736934.640000001</v>
          </cell>
          <cell r="Q132">
            <v>19736934.640000001</v>
          </cell>
        </row>
        <row r="133">
          <cell r="A133" t="str">
            <v>E-20399</v>
          </cell>
          <cell r="C133">
            <v>25874660</v>
          </cell>
          <cell r="D133">
            <v>25874660</v>
          </cell>
          <cell r="E133">
            <v>259125</v>
          </cell>
          <cell r="G133">
            <v>11575086</v>
          </cell>
          <cell r="I133">
            <v>4096810</v>
          </cell>
          <cell r="K133">
            <v>6921160</v>
          </cell>
          <cell r="M133">
            <v>5346000</v>
          </cell>
          <cell r="O133">
            <v>3022479</v>
          </cell>
          <cell r="Q133">
            <v>3022479</v>
          </cell>
        </row>
        <row r="134">
          <cell r="A134" t="str">
            <v>E-204</v>
          </cell>
          <cell r="C134">
            <v>247742500</v>
          </cell>
          <cell r="D134">
            <v>247742500</v>
          </cell>
          <cell r="E134">
            <v>15005</v>
          </cell>
          <cell r="G134">
            <v>50277302.869999997</v>
          </cell>
          <cell r="I134">
            <v>4926212.5999999996</v>
          </cell>
          <cell r="K134">
            <v>77795333.370000005</v>
          </cell>
          <cell r="M134">
            <v>60868688.299999997</v>
          </cell>
          <cell r="O134">
            <v>114728646.16</v>
          </cell>
          <cell r="Q134">
            <v>114728646.16</v>
          </cell>
        </row>
        <row r="135">
          <cell r="A135" t="str">
            <v>E-20401</v>
          </cell>
          <cell r="C135">
            <v>51521999</v>
          </cell>
          <cell r="D135">
            <v>51521999</v>
          </cell>
          <cell r="E135">
            <v>15005</v>
          </cell>
          <cell r="G135">
            <v>29062441.129999999</v>
          </cell>
          <cell r="I135">
            <v>639687.47</v>
          </cell>
          <cell r="K135">
            <v>12741422.780000001</v>
          </cell>
          <cell r="M135">
            <v>11841422.780000001</v>
          </cell>
          <cell r="O135">
            <v>9063442.6199999992</v>
          </cell>
          <cell r="Q135">
            <v>9063442.6199999992</v>
          </cell>
        </row>
        <row r="136">
          <cell r="A136" t="str">
            <v>E-20402</v>
          </cell>
          <cell r="C136">
            <v>196220501</v>
          </cell>
          <cell r="D136">
            <v>196220501</v>
          </cell>
          <cell r="E136">
            <v>0</v>
          </cell>
          <cell r="G136">
            <v>21214861.740000002</v>
          </cell>
          <cell r="I136">
            <v>4286525.13</v>
          </cell>
          <cell r="K136">
            <v>65053910.590000004</v>
          </cell>
          <cell r="M136">
            <v>49027265.520000003</v>
          </cell>
          <cell r="O136">
            <v>105665203.53999999</v>
          </cell>
          <cell r="Q136">
            <v>105665203.53999999</v>
          </cell>
        </row>
        <row r="137">
          <cell r="A137" t="str">
            <v>E-299</v>
          </cell>
          <cell r="C137">
            <v>2968596657</v>
          </cell>
          <cell r="D137">
            <v>2968596657</v>
          </cell>
          <cell r="E137">
            <v>55644072.859999999</v>
          </cell>
          <cell r="G137">
            <v>1142283502.53</v>
          </cell>
          <cell r="I137">
            <v>60219831.340000004</v>
          </cell>
          <cell r="K137">
            <v>1496612336.7</v>
          </cell>
          <cell r="M137">
            <v>1366696809.6300001</v>
          </cell>
          <cell r="O137">
            <v>213836913.56999999</v>
          </cell>
          <cell r="Q137">
            <v>213836913.56999999</v>
          </cell>
        </row>
        <row r="138">
          <cell r="A138" t="str">
            <v>E-29901</v>
          </cell>
          <cell r="C138">
            <v>21676366</v>
          </cell>
          <cell r="D138">
            <v>21676366</v>
          </cell>
          <cell r="E138">
            <v>473021.5</v>
          </cell>
          <cell r="G138">
            <v>1652289.94</v>
          </cell>
          <cell r="I138">
            <v>1590073.15</v>
          </cell>
          <cell r="K138">
            <v>10349457.59</v>
          </cell>
          <cell r="M138">
            <v>8012530.1500000004</v>
          </cell>
          <cell r="O138">
            <v>7611523.8200000003</v>
          </cell>
          <cell r="Q138">
            <v>7611523.8200000003</v>
          </cell>
        </row>
        <row r="139">
          <cell r="A139" t="str">
            <v>E-29902</v>
          </cell>
          <cell r="C139">
            <v>25945268</v>
          </cell>
          <cell r="D139">
            <v>25945268</v>
          </cell>
          <cell r="E139">
            <v>8375313.1600000001</v>
          </cell>
          <cell r="G139">
            <v>1343020</v>
          </cell>
          <cell r="I139">
            <v>1282500</v>
          </cell>
          <cell r="K139">
            <v>11991943.52</v>
          </cell>
          <cell r="M139">
            <v>11991943.52</v>
          </cell>
          <cell r="O139">
            <v>2952491.3200000003</v>
          </cell>
          <cell r="Q139">
            <v>2952491.3200000003</v>
          </cell>
        </row>
        <row r="140">
          <cell r="A140" t="str">
            <v>E-29903</v>
          </cell>
          <cell r="C140">
            <v>260806747</v>
          </cell>
          <cell r="D140">
            <v>260806747</v>
          </cell>
          <cell r="E140">
            <v>4165188.2</v>
          </cell>
          <cell r="G140">
            <v>50175085.880000003</v>
          </cell>
          <cell r="I140">
            <v>2882359.59</v>
          </cell>
          <cell r="K140">
            <v>121971074.31999999</v>
          </cell>
          <cell r="M140">
            <v>84469876.819999993</v>
          </cell>
          <cell r="O140">
            <v>81613039.010000005</v>
          </cell>
          <cell r="Q140">
            <v>81613039.010000005</v>
          </cell>
        </row>
        <row r="141">
          <cell r="A141" t="str">
            <v>E-29904</v>
          </cell>
          <cell r="C141">
            <v>1200239641</v>
          </cell>
          <cell r="D141">
            <v>1200239641</v>
          </cell>
          <cell r="E141">
            <v>34817000</v>
          </cell>
          <cell r="G141">
            <v>902157553</v>
          </cell>
          <cell r="I141">
            <v>27139772</v>
          </cell>
          <cell r="K141">
            <v>190302693.88999999</v>
          </cell>
          <cell r="M141">
            <v>170851543.19999999</v>
          </cell>
          <cell r="O141">
            <v>45822622.109999999</v>
          </cell>
          <cell r="Q141">
            <v>45822622.109999999</v>
          </cell>
        </row>
        <row r="142">
          <cell r="A142" t="str">
            <v>E-29905</v>
          </cell>
          <cell r="C142">
            <v>332221981</v>
          </cell>
          <cell r="D142">
            <v>332221981</v>
          </cell>
          <cell r="E142">
            <v>0</v>
          </cell>
          <cell r="G142">
            <v>55058845.100000001</v>
          </cell>
          <cell r="I142">
            <v>27325126.600000001</v>
          </cell>
          <cell r="K142">
            <v>231861020.65000001</v>
          </cell>
          <cell r="M142">
            <v>205851431.65000001</v>
          </cell>
          <cell r="O142">
            <v>17976988.650000002</v>
          </cell>
          <cell r="Q142">
            <v>17976988.650000002</v>
          </cell>
        </row>
        <row r="143">
          <cell r="A143" t="str">
            <v>E-29906</v>
          </cell>
          <cell r="C143">
            <v>784617967</v>
          </cell>
          <cell r="D143">
            <v>784617967</v>
          </cell>
          <cell r="E143">
            <v>1641050</v>
          </cell>
          <cell r="G143">
            <v>10412519.140000001</v>
          </cell>
          <cell r="I143">
            <v>0</v>
          </cell>
          <cell r="K143">
            <v>767707400.99000001</v>
          </cell>
          <cell r="M143">
            <v>767707400.99000001</v>
          </cell>
          <cell r="O143">
            <v>4856996.87</v>
          </cell>
          <cell r="Q143">
            <v>4856996.87</v>
          </cell>
        </row>
        <row r="144">
          <cell r="A144" t="str">
            <v>E-29907</v>
          </cell>
          <cell r="C144">
            <v>112559000</v>
          </cell>
          <cell r="D144">
            <v>112559000</v>
          </cell>
          <cell r="E144">
            <v>6172500</v>
          </cell>
          <cell r="G144">
            <v>51901097.810000002</v>
          </cell>
          <cell r="I144">
            <v>0</v>
          </cell>
          <cell r="K144">
            <v>45128284.840000004</v>
          </cell>
          <cell r="M144">
            <v>35007679.25</v>
          </cell>
          <cell r="O144">
            <v>9357117.3499999996</v>
          </cell>
          <cell r="Q144">
            <v>9357117.3499999996</v>
          </cell>
        </row>
        <row r="145">
          <cell r="A145" t="str">
            <v>E-29999</v>
          </cell>
          <cell r="C145">
            <v>230529687</v>
          </cell>
          <cell r="D145">
            <v>230529687</v>
          </cell>
          <cell r="E145">
            <v>0</v>
          </cell>
          <cell r="G145">
            <v>69583091.659999996</v>
          </cell>
          <cell r="I145">
            <v>0</v>
          </cell>
          <cell r="K145">
            <v>117300460.90000001</v>
          </cell>
          <cell r="M145">
            <v>82804404.049999997</v>
          </cell>
          <cell r="O145">
            <v>43646134.439999998</v>
          </cell>
          <cell r="Q145">
            <v>43646134.439999998</v>
          </cell>
        </row>
        <row r="146">
          <cell r="A146" t="str">
            <v>E-5</v>
          </cell>
          <cell r="C146">
            <v>3939399444</v>
          </cell>
          <cell r="D146">
            <v>3939399444</v>
          </cell>
          <cell r="E146">
            <v>84231826.429999992</v>
          </cell>
          <cell r="G146">
            <v>1543776032.6300001</v>
          </cell>
          <cell r="I146">
            <v>236500305.18000001</v>
          </cell>
          <cell r="K146">
            <v>1731067830.4099998</v>
          </cell>
          <cell r="M146">
            <v>1678205299.3799999</v>
          </cell>
          <cell r="O146">
            <v>343823449.35000002</v>
          </cell>
          <cell r="Q146">
            <v>343823449.35000002</v>
          </cell>
        </row>
        <row r="147">
          <cell r="A147" t="str">
            <v>E-501</v>
          </cell>
          <cell r="C147">
            <v>1660534663</v>
          </cell>
          <cell r="D147">
            <v>1660534663</v>
          </cell>
          <cell r="E147">
            <v>68006434</v>
          </cell>
          <cell r="G147">
            <v>543318355.58999991</v>
          </cell>
          <cell r="I147">
            <v>184683568.40000001</v>
          </cell>
          <cell r="K147">
            <v>766660738.53999996</v>
          </cell>
          <cell r="M147">
            <v>753640382.57999992</v>
          </cell>
          <cell r="O147">
            <v>97865566.469999999</v>
          </cell>
          <cell r="Q147">
            <v>97865566.469999999</v>
          </cell>
        </row>
        <row r="148">
          <cell r="A148" t="str">
            <v>E-50101</v>
          </cell>
          <cell r="C148">
            <v>59455528</v>
          </cell>
          <cell r="D148">
            <v>59455528</v>
          </cell>
          <cell r="E148">
            <v>0</v>
          </cell>
          <cell r="G148">
            <v>4700000</v>
          </cell>
          <cell r="I148">
            <v>5999900</v>
          </cell>
          <cell r="K148">
            <v>44529845.359999999</v>
          </cell>
          <cell r="M148">
            <v>42976970.159999996</v>
          </cell>
          <cell r="O148">
            <v>4225782.6400000006</v>
          </cell>
          <cell r="Q148">
            <v>4225782.6400000006</v>
          </cell>
        </row>
        <row r="149">
          <cell r="A149" t="str">
            <v>E-50102</v>
          </cell>
          <cell r="C149">
            <v>187115000</v>
          </cell>
          <cell r="D149">
            <v>187115000</v>
          </cell>
          <cell r="E149">
            <v>67906434</v>
          </cell>
          <cell r="G149">
            <v>14949107.58</v>
          </cell>
          <cell r="I149">
            <v>1400000</v>
          </cell>
          <cell r="K149">
            <v>97250000</v>
          </cell>
          <cell r="M149">
            <v>97250000</v>
          </cell>
          <cell r="O149">
            <v>5609458.4199999999</v>
          </cell>
          <cell r="Q149">
            <v>5609458.4199999999</v>
          </cell>
        </row>
        <row r="150">
          <cell r="A150" t="str">
            <v>E-50103</v>
          </cell>
          <cell r="C150">
            <v>304861325</v>
          </cell>
          <cell r="D150">
            <v>304861325</v>
          </cell>
          <cell r="E150">
            <v>0</v>
          </cell>
          <cell r="G150">
            <v>246296790.88</v>
          </cell>
          <cell r="I150">
            <v>1119529.6200000001</v>
          </cell>
          <cell r="K150">
            <v>42668781.030000001</v>
          </cell>
          <cell r="M150">
            <v>40433835.229999997</v>
          </cell>
          <cell r="O150">
            <v>14776223.470000001</v>
          </cell>
          <cell r="Q150">
            <v>14776223.470000001</v>
          </cell>
        </row>
        <row r="151">
          <cell r="A151" t="str">
            <v>E-50104</v>
          </cell>
          <cell r="C151">
            <v>139093410</v>
          </cell>
          <cell r="D151">
            <v>139093410</v>
          </cell>
          <cell r="E151">
            <v>0</v>
          </cell>
          <cell r="G151">
            <v>39018206.719999999</v>
          </cell>
          <cell r="I151">
            <v>967079.04</v>
          </cell>
          <cell r="K151">
            <v>72492936.469999999</v>
          </cell>
          <cell r="M151">
            <v>70355325.590000004</v>
          </cell>
          <cell r="O151">
            <v>26615187.77</v>
          </cell>
          <cell r="Q151">
            <v>26615187.77</v>
          </cell>
        </row>
        <row r="152">
          <cell r="A152" t="str">
            <v>E-50105</v>
          </cell>
          <cell r="C152">
            <v>215530400</v>
          </cell>
          <cell r="D152">
            <v>215530400</v>
          </cell>
          <cell r="E152">
            <v>0</v>
          </cell>
          <cell r="G152">
            <v>50264834.120000005</v>
          </cell>
          <cell r="I152">
            <v>0</v>
          </cell>
          <cell r="K152">
            <v>156227065.80000001</v>
          </cell>
          <cell r="M152">
            <v>152950348.72</v>
          </cell>
          <cell r="O152">
            <v>9038500.0800000001</v>
          </cell>
          <cell r="Q152">
            <v>9038500.0800000001</v>
          </cell>
        </row>
        <row r="153">
          <cell r="A153" t="str">
            <v>E-50106</v>
          </cell>
          <cell r="C153">
            <v>58305000</v>
          </cell>
          <cell r="D153">
            <v>58305000</v>
          </cell>
          <cell r="E153">
            <v>100000</v>
          </cell>
          <cell r="G153">
            <v>37150878.270000003</v>
          </cell>
          <cell r="I153">
            <v>4097059.74</v>
          </cell>
          <cell r="K153">
            <v>16702527.51</v>
          </cell>
          <cell r="M153">
            <v>16702527.51</v>
          </cell>
          <cell r="O153">
            <v>254534.48</v>
          </cell>
          <cell r="Q153">
            <v>254534.48</v>
          </cell>
        </row>
        <row r="154">
          <cell r="A154" t="str">
            <v>E-50107</v>
          </cell>
          <cell r="C154">
            <v>8076000</v>
          </cell>
          <cell r="D154">
            <v>8076000</v>
          </cell>
          <cell r="E154">
            <v>0</v>
          </cell>
          <cell r="G154">
            <v>7065620</v>
          </cell>
          <cell r="I154">
            <v>0</v>
          </cell>
          <cell r="K154">
            <v>295119</v>
          </cell>
          <cell r="M154">
            <v>295119</v>
          </cell>
          <cell r="O154">
            <v>715261</v>
          </cell>
          <cell r="Q154">
            <v>715261</v>
          </cell>
        </row>
        <row r="155">
          <cell r="A155" t="str">
            <v>E-50199</v>
          </cell>
          <cell r="C155">
            <v>688098000</v>
          </cell>
          <cell r="D155">
            <v>688098000</v>
          </cell>
          <cell r="E155">
            <v>0</v>
          </cell>
          <cell r="G155">
            <v>143872918.02000001</v>
          </cell>
          <cell r="I155">
            <v>171100000</v>
          </cell>
          <cell r="K155">
            <v>336494463.37</v>
          </cell>
          <cell r="M155">
            <v>332676256.37</v>
          </cell>
          <cell r="O155">
            <v>36630618.610000007</v>
          </cell>
          <cell r="Q155">
            <v>36630618.610000007</v>
          </cell>
        </row>
        <row r="156">
          <cell r="A156" t="str">
            <v>E-502</v>
          </cell>
          <cell r="C156">
            <v>1893431799</v>
          </cell>
          <cell r="D156">
            <v>1893431799</v>
          </cell>
          <cell r="E156">
            <v>2500000</v>
          </cell>
          <cell r="G156">
            <v>776304078.35000002</v>
          </cell>
          <cell r="I156">
            <v>11771353.720000001</v>
          </cell>
          <cell r="K156">
            <v>909913098.75</v>
          </cell>
          <cell r="M156">
            <v>873439222.17999995</v>
          </cell>
          <cell r="O156">
            <v>192943268.18000001</v>
          </cell>
          <cell r="Q156">
            <v>192943268.18000001</v>
          </cell>
        </row>
        <row r="157">
          <cell r="A157" t="str">
            <v>E-50201</v>
          </cell>
          <cell r="C157">
            <v>1884669800</v>
          </cell>
          <cell r="D157">
            <v>1884669800</v>
          </cell>
          <cell r="E157">
            <v>2500000</v>
          </cell>
          <cell r="G157">
            <v>774956079.35000002</v>
          </cell>
          <cell r="I157">
            <v>11097353.720000001</v>
          </cell>
          <cell r="K157">
            <v>903173098.78999996</v>
          </cell>
          <cell r="M157">
            <v>867373222.21999991</v>
          </cell>
          <cell r="O157">
            <v>192943268.13999999</v>
          </cell>
          <cell r="Q157">
            <v>192943268.13999999</v>
          </cell>
        </row>
        <row r="158">
          <cell r="A158" t="str">
            <v>E-50207</v>
          </cell>
          <cell r="C158">
            <v>8761999</v>
          </cell>
          <cell r="D158">
            <v>8761999</v>
          </cell>
          <cell r="E158">
            <v>0</v>
          </cell>
          <cell r="G158">
            <v>1347999</v>
          </cell>
          <cell r="I158">
            <v>674000</v>
          </cell>
          <cell r="K158">
            <v>6739999.96</v>
          </cell>
          <cell r="M158">
            <v>6065999.96</v>
          </cell>
          <cell r="O158">
            <v>0.04</v>
          </cell>
          <cell r="Q158">
            <v>0.04</v>
          </cell>
        </row>
        <row r="159">
          <cell r="A159" t="str">
            <v>E-599</v>
          </cell>
          <cell r="C159">
            <v>385432982</v>
          </cell>
          <cell r="D159">
            <v>385432982</v>
          </cell>
          <cell r="E159">
            <v>13725392.430000002</v>
          </cell>
          <cell r="G159">
            <v>224153598.69</v>
          </cell>
          <cell r="I159">
            <v>40045383.059999995</v>
          </cell>
          <cell r="K159">
            <v>54493993.120000005</v>
          </cell>
          <cell r="M159">
            <v>51125694.620000005</v>
          </cell>
          <cell r="O159">
            <v>53014614.699999996</v>
          </cell>
          <cell r="Q159">
            <v>53014614.699999996</v>
          </cell>
        </row>
        <row r="160">
          <cell r="A160" t="str">
            <v>E-59903</v>
          </cell>
          <cell r="C160">
            <v>385432982</v>
          </cell>
          <cell r="D160">
            <v>385432982</v>
          </cell>
          <cell r="E160">
            <v>13725392.430000002</v>
          </cell>
          <cell r="G160">
            <v>224153598.69</v>
          </cell>
          <cell r="I160">
            <v>40045383.059999995</v>
          </cell>
          <cell r="K160">
            <v>54493993.120000005</v>
          </cell>
          <cell r="M160">
            <v>51125694.620000005</v>
          </cell>
          <cell r="O160">
            <v>53014614.699999996</v>
          </cell>
          <cell r="Q160">
            <v>53014614.699999996</v>
          </cell>
        </row>
        <row r="161">
          <cell r="A161" t="str">
            <v>E-6</v>
          </cell>
          <cell r="C161">
            <v>4153313177.1700001</v>
          </cell>
          <cell r="D161">
            <v>4153313177.1700001</v>
          </cell>
          <cell r="E161">
            <v>0</v>
          </cell>
          <cell r="G161">
            <v>460476527.23000002</v>
          </cell>
          <cell r="I161">
            <v>0</v>
          </cell>
          <cell r="K161">
            <v>3392845533.54</v>
          </cell>
          <cell r="M161">
            <v>3291998093.7600002</v>
          </cell>
          <cell r="O161">
            <v>299991116.40000004</v>
          </cell>
          <cell r="Q161">
            <v>299991116.40000004</v>
          </cell>
        </row>
        <row r="162">
          <cell r="A162" t="str">
            <v>E-601</v>
          </cell>
          <cell r="C162">
            <v>1086141042</v>
          </cell>
          <cell r="D162">
            <v>1086141042</v>
          </cell>
          <cell r="E162">
            <v>0</v>
          </cell>
          <cell r="G162">
            <v>108984924.98</v>
          </cell>
          <cell r="I162">
            <v>0</v>
          </cell>
          <cell r="K162">
            <v>929616117.01999998</v>
          </cell>
          <cell r="M162">
            <v>929616117.01999998</v>
          </cell>
          <cell r="O162">
            <v>47540000</v>
          </cell>
          <cell r="Q162">
            <v>47540000</v>
          </cell>
        </row>
        <row r="163">
          <cell r="A163" t="str">
            <v>E-60102</v>
          </cell>
          <cell r="C163">
            <v>481500000</v>
          </cell>
          <cell r="D163">
            <v>481500000</v>
          </cell>
          <cell r="E163">
            <v>0</v>
          </cell>
          <cell r="G163">
            <v>78257000</v>
          </cell>
          <cell r="I163">
            <v>0</v>
          </cell>
          <cell r="K163">
            <v>355703000</v>
          </cell>
          <cell r="M163">
            <v>355703000</v>
          </cell>
          <cell r="O163">
            <v>47540000</v>
          </cell>
          <cell r="Q163">
            <v>47540000</v>
          </cell>
        </row>
        <row r="164">
          <cell r="A164" t="str">
            <v>E6010221077900</v>
          </cell>
          <cell r="C164">
            <v>2000000</v>
          </cell>
          <cell r="D164">
            <v>2000000</v>
          </cell>
          <cell r="E164">
            <v>0</v>
          </cell>
          <cell r="G164">
            <v>0</v>
          </cell>
          <cell r="I164">
            <v>0</v>
          </cell>
          <cell r="K164">
            <v>2000000</v>
          </cell>
          <cell r="M164">
            <v>2000000</v>
          </cell>
          <cell r="O164">
            <v>0</v>
          </cell>
          <cell r="Q164">
            <v>0</v>
          </cell>
        </row>
        <row r="165">
          <cell r="A165" t="str">
            <v>E6010221078300</v>
          </cell>
          <cell r="C165">
            <v>179500000</v>
          </cell>
          <cell r="D165">
            <v>179500000</v>
          </cell>
          <cell r="E165">
            <v>0</v>
          </cell>
          <cell r="G165">
            <v>0</v>
          </cell>
          <cell r="I165">
            <v>0</v>
          </cell>
          <cell r="K165">
            <v>131960000</v>
          </cell>
          <cell r="M165">
            <v>131960000</v>
          </cell>
          <cell r="O165">
            <v>47540000</v>
          </cell>
          <cell r="Q165">
            <v>47540000</v>
          </cell>
        </row>
        <row r="166">
          <cell r="A166" t="str">
            <v>E6010221078400</v>
          </cell>
          <cell r="C166">
            <v>0</v>
          </cell>
          <cell r="D166">
            <v>0</v>
          </cell>
          <cell r="E166">
            <v>0</v>
          </cell>
          <cell r="G166">
            <v>0</v>
          </cell>
          <cell r="I166">
            <v>0</v>
          </cell>
          <cell r="K166">
            <v>0</v>
          </cell>
          <cell r="M166">
            <v>0</v>
          </cell>
          <cell r="O166">
            <v>0</v>
          </cell>
          <cell r="Q166">
            <v>0</v>
          </cell>
        </row>
        <row r="167">
          <cell r="A167" t="str">
            <v>E6010221577900</v>
          </cell>
          <cell r="C167">
            <v>300000000</v>
          </cell>
          <cell r="D167">
            <v>300000000</v>
          </cell>
          <cell r="E167">
            <v>0</v>
          </cell>
          <cell r="G167">
            <v>78257000</v>
          </cell>
          <cell r="I167">
            <v>0</v>
          </cell>
          <cell r="K167">
            <v>221743000</v>
          </cell>
          <cell r="M167">
            <v>221743000</v>
          </cell>
          <cell r="O167">
            <v>0</v>
          </cell>
          <cell r="Q167">
            <v>0</v>
          </cell>
        </row>
        <row r="168">
          <cell r="A168" t="str">
            <v>E-60103</v>
          </cell>
          <cell r="C168">
            <v>604641042</v>
          </cell>
          <cell r="D168">
            <v>604641042</v>
          </cell>
          <cell r="E168">
            <v>0</v>
          </cell>
          <cell r="G168">
            <v>30727924.980000004</v>
          </cell>
          <cell r="I168">
            <v>0</v>
          </cell>
          <cell r="K168">
            <v>573913117.01999998</v>
          </cell>
          <cell r="M168">
            <v>573913117.01999998</v>
          </cell>
          <cell r="O168">
            <v>0</v>
          </cell>
          <cell r="Q168">
            <v>0</v>
          </cell>
        </row>
        <row r="169">
          <cell r="A169" t="str">
            <v>E6010320077900</v>
          </cell>
          <cell r="C169">
            <v>7173000</v>
          </cell>
          <cell r="D169">
            <v>7173000</v>
          </cell>
          <cell r="E169">
            <v>0</v>
          </cell>
          <cell r="G169">
            <v>591677</v>
          </cell>
          <cell r="I169">
            <v>0</v>
          </cell>
          <cell r="K169">
            <v>6581323</v>
          </cell>
          <cell r="M169">
            <v>6581323</v>
          </cell>
          <cell r="O169">
            <v>0</v>
          </cell>
          <cell r="Q169">
            <v>0</v>
          </cell>
        </row>
        <row r="170">
          <cell r="A170" t="str">
            <v>E6010320078000</v>
          </cell>
          <cell r="C170">
            <v>4757000</v>
          </cell>
          <cell r="D170">
            <v>4757000</v>
          </cell>
          <cell r="E170">
            <v>0</v>
          </cell>
          <cell r="G170">
            <v>258365</v>
          </cell>
          <cell r="I170">
            <v>0</v>
          </cell>
          <cell r="K170">
            <v>4498635</v>
          </cell>
          <cell r="M170">
            <v>4498635</v>
          </cell>
          <cell r="O170">
            <v>0</v>
          </cell>
          <cell r="Q170">
            <v>0</v>
          </cell>
        </row>
        <row r="171">
          <cell r="A171" t="str">
            <v>E6010320078100</v>
          </cell>
          <cell r="C171">
            <v>42341000</v>
          </cell>
          <cell r="D171">
            <v>42341000</v>
          </cell>
          <cell r="E171">
            <v>0</v>
          </cell>
          <cell r="G171">
            <v>0</v>
          </cell>
          <cell r="I171">
            <v>0</v>
          </cell>
          <cell r="K171">
            <v>42341000</v>
          </cell>
          <cell r="M171">
            <v>42341000</v>
          </cell>
          <cell r="O171">
            <v>0</v>
          </cell>
          <cell r="Q171">
            <v>0</v>
          </cell>
        </row>
        <row r="172">
          <cell r="A172" t="str">
            <v>E6010320078300</v>
          </cell>
          <cell r="C172">
            <v>315187000</v>
          </cell>
          <cell r="D172">
            <v>315187000</v>
          </cell>
          <cell r="E172">
            <v>0</v>
          </cell>
          <cell r="G172">
            <v>1.5</v>
          </cell>
          <cell r="I172">
            <v>0</v>
          </cell>
          <cell r="K172">
            <v>315186998.5</v>
          </cell>
          <cell r="M172">
            <v>315186998.5</v>
          </cell>
          <cell r="O172">
            <v>0</v>
          </cell>
          <cell r="Q172">
            <v>0</v>
          </cell>
        </row>
        <row r="173">
          <cell r="A173" t="str">
            <v>E6010320078400</v>
          </cell>
          <cell r="C173">
            <v>57375320</v>
          </cell>
          <cell r="D173">
            <v>57375320</v>
          </cell>
          <cell r="E173">
            <v>0</v>
          </cell>
          <cell r="G173">
            <v>6261333.4000000004</v>
          </cell>
          <cell r="I173">
            <v>0</v>
          </cell>
          <cell r="K173">
            <v>51113986.600000001</v>
          </cell>
          <cell r="M173">
            <v>51113986.600000001</v>
          </cell>
          <cell r="O173">
            <v>0</v>
          </cell>
          <cell r="Q173">
            <v>0</v>
          </cell>
        </row>
        <row r="174">
          <cell r="A174" t="str">
            <v>E6010320277900</v>
          </cell>
          <cell r="C174">
            <v>3092000</v>
          </cell>
          <cell r="D174">
            <v>3092000</v>
          </cell>
          <cell r="E174">
            <v>0</v>
          </cell>
          <cell r="G174">
            <v>801586.98</v>
          </cell>
          <cell r="I174">
            <v>0</v>
          </cell>
          <cell r="K174">
            <v>2290413.02</v>
          </cell>
          <cell r="M174">
            <v>2290413.02</v>
          </cell>
          <cell r="O174">
            <v>0</v>
          </cell>
          <cell r="Q174">
            <v>0</v>
          </cell>
        </row>
        <row r="175">
          <cell r="A175" t="str">
            <v>E6010320278000</v>
          </cell>
          <cell r="C175">
            <v>2051000</v>
          </cell>
          <cell r="D175">
            <v>2051000</v>
          </cell>
          <cell r="E175">
            <v>0</v>
          </cell>
          <cell r="G175">
            <v>563113</v>
          </cell>
          <cell r="I175">
            <v>0</v>
          </cell>
          <cell r="K175">
            <v>1487887</v>
          </cell>
          <cell r="M175">
            <v>1487887</v>
          </cell>
          <cell r="O175">
            <v>0</v>
          </cell>
          <cell r="Q175">
            <v>0</v>
          </cell>
        </row>
        <row r="176">
          <cell r="A176" t="str">
            <v>E6010320278100</v>
          </cell>
          <cell r="C176">
            <v>16835836</v>
          </cell>
          <cell r="D176">
            <v>16835836</v>
          </cell>
          <cell r="E176">
            <v>0</v>
          </cell>
          <cell r="G176">
            <v>2332112.89</v>
          </cell>
          <cell r="I176">
            <v>0</v>
          </cell>
          <cell r="K176">
            <v>14503723.109999999</v>
          </cell>
          <cell r="M176">
            <v>14503723.109999999</v>
          </cell>
          <cell r="O176">
            <v>0</v>
          </cell>
          <cell r="Q176">
            <v>0</v>
          </cell>
        </row>
        <row r="177">
          <cell r="A177" t="str">
            <v>E6010320278300</v>
          </cell>
          <cell r="C177">
            <v>131097456</v>
          </cell>
          <cell r="D177">
            <v>131097456</v>
          </cell>
          <cell r="E177">
            <v>0</v>
          </cell>
          <cell r="G177">
            <v>17220196</v>
          </cell>
          <cell r="I177">
            <v>0</v>
          </cell>
          <cell r="K177">
            <v>113877260</v>
          </cell>
          <cell r="M177">
            <v>113877260</v>
          </cell>
          <cell r="O177">
            <v>0</v>
          </cell>
          <cell r="Q177">
            <v>0</v>
          </cell>
        </row>
        <row r="178">
          <cell r="A178" t="str">
            <v>E6010320278400</v>
          </cell>
          <cell r="C178">
            <v>24731430</v>
          </cell>
          <cell r="D178">
            <v>24731430</v>
          </cell>
          <cell r="E178">
            <v>0</v>
          </cell>
          <cell r="G178">
            <v>2699539.21</v>
          </cell>
          <cell r="I178">
            <v>0</v>
          </cell>
          <cell r="K178">
            <v>22031890.789999999</v>
          </cell>
          <cell r="M178">
            <v>22031890.789999999</v>
          </cell>
          <cell r="O178">
            <v>0</v>
          </cell>
          <cell r="Q178">
            <v>0</v>
          </cell>
        </row>
        <row r="179">
          <cell r="A179" t="str">
            <v>E-602</v>
          </cell>
          <cell r="C179">
            <v>450000000</v>
          </cell>
          <cell r="D179">
            <v>450000000</v>
          </cell>
          <cell r="E179">
            <v>0</v>
          </cell>
          <cell r="G179">
            <v>72500000</v>
          </cell>
          <cell r="I179">
            <v>0</v>
          </cell>
          <cell r="K179">
            <v>377500000</v>
          </cell>
          <cell r="M179">
            <v>337500000</v>
          </cell>
          <cell r="O179">
            <v>0</v>
          </cell>
          <cell r="Q179">
            <v>0</v>
          </cell>
        </row>
        <row r="180">
          <cell r="A180" t="str">
            <v>E-60299</v>
          </cell>
          <cell r="C180">
            <v>450000000</v>
          </cell>
          <cell r="D180">
            <v>450000000</v>
          </cell>
          <cell r="E180">
            <v>0</v>
          </cell>
          <cell r="G180">
            <v>72500000</v>
          </cell>
          <cell r="I180">
            <v>0</v>
          </cell>
          <cell r="K180">
            <v>377500000</v>
          </cell>
          <cell r="M180">
            <v>337500000</v>
          </cell>
          <cell r="O180">
            <v>0</v>
          </cell>
          <cell r="Q180">
            <v>0</v>
          </cell>
        </row>
        <row r="181">
          <cell r="A181" t="str">
            <v>E-603</v>
          </cell>
          <cell r="C181">
            <v>1941897614</v>
          </cell>
          <cell r="D181">
            <v>1941897614</v>
          </cell>
          <cell r="E181">
            <v>0</v>
          </cell>
          <cell r="G181">
            <v>168621454.75999999</v>
          </cell>
          <cell r="I181">
            <v>0</v>
          </cell>
          <cell r="K181">
            <v>1646943725.02</v>
          </cell>
          <cell r="M181">
            <v>1616393256.28</v>
          </cell>
          <cell r="O181">
            <v>126332434.22</v>
          </cell>
          <cell r="Q181">
            <v>126332434.22</v>
          </cell>
        </row>
        <row r="182">
          <cell r="A182" t="str">
            <v>E-60301</v>
          </cell>
          <cell r="C182">
            <v>1491104314</v>
          </cell>
          <cell r="D182">
            <v>1491104314</v>
          </cell>
          <cell r="E182">
            <v>0</v>
          </cell>
          <cell r="G182">
            <v>168621454.75999999</v>
          </cell>
          <cell r="I182">
            <v>0</v>
          </cell>
          <cell r="K182">
            <v>1252311102.6000001</v>
          </cell>
          <cell r="M182">
            <v>1221760633.8599999</v>
          </cell>
          <cell r="O182">
            <v>70171756.640000001</v>
          </cell>
          <cell r="Q182">
            <v>70171756.640000001</v>
          </cell>
        </row>
        <row r="183">
          <cell r="A183" t="str">
            <v>E-60399</v>
          </cell>
          <cell r="C183">
            <v>450793300</v>
          </cell>
          <cell r="D183">
            <v>450793300</v>
          </cell>
          <cell r="E183">
            <v>0</v>
          </cell>
          <cell r="G183">
            <v>0</v>
          </cell>
          <cell r="I183">
            <v>0</v>
          </cell>
          <cell r="K183">
            <v>394632622.41999996</v>
          </cell>
          <cell r="M183">
            <v>394632622.41999996</v>
          </cell>
          <cell r="O183">
            <v>56160677.579999998</v>
          </cell>
          <cell r="Q183">
            <v>56160677.579999998</v>
          </cell>
        </row>
        <row r="184">
          <cell r="A184" t="str">
            <v>E-606</v>
          </cell>
          <cell r="C184">
            <v>267861521.16999999</v>
          </cell>
          <cell r="D184">
            <v>267861521.16999999</v>
          </cell>
          <cell r="E184">
            <v>0</v>
          </cell>
          <cell r="G184">
            <v>79993397.49000001</v>
          </cell>
          <cell r="I184">
            <v>0</v>
          </cell>
          <cell r="K184">
            <v>63908504.909999996</v>
          </cell>
          <cell r="M184">
            <v>63611533.869999997</v>
          </cell>
          <cell r="O184">
            <v>123959618.77</v>
          </cell>
          <cell r="Q184">
            <v>123959618.77</v>
          </cell>
        </row>
        <row r="185">
          <cell r="A185" t="str">
            <v>E-60601</v>
          </cell>
          <cell r="C185">
            <v>195269917.71000001</v>
          </cell>
          <cell r="D185">
            <v>195269917.71000001</v>
          </cell>
          <cell r="E185">
            <v>0</v>
          </cell>
          <cell r="G185">
            <v>43198695.799999997</v>
          </cell>
          <cell r="I185">
            <v>0</v>
          </cell>
          <cell r="K185">
            <v>28111603.140000001</v>
          </cell>
          <cell r="M185">
            <v>28111603.140000001</v>
          </cell>
          <cell r="O185">
            <v>123959618.77</v>
          </cell>
          <cell r="Q185">
            <v>123959618.77</v>
          </cell>
        </row>
        <row r="186">
          <cell r="A186" t="str">
            <v>E-60602</v>
          </cell>
          <cell r="C186">
            <v>72591603.460000008</v>
          </cell>
          <cell r="D186">
            <v>72591603.460000008</v>
          </cell>
          <cell r="E186">
            <v>0</v>
          </cell>
          <cell r="G186">
            <v>36794701.689999998</v>
          </cell>
          <cell r="I186">
            <v>0</v>
          </cell>
          <cell r="K186">
            <v>35796901.769999996</v>
          </cell>
          <cell r="M186">
            <v>35499930.729999997</v>
          </cell>
          <cell r="O186">
            <v>0</v>
          </cell>
          <cell r="Q186">
            <v>0</v>
          </cell>
        </row>
        <row r="187">
          <cell r="A187" t="str">
            <v>E-607</v>
          </cell>
          <cell r="C187">
            <v>407413000</v>
          </cell>
          <cell r="D187">
            <v>407413000</v>
          </cell>
          <cell r="E187">
            <v>0</v>
          </cell>
          <cell r="G187">
            <v>30376750</v>
          </cell>
          <cell r="I187">
            <v>0</v>
          </cell>
          <cell r="K187">
            <v>374877186.58999997</v>
          </cell>
          <cell r="M187">
            <v>344877186.58999997</v>
          </cell>
          <cell r="O187">
            <v>2159063.41</v>
          </cell>
          <cell r="Q187">
            <v>2159063.41</v>
          </cell>
        </row>
        <row r="188">
          <cell r="A188" t="str">
            <v>E-60701</v>
          </cell>
          <cell r="C188">
            <v>407413000</v>
          </cell>
          <cell r="D188">
            <v>407413000</v>
          </cell>
          <cell r="E188">
            <v>0</v>
          </cell>
          <cell r="G188">
            <v>30376750</v>
          </cell>
          <cell r="I188">
            <v>0</v>
          </cell>
          <cell r="K188">
            <v>374877186.59000003</v>
          </cell>
          <cell r="M188">
            <v>344877186.59000003</v>
          </cell>
          <cell r="O188">
            <v>2159063.41</v>
          </cell>
          <cell r="Q188">
            <v>2159063.41</v>
          </cell>
        </row>
        <row r="189">
          <cell r="A189" t="str">
            <v>E6070120577900</v>
          </cell>
          <cell r="C189">
            <v>389032000</v>
          </cell>
          <cell r="D189">
            <v>389032000</v>
          </cell>
          <cell r="E189">
            <v>0</v>
          </cell>
          <cell r="G189">
            <v>30376750</v>
          </cell>
          <cell r="I189">
            <v>0</v>
          </cell>
          <cell r="K189">
            <v>358655250</v>
          </cell>
          <cell r="M189">
            <v>328655250</v>
          </cell>
          <cell r="O189">
            <v>0</v>
          </cell>
          <cell r="Q189">
            <v>0</v>
          </cell>
        </row>
        <row r="190">
          <cell r="A190" t="str">
            <v>E6070120877900</v>
          </cell>
          <cell r="C190">
            <v>15000918</v>
          </cell>
          <cell r="D190">
            <v>15000918</v>
          </cell>
          <cell r="E190">
            <v>0</v>
          </cell>
          <cell r="G190">
            <v>0</v>
          </cell>
          <cell r="I190">
            <v>0</v>
          </cell>
          <cell r="K190">
            <v>12841855.289999999</v>
          </cell>
          <cell r="M190">
            <v>12841855.289999999</v>
          </cell>
          <cell r="O190">
            <v>2159062.71</v>
          </cell>
          <cell r="Q190">
            <v>2159062.71</v>
          </cell>
        </row>
        <row r="191">
          <cell r="A191" t="str">
            <v>E6070123077900</v>
          </cell>
          <cell r="C191">
            <v>3380082</v>
          </cell>
          <cell r="D191">
            <v>3380082</v>
          </cell>
          <cell r="E191">
            <v>0</v>
          </cell>
          <cell r="G191">
            <v>0</v>
          </cell>
          <cell r="I191">
            <v>0</v>
          </cell>
          <cell r="K191">
            <v>3380081.3</v>
          </cell>
          <cell r="M191">
            <v>3380081.3</v>
          </cell>
          <cell r="O191">
            <v>0.7</v>
          </cell>
          <cell r="Q191">
            <v>0.7</v>
          </cell>
        </row>
        <row r="192">
          <cell r="A192" t="str">
            <v>E-7</v>
          </cell>
          <cell r="C192">
            <v>4742400000</v>
          </cell>
          <cell r="D192">
            <v>4742400000</v>
          </cell>
          <cell r="E192">
            <v>0</v>
          </cell>
          <cell r="G192">
            <v>0</v>
          </cell>
          <cell r="I192">
            <v>0</v>
          </cell>
          <cell r="K192">
            <v>0</v>
          </cell>
          <cell r="M192">
            <v>0</v>
          </cell>
          <cell r="O192">
            <v>4742400000</v>
          </cell>
          <cell r="Q192">
            <v>4742400000</v>
          </cell>
        </row>
        <row r="193">
          <cell r="A193" t="str">
            <v>E-701</v>
          </cell>
          <cell r="C193">
            <v>4742400000</v>
          </cell>
          <cell r="D193">
            <v>4742400000</v>
          </cell>
          <cell r="E193">
            <v>0</v>
          </cell>
          <cell r="G193">
            <v>0</v>
          </cell>
          <cell r="I193">
            <v>0</v>
          </cell>
          <cell r="K193">
            <v>0</v>
          </cell>
          <cell r="M193">
            <v>0</v>
          </cell>
          <cell r="O193">
            <v>4742400000</v>
          </cell>
          <cell r="Q193">
            <v>4742400000</v>
          </cell>
        </row>
        <row r="194">
          <cell r="A194" t="str">
            <v>E-70102</v>
          </cell>
          <cell r="C194">
            <v>4742400000</v>
          </cell>
          <cell r="D194">
            <v>4742400000</v>
          </cell>
          <cell r="E194">
            <v>0</v>
          </cell>
          <cell r="G194">
            <v>0</v>
          </cell>
          <cell r="I194">
            <v>0</v>
          </cell>
          <cell r="K194">
            <v>0</v>
          </cell>
          <cell r="M194">
            <v>0</v>
          </cell>
          <cell r="O194">
            <v>4742400000</v>
          </cell>
          <cell r="Q194">
            <v>4742400000</v>
          </cell>
        </row>
        <row r="195">
          <cell r="A195" t="str">
            <v>E7010220078300</v>
          </cell>
          <cell r="C195">
            <v>4742400000</v>
          </cell>
          <cell r="D195">
            <v>4742400000</v>
          </cell>
          <cell r="E195">
            <v>0</v>
          </cell>
          <cell r="G195">
            <v>0</v>
          </cell>
          <cell r="I195">
            <v>0</v>
          </cell>
          <cell r="K195">
            <v>0</v>
          </cell>
          <cell r="M195">
            <v>0</v>
          </cell>
          <cell r="O195">
            <v>4742400000</v>
          </cell>
          <cell r="Q195">
            <v>4742400000</v>
          </cell>
        </row>
        <row r="196">
          <cell r="A196" t="str">
            <v>E7010221078300</v>
          </cell>
          <cell r="C196">
            <v>0</v>
          </cell>
          <cell r="D196">
            <v>0</v>
          </cell>
          <cell r="E196">
            <v>0</v>
          </cell>
          <cell r="G196">
            <v>0</v>
          </cell>
          <cell r="I196">
            <v>0</v>
          </cell>
          <cell r="K196">
            <v>0</v>
          </cell>
          <cell r="M196">
            <v>0</v>
          </cell>
          <cell r="O196">
            <v>0</v>
          </cell>
          <cell r="Q196">
            <v>0</v>
          </cell>
        </row>
        <row r="197">
          <cell r="A197" t="str">
            <v>E-9</v>
          </cell>
          <cell r="C197">
            <v>173212000</v>
          </cell>
          <cell r="D197">
            <v>173212000</v>
          </cell>
          <cell r="E197">
            <v>0</v>
          </cell>
          <cell r="G197">
            <v>0</v>
          </cell>
          <cell r="I197">
            <v>0</v>
          </cell>
          <cell r="K197">
            <v>0</v>
          </cell>
          <cell r="M197">
            <v>0</v>
          </cell>
          <cell r="O197">
            <v>173212000</v>
          </cell>
          <cell r="Q197">
            <v>173212000</v>
          </cell>
        </row>
        <row r="198">
          <cell r="A198" t="str">
            <v>E-902</v>
          </cell>
          <cell r="C198">
            <v>173212000</v>
          </cell>
          <cell r="D198">
            <v>173212000</v>
          </cell>
          <cell r="E198">
            <v>0</v>
          </cell>
          <cell r="G198">
            <v>0</v>
          </cell>
          <cell r="I198">
            <v>0</v>
          </cell>
          <cell r="K198">
            <v>0</v>
          </cell>
          <cell r="M198">
            <v>0</v>
          </cell>
          <cell r="O198">
            <v>173212000</v>
          </cell>
          <cell r="Q198">
            <v>173212000</v>
          </cell>
        </row>
        <row r="199">
          <cell r="A199" t="str">
            <v>E-90201</v>
          </cell>
          <cell r="C199">
            <v>173212000</v>
          </cell>
          <cell r="D199">
            <v>173212000</v>
          </cell>
          <cell r="E199">
            <v>0</v>
          </cell>
          <cell r="G199">
            <v>0</v>
          </cell>
          <cell r="I199">
            <v>0</v>
          </cell>
          <cell r="K199">
            <v>0</v>
          </cell>
          <cell r="M199">
            <v>0</v>
          </cell>
          <cell r="O199">
            <v>173212000</v>
          </cell>
          <cell r="Q199">
            <v>173212000</v>
          </cell>
        </row>
        <row r="200">
          <cell r="A200">
            <v>214</v>
          </cell>
          <cell r="C200">
            <v>134302218983</v>
          </cell>
          <cell r="D200">
            <v>134296244482</v>
          </cell>
          <cell r="E200">
            <v>149586829.28999999</v>
          </cell>
          <cell r="G200">
            <v>10411486751.93</v>
          </cell>
          <cell r="I200">
            <v>582090454.93000007</v>
          </cell>
          <cell r="K200">
            <v>100055772288.44</v>
          </cell>
          <cell r="M200">
            <v>96339145286.530014</v>
          </cell>
          <cell r="O200">
            <v>23103282658.41</v>
          </cell>
          <cell r="Q200">
            <v>23097308157.41</v>
          </cell>
        </row>
        <row r="201">
          <cell r="C201">
            <v>0</v>
          </cell>
          <cell r="D201">
            <v>0</v>
          </cell>
          <cell r="E201">
            <v>0</v>
          </cell>
          <cell r="G201">
            <v>0</v>
          </cell>
          <cell r="I201">
            <v>0</v>
          </cell>
          <cell r="K201">
            <v>0</v>
          </cell>
          <cell r="M201">
            <v>0</v>
          </cell>
          <cell r="O201">
            <v>0</v>
          </cell>
          <cell r="Q201">
            <v>0</v>
          </cell>
        </row>
        <row r="203">
          <cell r="K203" t="str">
            <v>Ejecución Menor al 75%</v>
          </cell>
          <cell r="O203" t="str">
            <v>Disponible Mayor al 25%</v>
          </cell>
        </row>
        <row r="213">
          <cell r="K213"/>
        </row>
        <row r="214">
          <cell r="K214"/>
        </row>
      </sheetData>
      <sheetData sheetId="1"/>
      <sheetData sheetId="2"/>
      <sheetData sheetId="3"/>
      <sheetData sheetId="4"/>
      <sheetData sheetId="5">
        <row r="2">
          <cell r="K2" t="str">
            <v>Devengado</v>
          </cell>
          <cell r="O2" t="str">
            <v>Disp. Pre</v>
          </cell>
        </row>
        <row r="4">
          <cell r="L4">
            <v>0.8231549409519765</v>
          </cell>
          <cell r="P4">
            <v>0.15761843110398804</v>
          </cell>
        </row>
        <row r="5">
          <cell r="L5">
            <v>0.64939564939508154</v>
          </cell>
          <cell r="P5">
            <v>0.16335441250358637</v>
          </cell>
        </row>
        <row r="6">
          <cell r="L6">
            <v>0.68745435030949797</v>
          </cell>
          <cell r="P6">
            <v>4.956981374599656E-2</v>
          </cell>
        </row>
        <row r="7">
          <cell r="L7">
            <v>0.43942429677867412</v>
          </cell>
          <cell r="P7">
            <v>8.727813826385869E-2</v>
          </cell>
        </row>
        <row r="8">
          <cell r="L8">
            <v>0.81690096287220737</v>
          </cell>
          <cell r="P8">
            <v>7.2229351268042127E-2</v>
          </cell>
        </row>
        <row r="9">
          <cell r="L9">
            <v>0</v>
          </cell>
          <cell r="P9">
            <v>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SIGAF"/>
      <sheetName val="Hoja4"/>
      <sheetName val="Resumen por Partida"/>
      <sheetName val="COMPORT. RESUMEN"/>
      <sheetName val="MENSUAL"/>
      <sheetName val="ANALISIS POR PROG"/>
      <sheetName val="Ejecucion por Programa"/>
      <sheetName val="RESUMEN"/>
      <sheetName val="COMPARATIVO"/>
      <sheetName val="proyeccion"/>
    </sheetNames>
    <sheetDataSet>
      <sheetData sheetId="0">
        <row r="4">
          <cell r="A4" t="str">
            <v xml:space="preserve">AL 31 DE ENERO 2019        </v>
          </cell>
        </row>
        <row r="10">
          <cell r="C10">
            <v>135087133000</v>
          </cell>
          <cell r="E10">
            <v>1229762.8999999999</v>
          </cell>
          <cell r="G10">
            <v>22501372742.07</v>
          </cell>
          <cell r="K10">
            <v>12292861912.77</v>
          </cell>
          <cell r="O10">
            <v>99956601394.009995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Apropiación Actual </v>
          </cell>
          <cell r="G5" t="str">
            <v>Compromiso</v>
          </cell>
          <cell r="L5" t="str">
            <v>Devengado</v>
          </cell>
          <cell r="N5" t="str">
            <v xml:space="preserve">Disponible Presupuestario </v>
          </cell>
        </row>
        <row r="6">
          <cell r="B6" t="str">
            <v>PROG 779</v>
          </cell>
          <cell r="D6">
            <v>1.8650549249572126E-2</v>
          </cell>
          <cell r="I6">
            <v>0.14872077289136815</v>
          </cell>
          <cell r="M6">
            <v>9.6284073233280518E-2</v>
          </cell>
          <cell r="O6">
            <v>0.75447345774989893</v>
          </cell>
        </row>
        <row r="7">
          <cell r="B7" t="str">
            <v>PROG 780</v>
          </cell>
          <cell r="D7">
            <v>9.1884953173149361E-3</v>
          </cell>
          <cell r="I7">
            <v>0.14530687459058375</v>
          </cell>
          <cell r="M7">
            <v>9.1333985393464115E-2</v>
          </cell>
          <cell r="O7">
            <v>0.76335914001595218</v>
          </cell>
        </row>
        <row r="8">
          <cell r="B8" t="str">
            <v>PROG 781</v>
          </cell>
          <cell r="D8">
            <v>8.3839126225293423E-2</v>
          </cell>
          <cell r="I8">
            <v>0.14996514199368186</v>
          </cell>
          <cell r="M8">
            <v>9.9762278474957264E-2</v>
          </cell>
          <cell r="O8">
            <v>0.74791195530855648</v>
          </cell>
        </row>
        <row r="9">
          <cell r="B9" t="str">
            <v>PROG 783</v>
          </cell>
          <cell r="D9">
            <v>0.78588711890865282</v>
          </cell>
          <cell r="I9">
            <v>0.17026502524532014</v>
          </cell>
          <cell r="M9">
            <v>8.6451641353202255E-2</v>
          </cell>
          <cell r="O9">
            <v>0.74037981316887724</v>
          </cell>
        </row>
        <row r="10">
          <cell r="B10" t="str">
            <v>PROG 784</v>
          </cell>
          <cell r="D10">
            <v>0.10243471029916669</v>
          </cell>
          <cell r="I10">
            <v>0.15696255746635066</v>
          </cell>
          <cell r="M10">
            <v>0.11772685477350321</v>
          </cell>
          <cell r="O10">
            <v>0.72531058776014623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SIGAF"/>
      <sheetName val="ejecución"/>
      <sheetName val="Resumen partida"/>
      <sheetName val="Hoja4"/>
      <sheetName val="proyeccion"/>
      <sheetName val="Resumen por Partida"/>
      <sheetName val="comport. resumen"/>
      <sheetName val="mensual"/>
    </sheetNames>
    <sheetDataSet>
      <sheetData sheetId="0">
        <row r="10">
          <cell r="C10">
            <v>2519449227</v>
          </cell>
          <cell r="E10">
            <v>1229762.8999999999</v>
          </cell>
          <cell r="G10">
            <v>374694436.30000001</v>
          </cell>
          <cell r="I10">
            <v>84624</v>
          </cell>
          <cell r="K10">
            <v>242582833.88</v>
          </cell>
          <cell r="O10">
            <v>1900857569.9200001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1241247489</v>
          </cell>
          <cell r="E10">
            <v>0</v>
          </cell>
          <cell r="G10">
            <v>180361793.22</v>
          </cell>
          <cell r="I10">
            <v>0</v>
          </cell>
          <cell r="K10">
            <v>113368080.03</v>
          </cell>
          <cell r="O10">
            <v>947517615.75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ion"/>
      <sheetName val="comport.resumen"/>
      <sheetName val="mensual"/>
    </sheetNames>
    <sheetDataSet>
      <sheetData sheetId="0">
        <row r="10">
          <cell r="C10">
            <v>11325587195</v>
          </cell>
          <cell r="E10">
            <v>0</v>
          </cell>
          <cell r="G10">
            <v>1698443291.8599999</v>
          </cell>
          <cell r="I10">
            <v>26735455.469999999</v>
          </cell>
          <cell r="K10">
            <v>1129866383.6400001</v>
          </cell>
          <cell r="O10">
            <v>8470542064.0299997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Presupues Ley vrs Actual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106163237755</v>
          </cell>
          <cell r="E10">
            <v>0</v>
          </cell>
          <cell r="G10">
            <v>18075886356.48</v>
          </cell>
          <cell r="I10">
            <v>308247108.77999997</v>
          </cell>
          <cell r="K10">
            <v>9177986155.2900009</v>
          </cell>
          <cell r="O10">
            <v>78601118134.449997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13837611334</v>
          </cell>
          <cell r="E10">
            <v>0</v>
          </cell>
          <cell r="G10">
            <v>2171986864.21</v>
          </cell>
          <cell r="J10">
            <v>0</v>
          </cell>
          <cell r="K10">
            <v>1629058459.9300001</v>
          </cell>
          <cell r="O10">
            <v>10036566009.860001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3104857000</v>
          </cell>
          <cell r="C10">
            <v>1064850521.0999999</v>
          </cell>
          <cell r="D10">
            <v>817913281.75999999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sigaf"/>
      <sheetName val="RESUMEN"/>
      <sheetName val="GRAF. MENSUALES EJEC. Y DISP."/>
    </sheetNames>
    <sheetDataSet>
      <sheetData sheetId="0">
        <row r="5">
          <cell r="A5" t="str">
            <v>214  - Ministerio de Justicia y Gracia</v>
          </cell>
        </row>
      </sheetData>
      <sheetData sheetId="1"/>
      <sheetData sheetId="2"/>
      <sheetData sheetId="3">
        <row r="2">
          <cell r="B2" t="str">
            <v>Presupuesto Ejecutado (solicitado + comprometido + rec.mercancía + devengado)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886495000</v>
          </cell>
          <cell r="C10">
            <v>344496181.24000001</v>
          </cell>
          <cell r="D10">
            <v>196164904.31</v>
          </cell>
        </row>
      </sheetData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9259897000</v>
          </cell>
          <cell r="C10">
            <v>2809082347.3700004</v>
          </cell>
          <cell r="D10">
            <v>2552094589.6900001</v>
          </cell>
        </row>
      </sheetData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152948794714.44</v>
          </cell>
          <cell r="C10">
            <v>69213232409.300003</v>
          </cell>
          <cell r="D10">
            <v>29520016193.59</v>
          </cell>
        </row>
      </sheetData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13799039000</v>
          </cell>
          <cell r="C10">
            <v>4783423549.5699997</v>
          </cell>
          <cell r="D10">
            <v>3910561059.5099998</v>
          </cell>
          <cell r="E10">
            <v>872862490.06000042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SIGAF"/>
      <sheetName val="Hoja4"/>
      <sheetName val="Resumen por Partida"/>
      <sheetName val="COMPORT. RESUMEN"/>
      <sheetName val="MENSUAL"/>
      <sheetName val="ANALISIS POR PROG"/>
      <sheetName val="Ejecucion por Programa"/>
      <sheetName val="RESUMEN"/>
      <sheetName val="COMPARATIVO"/>
      <sheetName val="proyeccion"/>
    </sheetNames>
    <sheetDataSet>
      <sheetData sheetId="0"/>
      <sheetData sheetId="1"/>
      <sheetData sheetId="2"/>
      <sheetData sheetId="3"/>
      <sheetData sheetId="4"/>
      <sheetData sheetId="5">
        <row r="11">
          <cell r="C11">
            <v>138283902690</v>
          </cell>
          <cell r="K11">
            <v>71503828951.329987</v>
          </cell>
          <cell r="P11">
            <v>0.39196160816901515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Resumen Estado"/>
      <sheetName val="SIGAF"/>
      <sheetName val="Hoja4"/>
      <sheetName val="Resumen por Partida"/>
      <sheetName val="COMPORT. RESUMEN"/>
      <sheetName val="MENSUAL"/>
      <sheetName val="ANALISIS POR PROG"/>
      <sheetName val="Ejecucion por Programa"/>
      <sheetName val="RESUMEN"/>
      <sheetName val="COMPARATIVO"/>
      <sheetName val="proyeccion"/>
    </sheetNames>
    <sheetDataSet>
      <sheetData sheetId="0">
        <row r="4">
          <cell r="A4" t="str">
            <v xml:space="preserve">AL 31 DE JULIO 2018        </v>
          </cell>
        </row>
        <row r="10">
          <cell r="C10">
            <v>138283902690</v>
          </cell>
          <cell r="E10">
            <v>1684656602.49</v>
          </cell>
          <cell r="G10">
            <v>13983910605.030001</v>
          </cell>
          <cell r="K10">
            <v>61624764666.459999</v>
          </cell>
          <cell r="O10">
            <v>60938228290.589996</v>
          </cell>
        </row>
      </sheetData>
      <sheetData sheetId="1"/>
      <sheetData sheetId="2">
        <row r="2">
          <cell r="A2" t="str">
            <v>214</v>
          </cell>
          <cell r="F2">
            <v>138283902690</v>
          </cell>
          <cell r="K2">
            <v>61624764666.459999</v>
          </cell>
          <cell r="M2">
            <v>60938228290.589996</v>
          </cell>
        </row>
        <row r="3">
          <cell r="A3">
            <v>214779</v>
          </cell>
          <cell r="F3">
            <v>2837761000</v>
          </cell>
          <cell r="K3">
            <v>1154788802.04</v>
          </cell>
          <cell r="M3">
            <v>1346188559.78</v>
          </cell>
        </row>
        <row r="4">
          <cell r="A4" t="str">
            <v>21477900</v>
          </cell>
          <cell r="F4">
            <v>1576957000</v>
          </cell>
          <cell r="K4">
            <v>728761258.34000003</v>
          </cell>
          <cell r="M4">
            <v>751315815.65999997</v>
          </cell>
        </row>
        <row r="5">
          <cell r="A5" t="str">
            <v>21477900</v>
          </cell>
          <cell r="F5">
            <v>611601000</v>
          </cell>
          <cell r="K5">
            <v>285217008.57999998</v>
          </cell>
          <cell r="M5">
            <v>326383991.42000002</v>
          </cell>
        </row>
        <row r="6">
          <cell r="A6" t="str">
            <v>21477900</v>
          </cell>
          <cell r="F6">
            <v>611601000</v>
          </cell>
          <cell r="K6">
            <v>285217008.57999998</v>
          </cell>
          <cell r="M6">
            <v>326383991.42000002</v>
          </cell>
        </row>
        <row r="7">
          <cell r="A7" t="str">
            <v>21477900</v>
          </cell>
          <cell r="F7">
            <v>726302000</v>
          </cell>
          <cell r="K7">
            <v>323548175.75999999</v>
          </cell>
          <cell r="M7">
            <v>402753824.24000001</v>
          </cell>
        </row>
        <row r="8">
          <cell r="A8" t="str">
            <v>21477900</v>
          </cell>
          <cell r="F8">
            <v>166085000</v>
          </cell>
          <cell r="K8">
            <v>69158208.75</v>
          </cell>
          <cell r="M8">
            <v>96926791.25</v>
          </cell>
        </row>
        <row r="9">
          <cell r="A9" t="str">
            <v>21477900</v>
          </cell>
          <cell r="F9">
            <v>320119000</v>
          </cell>
          <cell r="K9">
            <v>146154043.43000001</v>
          </cell>
          <cell r="M9">
            <v>173964956.56999999</v>
          </cell>
        </row>
        <row r="10">
          <cell r="A10" t="str">
            <v>21477900</v>
          </cell>
          <cell r="F10">
            <v>85053000</v>
          </cell>
          <cell r="K10">
            <v>83910231.900000006</v>
          </cell>
          <cell r="M10">
            <v>1142768.1000000001</v>
          </cell>
        </row>
        <row r="11">
          <cell r="A11" t="str">
            <v>21477900</v>
          </cell>
          <cell r="F11">
            <v>53833000</v>
          </cell>
          <cell r="K11">
            <v>24323697.789999999</v>
          </cell>
          <cell r="M11">
            <v>29509302.210000001</v>
          </cell>
        </row>
        <row r="12">
          <cell r="A12" t="str">
            <v>21477900</v>
          </cell>
          <cell r="F12">
            <v>101212000</v>
          </cell>
          <cell r="K12">
            <v>1993.89</v>
          </cell>
          <cell r="M12">
            <v>101210006.11</v>
          </cell>
        </row>
        <row r="13">
          <cell r="A13" t="str">
            <v>21477900</v>
          </cell>
          <cell r="F13">
            <v>120578000</v>
          </cell>
          <cell r="K13">
            <v>60525683</v>
          </cell>
          <cell r="M13">
            <v>11278000</v>
          </cell>
        </row>
        <row r="14">
          <cell r="A14" t="str">
            <v>21477900</v>
          </cell>
          <cell r="F14">
            <v>114394000</v>
          </cell>
          <cell r="K14">
            <v>57421812</v>
          </cell>
          <cell r="M14">
            <v>10700000</v>
          </cell>
        </row>
        <row r="15">
          <cell r="A15" t="str">
            <v>21477900</v>
          </cell>
          <cell r="F15">
            <v>6184000</v>
          </cell>
          <cell r="K15">
            <v>3103871</v>
          </cell>
          <cell r="M15">
            <v>578000</v>
          </cell>
        </row>
        <row r="16">
          <cell r="A16" t="str">
            <v>21477900</v>
          </cell>
          <cell r="F16">
            <v>118476000</v>
          </cell>
          <cell r="K16">
            <v>59470391</v>
          </cell>
          <cell r="M16">
            <v>10900000</v>
          </cell>
        </row>
        <row r="17">
          <cell r="A17" t="str">
            <v>21477900</v>
          </cell>
          <cell r="F17">
            <v>62824000</v>
          </cell>
          <cell r="K17">
            <v>31535439</v>
          </cell>
          <cell r="M17">
            <v>5800000</v>
          </cell>
        </row>
        <row r="18">
          <cell r="A18" t="str">
            <v>21477900</v>
          </cell>
          <cell r="F18">
            <v>18551000</v>
          </cell>
          <cell r="K18">
            <v>9311662</v>
          </cell>
          <cell r="M18">
            <v>1700000</v>
          </cell>
        </row>
        <row r="19">
          <cell r="A19" t="str">
            <v>21477900</v>
          </cell>
          <cell r="F19">
            <v>37101000</v>
          </cell>
          <cell r="K19">
            <v>18623290</v>
          </cell>
          <cell r="M19">
            <v>3400000</v>
          </cell>
        </row>
        <row r="20">
          <cell r="A20" t="str">
            <v>21477900</v>
          </cell>
          <cell r="F20">
            <v>421982000</v>
          </cell>
          <cell r="K20">
            <v>150793813.41</v>
          </cell>
          <cell r="M20">
            <v>152644963.75</v>
          </cell>
        </row>
        <row r="21">
          <cell r="A21" t="str">
            <v>21477900</v>
          </cell>
          <cell r="F21">
            <v>148795000</v>
          </cell>
          <cell r="K21">
            <v>57248291.189999998</v>
          </cell>
          <cell r="M21">
            <v>48457025.140000001</v>
          </cell>
        </row>
        <row r="22">
          <cell r="A22" t="str">
            <v>21477900</v>
          </cell>
          <cell r="F22">
            <v>148715000</v>
          </cell>
          <cell r="K22">
            <v>57176916.189999998</v>
          </cell>
          <cell r="M22">
            <v>48448400.140000001</v>
          </cell>
        </row>
        <row r="23">
          <cell r="A23" t="str">
            <v>21477900</v>
          </cell>
          <cell r="F23">
            <v>80000</v>
          </cell>
          <cell r="K23">
            <v>71375</v>
          </cell>
          <cell r="M23">
            <v>8625</v>
          </cell>
        </row>
        <row r="24">
          <cell r="A24" t="str">
            <v>21477900</v>
          </cell>
          <cell r="F24">
            <v>148625000</v>
          </cell>
          <cell r="K24">
            <v>56727807</v>
          </cell>
          <cell r="M24">
            <v>39996800</v>
          </cell>
        </row>
        <row r="25">
          <cell r="A25" t="str">
            <v>21477900</v>
          </cell>
          <cell r="F25">
            <v>6000000</v>
          </cell>
          <cell r="K25">
            <v>2870691</v>
          </cell>
          <cell r="M25">
            <v>1500000</v>
          </cell>
        </row>
        <row r="26">
          <cell r="A26" t="str">
            <v>21477900</v>
          </cell>
          <cell r="F26">
            <v>62000000</v>
          </cell>
          <cell r="K26">
            <v>23650785</v>
          </cell>
          <cell r="M26">
            <v>15500000</v>
          </cell>
        </row>
        <row r="27">
          <cell r="A27" t="str">
            <v>21477900</v>
          </cell>
          <cell r="F27">
            <v>25000</v>
          </cell>
          <cell r="K27">
            <v>16000</v>
          </cell>
          <cell r="M27">
            <v>0</v>
          </cell>
        </row>
        <row r="28">
          <cell r="A28" t="str">
            <v>21477900</v>
          </cell>
          <cell r="F28">
            <v>80000000</v>
          </cell>
          <cell r="K28">
            <v>30162531</v>
          </cell>
          <cell r="M28">
            <v>22647000</v>
          </cell>
        </row>
        <row r="29">
          <cell r="A29" t="str">
            <v>21477900</v>
          </cell>
          <cell r="F29">
            <v>600000</v>
          </cell>
          <cell r="K29">
            <v>27800</v>
          </cell>
          <cell r="M29">
            <v>349800</v>
          </cell>
        </row>
        <row r="30">
          <cell r="A30" t="str">
            <v>21477900</v>
          </cell>
          <cell r="F30">
            <v>12244120</v>
          </cell>
          <cell r="K30">
            <v>8194974</v>
          </cell>
          <cell r="M30">
            <v>800000</v>
          </cell>
        </row>
        <row r="31">
          <cell r="A31" t="str">
            <v>21477900</v>
          </cell>
          <cell r="F31">
            <v>9694120</v>
          </cell>
          <cell r="K31">
            <v>7556980</v>
          </cell>
          <cell r="M31">
            <v>0</v>
          </cell>
        </row>
        <row r="32">
          <cell r="A32" t="str">
            <v>21477900</v>
          </cell>
          <cell r="F32">
            <v>2500000</v>
          </cell>
          <cell r="K32">
            <v>630000</v>
          </cell>
          <cell r="M32">
            <v>800000</v>
          </cell>
        </row>
        <row r="33">
          <cell r="A33" t="str">
            <v>21477900</v>
          </cell>
          <cell r="F33">
            <v>50000</v>
          </cell>
          <cell r="K33">
            <v>7994</v>
          </cell>
          <cell r="M33">
            <v>0</v>
          </cell>
        </row>
        <row r="34">
          <cell r="A34" t="str">
            <v>21477900</v>
          </cell>
          <cell r="F34">
            <v>7440000</v>
          </cell>
          <cell r="K34">
            <v>709288</v>
          </cell>
          <cell r="M34">
            <v>4612104</v>
          </cell>
        </row>
        <row r="35">
          <cell r="A35" t="str">
            <v>21477900</v>
          </cell>
          <cell r="F35">
            <v>1000000</v>
          </cell>
          <cell r="K35">
            <v>0</v>
          </cell>
          <cell r="M35">
            <v>1000000</v>
          </cell>
        </row>
        <row r="36">
          <cell r="A36" t="str">
            <v>21477900</v>
          </cell>
          <cell r="F36">
            <v>6440000</v>
          </cell>
          <cell r="K36">
            <v>709288</v>
          </cell>
          <cell r="M36">
            <v>3612104</v>
          </cell>
        </row>
        <row r="37">
          <cell r="A37" t="str">
            <v>21477900</v>
          </cell>
          <cell r="F37">
            <v>23794000</v>
          </cell>
          <cell r="K37">
            <v>10015824.640000001</v>
          </cell>
          <cell r="M37">
            <v>7842431.0899999999</v>
          </cell>
        </row>
        <row r="38">
          <cell r="A38" t="str">
            <v>21477900</v>
          </cell>
          <cell r="F38">
            <v>100000</v>
          </cell>
          <cell r="K38">
            <v>44110</v>
          </cell>
          <cell r="M38">
            <v>39260</v>
          </cell>
        </row>
        <row r="39">
          <cell r="A39" t="str">
            <v>21477900</v>
          </cell>
          <cell r="F39">
            <v>8694000</v>
          </cell>
          <cell r="K39">
            <v>2988500</v>
          </cell>
          <cell r="M39">
            <v>1683900</v>
          </cell>
        </row>
        <row r="40">
          <cell r="A40" t="str">
            <v>21477900</v>
          </cell>
          <cell r="F40">
            <v>7000000</v>
          </cell>
          <cell r="K40">
            <v>3370126.14</v>
          </cell>
          <cell r="M40">
            <v>2505622.7599999998</v>
          </cell>
        </row>
        <row r="41">
          <cell r="A41" t="str">
            <v>21477900</v>
          </cell>
          <cell r="F41">
            <v>8000000</v>
          </cell>
          <cell r="K41">
            <v>3613088.5</v>
          </cell>
          <cell r="M41">
            <v>3613648.33</v>
          </cell>
        </row>
        <row r="42">
          <cell r="A42" t="str">
            <v>21477900</v>
          </cell>
          <cell r="F42">
            <v>48000000</v>
          </cell>
          <cell r="K42">
            <v>12033832.6</v>
          </cell>
          <cell r="M42">
            <v>33543334.52</v>
          </cell>
        </row>
        <row r="43">
          <cell r="A43" t="str">
            <v>21477900</v>
          </cell>
          <cell r="F43">
            <v>48000000</v>
          </cell>
          <cell r="K43">
            <v>12033832.6</v>
          </cell>
          <cell r="M43">
            <v>33543334.52</v>
          </cell>
        </row>
        <row r="44">
          <cell r="A44" t="str">
            <v>21477900</v>
          </cell>
          <cell r="F44">
            <v>7546880</v>
          </cell>
          <cell r="K44">
            <v>2393504.98</v>
          </cell>
          <cell r="M44">
            <v>2029760</v>
          </cell>
        </row>
        <row r="45">
          <cell r="A45" t="str">
            <v>21477900</v>
          </cell>
          <cell r="F45">
            <v>5000000</v>
          </cell>
          <cell r="K45">
            <v>1640000</v>
          </cell>
          <cell r="M45">
            <v>1580000</v>
          </cell>
        </row>
        <row r="46">
          <cell r="A46" t="str">
            <v>21477900</v>
          </cell>
          <cell r="F46">
            <v>1946880</v>
          </cell>
          <cell r="K46">
            <v>599040</v>
          </cell>
          <cell r="M46">
            <v>149760</v>
          </cell>
        </row>
        <row r="47">
          <cell r="A47" t="str">
            <v>21477900</v>
          </cell>
          <cell r="F47">
            <v>600000</v>
          </cell>
          <cell r="K47">
            <v>154464.98000000001</v>
          </cell>
          <cell r="M47">
            <v>300000</v>
          </cell>
        </row>
        <row r="48">
          <cell r="A48" t="str">
            <v>21477900</v>
          </cell>
          <cell r="F48">
            <v>23037000</v>
          </cell>
          <cell r="K48">
            <v>3270291</v>
          </cell>
          <cell r="M48">
            <v>13063509</v>
          </cell>
        </row>
        <row r="49">
          <cell r="A49" t="str">
            <v>21477900</v>
          </cell>
          <cell r="F49">
            <v>16000000</v>
          </cell>
          <cell r="K49">
            <v>1864691</v>
          </cell>
          <cell r="M49">
            <v>8867309</v>
          </cell>
        </row>
        <row r="50">
          <cell r="A50" t="str">
            <v>21477900</v>
          </cell>
          <cell r="F50">
            <v>150000</v>
          </cell>
          <cell r="K50">
            <v>0</v>
          </cell>
          <cell r="M50">
            <v>150000</v>
          </cell>
        </row>
        <row r="51">
          <cell r="A51" t="str">
            <v>21477900</v>
          </cell>
          <cell r="F51">
            <v>3850000</v>
          </cell>
          <cell r="K51">
            <v>1405600</v>
          </cell>
          <cell r="M51">
            <v>1009200</v>
          </cell>
        </row>
        <row r="52">
          <cell r="A52" t="str">
            <v>21477900</v>
          </cell>
          <cell r="F52">
            <v>337000</v>
          </cell>
          <cell r="K52">
            <v>0</v>
          </cell>
          <cell r="M52">
            <v>337000</v>
          </cell>
        </row>
        <row r="53">
          <cell r="A53" t="str">
            <v>21477900</v>
          </cell>
          <cell r="F53">
            <v>2700000</v>
          </cell>
          <cell r="K53">
            <v>0</v>
          </cell>
          <cell r="M53">
            <v>2700000</v>
          </cell>
        </row>
        <row r="54">
          <cell r="A54" t="str">
            <v>21477900</v>
          </cell>
          <cell r="F54">
            <v>1500000</v>
          </cell>
          <cell r="K54">
            <v>0</v>
          </cell>
          <cell r="M54">
            <v>1500000</v>
          </cell>
        </row>
        <row r="55">
          <cell r="A55" t="str">
            <v>21477900</v>
          </cell>
          <cell r="F55">
            <v>1500000</v>
          </cell>
          <cell r="K55">
            <v>0</v>
          </cell>
          <cell r="M55">
            <v>1500000</v>
          </cell>
        </row>
        <row r="56">
          <cell r="A56" t="str">
            <v>21477900</v>
          </cell>
          <cell r="F56">
            <v>1000000</v>
          </cell>
          <cell r="K56">
            <v>200000</v>
          </cell>
          <cell r="M56">
            <v>800000</v>
          </cell>
        </row>
        <row r="57">
          <cell r="A57" t="str">
            <v>21477900</v>
          </cell>
          <cell r="F57">
            <v>1000000</v>
          </cell>
          <cell r="K57">
            <v>200000</v>
          </cell>
          <cell r="M57">
            <v>800000</v>
          </cell>
        </row>
        <row r="58">
          <cell r="A58" t="str">
            <v>21477900</v>
          </cell>
          <cell r="F58">
            <v>70900000</v>
          </cell>
          <cell r="K58">
            <v>26131762.829999998</v>
          </cell>
          <cell r="M58">
            <v>30978505.670000002</v>
          </cell>
        </row>
        <row r="59">
          <cell r="A59" t="str">
            <v>21477900</v>
          </cell>
          <cell r="F59">
            <v>25925000</v>
          </cell>
          <cell r="K59">
            <v>3994733.27</v>
          </cell>
          <cell r="M59">
            <v>11822253.23</v>
          </cell>
        </row>
        <row r="60">
          <cell r="A60" t="str">
            <v>21477900</v>
          </cell>
          <cell r="F60">
            <v>17000000</v>
          </cell>
          <cell r="K60">
            <v>3510498.27</v>
          </cell>
          <cell r="M60">
            <v>8848988.2300000004</v>
          </cell>
        </row>
        <row r="61">
          <cell r="A61" t="str">
            <v>21477900</v>
          </cell>
          <cell r="F61">
            <v>8000000</v>
          </cell>
          <cell r="K61">
            <v>484235</v>
          </cell>
          <cell r="M61">
            <v>2048265</v>
          </cell>
        </row>
        <row r="62">
          <cell r="A62" t="str">
            <v>21477900</v>
          </cell>
          <cell r="F62">
            <v>500000</v>
          </cell>
          <cell r="K62">
            <v>0</v>
          </cell>
          <cell r="M62">
            <v>500000</v>
          </cell>
        </row>
        <row r="63">
          <cell r="A63" t="str">
            <v>21477900</v>
          </cell>
          <cell r="F63">
            <v>425000</v>
          </cell>
          <cell r="K63">
            <v>0</v>
          </cell>
          <cell r="M63">
            <v>425000</v>
          </cell>
        </row>
        <row r="64">
          <cell r="A64" t="str">
            <v>21477900</v>
          </cell>
          <cell r="F64">
            <v>3500000</v>
          </cell>
          <cell r="K64">
            <v>783712</v>
          </cell>
          <cell r="M64">
            <v>2019455</v>
          </cell>
        </row>
        <row r="65">
          <cell r="A65" t="str">
            <v>21477900</v>
          </cell>
          <cell r="F65">
            <v>3500000</v>
          </cell>
          <cell r="K65">
            <v>783712</v>
          </cell>
          <cell r="M65">
            <v>2019455</v>
          </cell>
        </row>
        <row r="66">
          <cell r="A66" t="str">
            <v>21477900</v>
          </cell>
          <cell r="F66">
            <v>2000000</v>
          </cell>
          <cell r="K66">
            <v>370752</v>
          </cell>
          <cell r="M66">
            <v>1629248</v>
          </cell>
        </row>
        <row r="67">
          <cell r="A67" t="str">
            <v>21477900</v>
          </cell>
          <cell r="F67">
            <v>2000000</v>
          </cell>
          <cell r="K67">
            <v>370752</v>
          </cell>
          <cell r="M67">
            <v>1629248</v>
          </cell>
        </row>
        <row r="68">
          <cell r="A68" t="str">
            <v>21477900</v>
          </cell>
          <cell r="F68">
            <v>4400000</v>
          </cell>
          <cell r="K68">
            <v>360985.85</v>
          </cell>
          <cell r="M68">
            <v>2825014.15</v>
          </cell>
        </row>
        <row r="69">
          <cell r="A69" t="str">
            <v>21477900</v>
          </cell>
          <cell r="F69">
            <v>3580000</v>
          </cell>
          <cell r="K69">
            <v>230985.85</v>
          </cell>
          <cell r="M69">
            <v>2821014.15</v>
          </cell>
        </row>
        <row r="70">
          <cell r="A70" t="str">
            <v>21477900</v>
          </cell>
          <cell r="F70">
            <v>820000</v>
          </cell>
          <cell r="K70">
            <v>130000</v>
          </cell>
          <cell r="M70">
            <v>4000</v>
          </cell>
        </row>
        <row r="71">
          <cell r="A71" t="str">
            <v>21477900</v>
          </cell>
          <cell r="F71">
            <v>35075000</v>
          </cell>
          <cell r="K71">
            <v>20621579.710000001</v>
          </cell>
          <cell r="M71">
            <v>12682535.289999999</v>
          </cell>
        </row>
        <row r="72">
          <cell r="A72" t="str">
            <v>21477900</v>
          </cell>
          <cell r="F72">
            <v>4500000</v>
          </cell>
          <cell r="K72">
            <v>338688.4</v>
          </cell>
          <cell r="M72">
            <v>3818111.6</v>
          </cell>
        </row>
        <row r="73">
          <cell r="A73" t="str">
            <v>21477900</v>
          </cell>
          <cell r="F73">
            <v>4000000</v>
          </cell>
          <cell r="K73">
            <v>0</v>
          </cell>
          <cell r="M73">
            <v>4000000</v>
          </cell>
        </row>
        <row r="74">
          <cell r="A74" t="str">
            <v>21477900</v>
          </cell>
          <cell r="F74">
            <v>22000000</v>
          </cell>
          <cell r="K74">
            <v>19288340.199999999</v>
          </cell>
          <cell r="M74">
            <v>2518004.7999999998</v>
          </cell>
        </row>
        <row r="75">
          <cell r="A75" t="str">
            <v>21477900</v>
          </cell>
          <cell r="F75">
            <v>3575000</v>
          </cell>
          <cell r="K75">
            <v>994551.11</v>
          </cell>
          <cell r="M75">
            <v>2290468.89</v>
          </cell>
        </row>
        <row r="76">
          <cell r="A76" t="str">
            <v>21477900</v>
          </cell>
          <cell r="F76">
            <v>1000000</v>
          </cell>
          <cell r="K76">
            <v>0</v>
          </cell>
          <cell r="M76">
            <v>55950</v>
          </cell>
        </row>
        <row r="77">
          <cell r="A77" t="str">
            <v>21477900</v>
          </cell>
          <cell r="F77">
            <v>5244000</v>
          </cell>
          <cell r="K77">
            <v>2420000</v>
          </cell>
          <cell r="M77">
            <v>2032000</v>
          </cell>
        </row>
        <row r="78">
          <cell r="A78" t="str">
            <v>21477900</v>
          </cell>
          <cell r="F78">
            <v>4650000</v>
          </cell>
          <cell r="K78">
            <v>2420000</v>
          </cell>
          <cell r="M78">
            <v>1438000</v>
          </cell>
        </row>
        <row r="79">
          <cell r="A79" t="str">
            <v>21477900</v>
          </cell>
          <cell r="F79">
            <v>500000</v>
          </cell>
          <cell r="K79">
            <v>0</v>
          </cell>
          <cell r="M79">
            <v>5000</v>
          </cell>
        </row>
        <row r="80">
          <cell r="A80" t="str">
            <v>21477900</v>
          </cell>
          <cell r="F80">
            <v>150000</v>
          </cell>
          <cell r="K80">
            <v>0</v>
          </cell>
          <cell r="M80">
            <v>150000</v>
          </cell>
        </row>
        <row r="81">
          <cell r="A81" t="str">
            <v>21477900</v>
          </cell>
          <cell r="F81">
            <v>800000</v>
          </cell>
          <cell r="K81">
            <v>780000</v>
          </cell>
          <cell r="M81">
            <v>20000</v>
          </cell>
        </row>
        <row r="82">
          <cell r="A82" t="str">
            <v>21477900</v>
          </cell>
          <cell r="F82">
            <v>3000000</v>
          </cell>
          <cell r="K82">
            <v>1640000</v>
          </cell>
          <cell r="M82">
            <v>1063000</v>
          </cell>
        </row>
        <row r="83">
          <cell r="A83" t="str">
            <v>21477900</v>
          </cell>
          <cell r="F83">
            <v>200000</v>
          </cell>
          <cell r="K83">
            <v>0</v>
          </cell>
          <cell r="M83">
            <v>200000</v>
          </cell>
        </row>
        <row r="84">
          <cell r="A84" t="str">
            <v>21477900</v>
          </cell>
          <cell r="F84">
            <v>594000</v>
          </cell>
          <cell r="K84">
            <v>0</v>
          </cell>
          <cell r="M84">
            <v>594000</v>
          </cell>
        </row>
        <row r="85">
          <cell r="A85" t="str">
            <v>21477900</v>
          </cell>
          <cell r="F85">
            <v>594000</v>
          </cell>
          <cell r="K85">
            <v>0</v>
          </cell>
          <cell r="M85">
            <v>594000</v>
          </cell>
        </row>
        <row r="86">
          <cell r="A86" t="str">
            <v>21477900</v>
          </cell>
          <cell r="F86">
            <v>762678000</v>
          </cell>
          <cell r="K86">
            <v>246681967.46000001</v>
          </cell>
          <cell r="M86">
            <v>409217274.69999999</v>
          </cell>
        </row>
        <row r="87">
          <cell r="A87" t="str">
            <v>21477900</v>
          </cell>
          <cell r="F87">
            <v>312265000</v>
          </cell>
          <cell r="K87">
            <v>10133259</v>
          </cell>
          <cell r="M87">
            <v>300000000</v>
          </cell>
        </row>
        <row r="88">
          <cell r="A88" t="str">
            <v>21477900</v>
          </cell>
          <cell r="F88">
            <v>2000000</v>
          </cell>
          <cell r="K88">
            <v>2000000</v>
          </cell>
          <cell r="M88">
            <v>0</v>
          </cell>
        </row>
        <row r="89">
          <cell r="A89" t="str">
            <v>21477900</v>
          </cell>
          <cell r="F89">
            <v>300000000</v>
          </cell>
          <cell r="K89">
            <v>0</v>
          </cell>
          <cell r="M89">
            <v>300000000</v>
          </cell>
        </row>
        <row r="90">
          <cell r="A90" t="str">
            <v>21477900</v>
          </cell>
          <cell r="F90">
            <v>7173000</v>
          </cell>
          <cell r="K90">
            <v>6581323</v>
          </cell>
          <cell r="M90">
            <v>0</v>
          </cell>
        </row>
        <row r="91">
          <cell r="A91" t="str">
            <v>21477900</v>
          </cell>
          <cell r="F91">
            <v>3092000</v>
          </cell>
          <cell r="K91">
            <v>1551936</v>
          </cell>
          <cell r="M91">
            <v>0</v>
          </cell>
        </row>
        <row r="92">
          <cell r="A92" t="str">
            <v>21477900</v>
          </cell>
          <cell r="F92">
            <v>40000000</v>
          </cell>
          <cell r="K92">
            <v>1890127.16</v>
          </cell>
          <cell r="M92">
            <v>15840524</v>
          </cell>
        </row>
        <row r="93">
          <cell r="A93" t="str">
            <v>21477900</v>
          </cell>
          <cell r="F93">
            <v>30000000</v>
          </cell>
          <cell r="K93">
            <v>230651.16</v>
          </cell>
          <cell r="M93">
            <v>7500000</v>
          </cell>
        </row>
        <row r="94">
          <cell r="A94" t="str">
            <v>21477900</v>
          </cell>
          <cell r="F94">
            <v>10000000</v>
          </cell>
          <cell r="K94">
            <v>1659476</v>
          </cell>
          <cell r="M94">
            <v>8340524</v>
          </cell>
        </row>
        <row r="95">
          <cell r="A95" t="str">
            <v>21477900</v>
          </cell>
          <cell r="F95">
            <v>3000000</v>
          </cell>
          <cell r="K95">
            <v>0</v>
          </cell>
          <cell r="M95">
            <v>3000000</v>
          </cell>
        </row>
        <row r="96">
          <cell r="A96" t="str">
            <v>21477900</v>
          </cell>
          <cell r="F96">
            <v>1500000</v>
          </cell>
          <cell r="K96">
            <v>0</v>
          </cell>
          <cell r="M96">
            <v>1500000</v>
          </cell>
        </row>
        <row r="97">
          <cell r="A97" t="str">
            <v>21477900</v>
          </cell>
          <cell r="F97">
            <v>1500000</v>
          </cell>
          <cell r="K97">
            <v>0</v>
          </cell>
          <cell r="M97">
            <v>1500000</v>
          </cell>
        </row>
        <row r="98">
          <cell r="A98" t="str">
            <v>21477900</v>
          </cell>
          <cell r="F98">
            <v>407413000</v>
          </cell>
          <cell r="K98">
            <v>234658581.30000001</v>
          </cell>
          <cell r="M98">
            <v>90376750.700000003</v>
          </cell>
        </row>
        <row r="99">
          <cell r="A99" t="str">
            <v>21477900</v>
          </cell>
          <cell r="F99">
            <v>389032000</v>
          </cell>
          <cell r="K99">
            <v>231278500</v>
          </cell>
          <cell r="M99">
            <v>90376750</v>
          </cell>
        </row>
        <row r="100">
          <cell r="A100" t="str">
            <v>21477900</v>
          </cell>
          <cell r="F100">
            <v>15000918</v>
          </cell>
          <cell r="K100">
            <v>0</v>
          </cell>
          <cell r="M100">
            <v>0</v>
          </cell>
        </row>
        <row r="101">
          <cell r="A101" t="str">
            <v>21477900</v>
          </cell>
          <cell r="F101">
            <v>3380082</v>
          </cell>
          <cell r="K101">
            <v>3380081.3</v>
          </cell>
          <cell r="M101">
            <v>0.7</v>
          </cell>
        </row>
        <row r="102">
          <cell r="A102">
            <v>214780</v>
          </cell>
          <cell r="F102">
            <v>1255933000</v>
          </cell>
          <cell r="K102">
            <v>501787304.44999999</v>
          </cell>
          <cell r="M102">
            <v>649707246.47000003</v>
          </cell>
        </row>
        <row r="103">
          <cell r="A103" t="str">
            <v>21478000</v>
          </cell>
          <cell r="F103">
            <v>1043285000</v>
          </cell>
          <cell r="K103">
            <v>430075245.20999998</v>
          </cell>
          <cell r="M103">
            <v>567840459.78999996</v>
          </cell>
        </row>
        <row r="104">
          <cell r="A104" t="str">
            <v>21478000</v>
          </cell>
          <cell r="F104">
            <v>415877000</v>
          </cell>
          <cell r="K104">
            <v>163491686.75</v>
          </cell>
          <cell r="M104">
            <v>252385313.25</v>
          </cell>
        </row>
        <row r="105">
          <cell r="A105" t="str">
            <v>21478000</v>
          </cell>
          <cell r="F105">
            <v>415877000</v>
          </cell>
          <cell r="K105">
            <v>163491686.75</v>
          </cell>
          <cell r="M105">
            <v>252385313.25</v>
          </cell>
        </row>
        <row r="106">
          <cell r="A106" t="str">
            <v>21478000</v>
          </cell>
          <cell r="F106">
            <v>468875000</v>
          </cell>
          <cell r="K106">
            <v>176919853.46000001</v>
          </cell>
          <cell r="M106">
            <v>291955146.54000002</v>
          </cell>
        </row>
        <row r="107">
          <cell r="A107" t="str">
            <v>21478000</v>
          </cell>
          <cell r="F107">
            <v>79692000</v>
          </cell>
          <cell r="K107">
            <v>37175327.539999999</v>
          </cell>
          <cell r="M107">
            <v>42516672.460000001</v>
          </cell>
        </row>
        <row r="108">
          <cell r="A108" t="str">
            <v>21478000</v>
          </cell>
          <cell r="F108">
            <v>248697000</v>
          </cell>
          <cell r="K108">
            <v>80440108.480000004</v>
          </cell>
          <cell r="M108">
            <v>168256891.52000001</v>
          </cell>
        </row>
        <row r="109">
          <cell r="A109" t="str">
            <v>21478000</v>
          </cell>
          <cell r="F109">
            <v>44290000</v>
          </cell>
          <cell r="K109">
            <v>43877811.079999998</v>
          </cell>
          <cell r="M109">
            <v>412188.92</v>
          </cell>
        </row>
        <row r="110">
          <cell r="A110" t="str">
            <v>21478000</v>
          </cell>
          <cell r="F110">
            <v>31572000</v>
          </cell>
          <cell r="K110">
            <v>15426606.359999999</v>
          </cell>
          <cell r="M110">
            <v>16145393.640000001</v>
          </cell>
        </row>
        <row r="111">
          <cell r="A111" t="str">
            <v>21478000</v>
          </cell>
          <cell r="F111">
            <v>64624000</v>
          </cell>
          <cell r="K111">
            <v>0</v>
          </cell>
          <cell r="M111">
            <v>64624000</v>
          </cell>
        </row>
        <row r="112">
          <cell r="A112" t="str">
            <v>21478000</v>
          </cell>
          <cell r="F112">
            <v>79963000</v>
          </cell>
          <cell r="K112">
            <v>45227916</v>
          </cell>
          <cell r="M112">
            <v>12500000</v>
          </cell>
        </row>
        <row r="113">
          <cell r="A113" t="str">
            <v>21478000</v>
          </cell>
          <cell r="F113">
            <v>75862000</v>
          </cell>
          <cell r="K113">
            <v>42908946</v>
          </cell>
          <cell r="M113">
            <v>12000000</v>
          </cell>
        </row>
        <row r="114">
          <cell r="A114" t="str">
            <v>21478000</v>
          </cell>
          <cell r="F114">
            <v>4101000</v>
          </cell>
          <cell r="K114">
            <v>2318970</v>
          </cell>
          <cell r="M114">
            <v>500000</v>
          </cell>
        </row>
        <row r="115">
          <cell r="A115" t="str">
            <v>21478000</v>
          </cell>
          <cell r="F115">
            <v>78570000</v>
          </cell>
          <cell r="K115">
            <v>44435789</v>
          </cell>
          <cell r="M115">
            <v>11000000</v>
          </cell>
        </row>
        <row r="116">
          <cell r="A116" t="str">
            <v>21478000</v>
          </cell>
          <cell r="F116">
            <v>41663000</v>
          </cell>
          <cell r="K116">
            <v>23565129</v>
          </cell>
          <cell r="M116">
            <v>6000000</v>
          </cell>
        </row>
        <row r="117">
          <cell r="A117" t="str">
            <v>21478000</v>
          </cell>
          <cell r="F117">
            <v>12303000</v>
          </cell>
          <cell r="K117">
            <v>6956886</v>
          </cell>
          <cell r="M117">
            <v>1500000</v>
          </cell>
        </row>
        <row r="118">
          <cell r="A118" t="str">
            <v>21478000</v>
          </cell>
          <cell r="F118">
            <v>24604000</v>
          </cell>
          <cell r="K118">
            <v>13913774</v>
          </cell>
          <cell r="M118">
            <v>3500000</v>
          </cell>
        </row>
        <row r="119">
          <cell r="A119" t="str">
            <v>21478000</v>
          </cell>
          <cell r="F119">
            <v>154113000</v>
          </cell>
          <cell r="K119">
            <v>56962062.549999997</v>
          </cell>
          <cell r="M119">
            <v>55866719.93</v>
          </cell>
        </row>
        <row r="120">
          <cell r="A120" t="str">
            <v>21478000</v>
          </cell>
          <cell r="F120">
            <v>90981290</v>
          </cell>
          <cell r="K120">
            <v>39250508.549999997</v>
          </cell>
          <cell r="M120">
            <v>28951399.93</v>
          </cell>
        </row>
        <row r="121">
          <cell r="A121" t="str">
            <v>21478000</v>
          </cell>
          <cell r="F121">
            <v>74981290</v>
          </cell>
          <cell r="K121">
            <v>32204167.609999999</v>
          </cell>
          <cell r="M121">
            <v>26681290</v>
          </cell>
        </row>
        <row r="122">
          <cell r="A122" t="str">
            <v>21478000</v>
          </cell>
          <cell r="F122">
            <v>16000000</v>
          </cell>
          <cell r="K122">
            <v>7046340.9400000004</v>
          </cell>
          <cell r="M122">
            <v>2270109.9300000002</v>
          </cell>
        </row>
        <row r="123">
          <cell r="A123" t="str">
            <v>21478000</v>
          </cell>
          <cell r="F123">
            <v>22562000</v>
          </cell>
          <cell r="K123">
            <v>7758522</v>
          </cell>
          <cell r="M123">
            <v>9310055</v>
          </cell>
        </row>
        <row r="124">
          <cell r="A124" t="str">
            <v>21478000</v>
          </cell>
          <cell r="F124">
            <v>2000000</v>
          </cell>
          <cell r="K124">
            <v>613105</v>
          </cell>
          <cell r="M124">
            <v>1050400</v>
          </cell>
        </row>
        <row r="125">
          <cell r="A125" t="str">
            <v>21478000</v>
          </cell>
          <cell r="F125">
            <v>6000000</v>
          </cell>
          <cell r="K125">
            <v>1827504</v>
          </cell>
          <cell r="M125">
            <v>2713018</v>
          </cell>
        </row>
        <row r="126">
          <cell r="A126" t="str">
            <v>21478000</v>
          </cell>
          <cell r="F126">
            <v>500000</v>
          </cell>
          <cell r="K126">
            <v>0</v>
          </cell>
          <cell r="M126">
            <v>500000</v>
          </cell>
        </row>
        <row r="127">
          <cell r="A127" t="str">
            <v>21478000</v>
          </cell>
          <cell r="F127">
            <v>14062000</v>
          </cell>
          <cell r="K127">
            <v>5317913</v>
          </cell>
          <cell r="M127">
            <v>5046637</v>
          </cell>
        </row>
        <row r="128">
          <cell r="A128" t="str">
            <v>21478000</v>
          </cell>
          <cell r="F128">
            <v>4175210</v>
          </cell>
          <cell r="K128">
            <v>3013500</v>
          </cell>
          <cell r="M128">
            <v>821210</v>
          </cell>
        </row>
        <row r="129">
          <cell r="A129" t="str">
            <v>21478000</v>
          </cell>
          <cell r="F129">
            <v>1000000</v>
          </cell>
          <cell r="K129">
            <v>24500</v>
          </cell>
          <cell r="M129">
            <v>750000</v>
          </cell>
        </row>
        <row r="130">
          <cell r="A130" t="str">
            <v>21478000</v>
          </cell>
          <cell r="F130">
            <v>169500</v>
          </cell>
          <cell r="K130">
            <v>0</v>
          </cell>
          <cell r="M130">
            <v>54500</v>
          </cell>
        </row>
        <row r="131">
          <cell r="A131" t="str">
            <v>21478000</v>
          </cell>
          <cell r="F131">
            <v>3005710</v>
          </cell>
          <cell r="K131">
            <v>2989000</v>
          </cell>
          <cell r="M131">
            <v>16710</v>
          </cell>
        </row>
        <row r="132">
          <cell r="A132" t="str">
            <v>21478000</v>
          </cell>
          <cell r="F132">
            <v>4800000</v>
          </cell>
          <cell r="K132">
            <v>250000</v>
          </cell>
          <cell r="M132">
            <v>4295000</v>
          </cell>
        </row>
        <row r="133">
          <cell r="A133" t="str">
            <v>21478000</v>
          </cell>
          <cell r="F133">
            <v>3300000</v>
          </cell>
          <cell r="K133">
            <v>0</v>
          </cell>
          <cell r="M133">
            <v>3300000</v>
          </cell>
        </row>
        <row r="134">
          <cell r="A134" t="str">
            <v>21478000</v>
          </cell>
          <cell r="F134">
            <v>1500000</v>
          </cell>
          <cell r="K134">
            <v>250000</v>
          </cell>
          <cell r="M134">
            <v>995000</v>
          </cell>
        </row>
        <row r="135">
          <cell r="A135" t="str">
            <v>21478000</v>
          </cell>
          <cell r="F135">
            <v>9288500</v>
          </cell>
          <cell r="K135">
            <v>3113580</v>
          </cell>
          <cell r="M135">
            <v>1676975</v>
          </cell>
        </row>
        <row r="136">
          <cell r="A136" t="str">
            <v>21478000</v>
          </cell>
          <cell r="F136">
            <v>754000</v>
          </cell>
          <cell r="K136">
            <v>255530</v>
          </cell>
          <cell r="M136">
            <v>127125</v>
          </cell>
        </row>
        <row r="137">
          <cell r="A137" t="str">
            <v>21478000</v>
          </cell>
          <cell r="F137">
            <v>8534500</v>
          </cell>
          <cell r="K137">
            <v>2858050</v>
          </cell>
          <cell r="M137">
            <v>1549850</v>
          </cell>
        </row>
        <row r="138">
          <cell r="A138" t="str">
            <v>21478000</v>
          </cell>
          <cell r="F138">
            <v>4500000</v>
          </cell>
          <cell r="K138">
            <v>1826252</v>
          </cell>
          <cell r="M138">
            <v>1095000</v>
          </cell>
        </row>
        <row r="139">
          <cell r="A139" t="str">
            <v>21478000</v>
          </cell>
          <cell r="F139">
            <v>4500000</v>
          </cell>
          <cell r="K139">
            <v>1826252</v>
          </cell>
          <cell r="M139">
            <v>1095000</v>
          </cell>
        </row>
        <row r="140">
          <cell r="A140" t="str">
            <v>21478000</v>
          </cell>
          <cell r="F140">
            <v>12506000</v>
          </cell>
          <cell r="K140">
            <v>1747200</v>
          </cell>
          <cell r="M140">
            <v>6407000</v>
          </cell>
        </row>
        <row r="141">
          <cell r="A141" t="str">
            <v>21478000</v>
          </cell>
          <cell r="F141">
            <v>12506000</v>
          </cell>
          <cell r="K141">
            <v>1747200</v>
          </cell>
          <cell r="M141">
            <v>6407000</v>
          </cell>
        </row>
        <row r="142">
          <cell r="A142" t="str">
            <v>21478000</v>
          </cell>
          <cell r="F142">
            <v>4600000</v>
          </cell>
          <cell r="K142">
            <v>2500</v>
          </cell>
          <cell r="M142">
            <v>2780080</v>
          </cell>
        </row>
        <row r="143">
          <cell r="A143" t="str">
            <v>21478000</v>
          </cell>
          <cell r="F143">
            <v>600000</v>
          </cell>
          <cell r="K143">
            <v>2500</v>
          </cell>
          <cell r="M143">
            <v>0</v>
          </cell>
        </row>
        <row r="144">
          <cell r="A144" t="str">
            <v>21478000</v>
          </cell>
          <cell r="F144">
            <v>1500000</v>
          </cell>
          <cell r="K144">
            <v>0</v>
          </cell>
          <cell r="M144">
            <v>1500000</v>
          </cell>
        </row>
        <row r="145">
          <cell r="A145" t="str">
            <v>21478000</v>
          </cell>
          <cell r="F145">
            <v>1500000</v>
          </cell>
          <cell r="K145">
            <v>0</v>
          </cell>
          <cell r="M145">
            <v>280080</v>
          </cell>
        </row>
        <row r="146">
          <cell r="A146" t="str">
            <v>21478000</v>
          </cell>
          <cell r="F146">
            <v>1000000</v>
          </cell>
          <cell r="K146">
            <v>0</v>
          </cell>
          <cell r="M146">
            <v>1000000</v>
          </cell>
        </row>
        <row r="147">
          <cell r="A147" t="str">
            <v>21478000</v>
          </cell>
          <cell r="F147">
            <v>200000</v>
          </cell>
          <cell r="K147">
            <v>0</v>
          </cell>
          <cell r="M147">
            <v>155000</v>
          </cell>
        </row>
        <row r="148">
          <cell r="A148" t="str">
            <v>21478000</v>
          </cell>
          <cell r="F148">
            <v>200000</v>
          </cell>
          <cell r="K148">
            <v>0</v>
          </cell>
          <cell r="M148">
            <v>155000</v>
          </cell>
        </row>
        <row r="149">
          <cell r="A149" t="str">
            <v>21478000</v>
          </cell>
          <cell r="F149">
            <v>500000</v>
          </cell>
          <cell r="K149">
            <v>0</v>
          </cell>
          <cell r="M149">
            <v>375000</v>
          </cell>
        </row>
        <row r="150">
          <cell r="A150" t="str">
            <v>21478000</v>
          </cell>
          <cell r="F150">
            <v>500000</v>
          </cell>
          <cell r="K150">
            <v>0</v>
          </cell>
          <cell r="M150">
            <v>375000</v>
          </cell>
        </row>
        <row r="151">
          <cell r="A151" t="str">
            <v>21478000</v>
          </cell>
          <cell r="F151">
            <v>26927000</v>
          </cell>
          <cell r="K151">
            <v>5302232.38</v>
          </cell>
          <cell r="M151">
            <v>6287449.1699999999</v>
          </cell>
        </row>
        <row r="152">
          <cell r="A152" t="str">
            <v>21478000</v>
          </cell>
          <cell r="F152">
            <v>15000000</v>
          </cell>
          <cell r="K152">
            <v>1378895</v>
          </cell>
          <cell r="M152">
            <v>2438970</v>
          </cell>
        </row>
        <row r="153">
          <cell r="A153" t="str">
            <v>21478000</v>
          </cell>
          <cell r="F153">
            <v>5000000</v>
          </cell>
          <cell r="K153">
            <v>1378895</v>
          </cell>
          <cell r="M153">
            <v>2428970</v>
          </cell>
        </row>
        <row r="154">
          <cell r="A154" t="str">
            <v>21478000</v>
          </cell>
          <cell r="F154">
            <v>10000000</v>
          </cell>
          <cell r="K154">
            <v>0</v>
          </cell>
          <cell r="M154">
            <v>10000</v>
          </cell>
        </row>
        <row r="155">
          <cell r="A155" t="str">
            <v>21478000</v>
          </cell>
          <cell r="F155">
            <v>3000000</v>
          </cell>
          <cell r="K155">
            <v>1323525</v>
          </cell>
          <cell r="M155">
            <v>102616</v>
          </cell>
        </row>
        <row r="156">
          <cell r="A156" t="str">
            <v>21478000</v>
          </cell>
          <cell r="F156">
            <v>3000000</v>
          </cell>
          <cell r="K156">
            <v>1323525</v>
          </cell>
          <cell r="M156">
            <v>102616</v>
          </cell>
        </row>
        <row r="157">
          <cell r="A157" t="str">
            <v>21478000</v>
          </cell>
          <cell r="F157">
            <v>827000</v>
          </cell>
          <cell r="K157">
            <v>0</v>
          </cell>
          <cell r="M157">
            <v>827000</v>
          </cell>
        </row>
        <row r="158">
          <cell r="A158" t="str">
            <v>21478000</v>
          </cell>
          <cell r="F158">
            <v>811000</v>
          </cell>
          <cell r="K158">
            <v>0</v>
          </cell>
          <cell r="M158">
            <v>811000</v>
          </cell>
        </row>
        <row r="159">
          <cell r="A159" t="str">
            <v>21478000</v>
          </cell>
          <cell r="F159">
            <v>16000</v>
          </cell>
          <cell r="K159">
            <v>0</v>
          </cell>
          <cell r="M159">
            <v>16000</v>
          </cell>
        </row>
        <row r="160">
          <cell r="A160" t="str">
            <v>21478000</v>
          </cell>
          <cell r="F160">
            <v>3000000</v>
          </cell>
          <cell r="K160">
            <v>910055.38</v>
          </cell>
          <cell r="M160">
            <v>1013444.62</v>
          </cell>
        </row>
        <row r="161">
          <cell r="A161" t="str">
            <v>21478000</v>
          </cell>
          <cell r="F161">
            <v>2000000</v>
          </cell>
          <cell r="K161">
            <v>910055.38</v>
          </cell>
          <cell r="M161">
            <v>13444.62</v>
          </cell>
        </row>
        <row r="162">
          <cell r="A162" t="str">
            <v>21478000</v>
          </cell>
          <cell r="F162">
            <v>1000000</v>
          </cell>
          <cell r="K162">
            <v>0</v>
          </cell>
          <cell r="M162">
            <v>1000000</v>
          </cell>
        </row>
        <row r="163">
          <cell r="A163" t="str">
            <v>21478000</v>
          </cell>
          <cell r="F163">
            <v>5100000</v>
          </cell>
          <cell r="K163">
            <v>1689757</v>
          </cell>
          <cell r="M163">
            <v>1905418.55</v>
          </cell>
        </row>
        <row r="164">
          <cell r="A164" t="str">
            <v>21478000</v>
          </cell>
          <cell r="F164">
            <v>2000000</v>
          </cell>
          <cell r="K164">
            <v>446152</v>
          </cell>
          <cell r="M164">
            <v>49023.55</v>
          </cell>
        </row>
        <row r="165">
          <cell r="A165" t="str">
            <v>21478000</v>
          </cell>
          <cell r="F165">
            <v>2300000</v>
          </cell>
          <cell r="K165">
            <v>1243605</v>
          </cell>
          <cell r="M165">
            <v>1056395</v>
          </cell>
        </row>
        <row r="166">
          <cell r="A166" t="str">
            <v>21478000</v>
          </cell>
          <cell r="F166">
            <v>700000</v>
          </cell>
          <cell r="K166">
            <v>0</v>
          </cell>
          <cell r="M166">
            <v>700000</v>
          </cell>
        </row>
        <row r="167">
          <cell r="A167" t="str">
            <v>21478000</v>
          </cell>
          <cell r="F167">
            <v>100000</v>
          </cell>
          <cell r="K167">
            <v>0</v>
          </cell>
          <cell r="M167">
            <v>100000</v>
          </cell>
        </row>
        <row r="168">
          <cell r="A168" t="str">
            <v>21478000</v>
          </cell>
          <cell r="F168">
            <v>27808000</v>
          </cell>
          <cell r="K168">
            <v>8043204.3899999997</v>
          </cell>
          <cell r="M168">
            <v>17837296.5</v>
          </cell>
        </row>
        <row r="169">
          <cell r="A169" t="str">
            <v>21478000</v>
          </cell>
          <cell r="F169">
            <v>6808000</v>
          </cell>
          <cell r="K169">
            <v>5535382</v>
          </cell>
          <cell r="M169">
            <v>0</v>
          </cell>
        </row>
        <row r="170">
          <cell r="A170" t="str">
            <v>21478000</v>
          </cell>
          <cell r="F170">
            <v>4757000</v>
          </cell>
          <cell r="K170">
            <v>4375904</v>
          </cell>
          <cell r="M170">
            <v>0</v>
          </cell>
        </row>
        <row r="171">
          <cell r="A171" t="str">
            <v>21478000</v>
          </cell>
          <cell r="F171">
            <v>2051000</v>
          </cell>
          <cell r="K171">
            <v>1159478</v>
          </cell>
          <cell r="M171">
            <v>0</v>
          </cell>
        </row>
        <row r="172">
          <cell r="A172" t="str">
            <v>21478000</v>
          </cell>
          <cell r="F172">
            <v>18000000</v>
          </cell>
          <cell r="K172">
            <v>532283.27</v>
          </cell>
          <cell r="M172">
            <v>17437296.5</v>
          </cell>
        </row>
        <row r="173">
          <cell r="A173" t="str">
            <v>21478000</v>
          </cell>
          <cell r="F173">
            <v>11000000</v>
          </cell>
          <cell r="K173">
            <v>219579.77</v>
          </cell>
          <cell r="M173">
            <v>10750000</v>
          </cell>
        </row>
        <row r="174">
          <cell r="A174" t="str">
            <v>21478000</v>
          </cell>
          <cell r="F174">
            <v>7000000</v>
          </cell>
          <cell r="K174">
            <v>312703.5</v>
          </cell>
          <cell r="M174">
            <v>6687296.5</v>
          </cell>
        </row>
        <row r="175">
          <cell r="A175" t="str">
            <v>21478000</v>
          </cell>
          <cell r="F175">
            <v>3000000</v>
          </cell>
          <cell r="K175">
            <v>1975539.12</v>
          </cell>
          <cell r="M175">
            <v>400000</v>
          </cell>
        </row>
        <row r="176">
          <cell r="A176" t="str">
            <v>21478000</v>
          </cell>
          <cell r="F176">
            <v>3000000</v>
          </cell>
          <cell r="K176">
            <v>1975539.12</v>
          </cell>
          <cell r="M176">
            <v>400000</v>
          </cell>
        </row>
        <row r="177">
          <cell r="A177" t="str">
            <v>21478000</v>
          </cell>
          <cell r="F177">
            <v>3800000</v>
          </cell>
          <cell r="K177">
            <v>1404559.92</v>
          </cell>
          <cell r="M177">
            <v>1875321.08</v>
          </cell>
        </row>
        <row r="178">
          <cell r="A178" t="str">
            <v>21478000</v>
          </cell>
          <cell r="F178">
            <v>3800000</v>
          </cell>
          <cell r="K178">
            <v>1404559.92</v>
          </cell>
          <cell r="M178">
            <v>1875321.08</v>
          </cell>
        </row>
        <row r="179">
          <cell r="A179" t="str">
            <v>21478000</v>
          </cell>
          <cell r="F179">
            <v>1020000</v>
          </cell>
          <cell r="K179">
            <v>1015139.92</v>
          </cell>
          <cell r="M179">
            <v>4860.08</v>
          </cell>
        </row>
        <row r="180">
          <cell r="A180" t="str">
            <v>21478000</v>
          </cell>
          <cell r="F180">
            <v>1980000</v>
          </cell>
          <cell r="K180">
            <v>346520</v>
          </cell>
          <cell r="M180">
            <v>1408480</v>
          </cell>
        </row>
        <row r="181">
          <cell r="A181" t="str">
            <v>21478000</v>
          </cell>
          <cell r="F181">
            <v>300000</v>
          </cell>
          <cell r="K181">
            <v>0</v>
          </cell>
          <cell r="M181">
            <v>4881</v>
          </cell>
        </row>
        <row r="182">
          <cell r="A182" t="str">
            <v>21478000</v>
          </cell>
          <cell r="F182">
            <v>500000</v>
          </cell>
          <cell r="K182">
            <v>42900</v>
          </cell>
          <cell r="M182">
            <v>457100</v>
          </cell>
        </row>
        <row r="183">
          <cell r="A183">
            <v>214781</v>
          </cell>
          <cell r="F183">
            <v>11471881000</v>
          </cell>
          <cell r="K183">
            <v>5099646516.2700005</v>
          </cell>
          <cell r="M183">
            <v>5211843429.1199999</v>
          </cell>
        </row>
        <row r="184">
          <cell r="A184" t="str">
            <v>21478100</v>
          </cell>
          <cell r="F184">
            <v>9238864822</v>
          </cell>
          <cell r="K184">
            <v>4554962646.2299995</v>
          </cell>
          <cell r="M184">
            <v>4069348403.77</v>
          </cell>
        </row>
        <row r="185">
          <cell r="A185" t="str">
            <v>21478100</v>
          </cell>
          <cell r="F185">
            <v>3240793934</v>
          </cell>
          <cell r="K185">
            <v>1592720763.1199999</v>
          </cell>
          <cell r="M185">
            <v>1648073170.8800001</v>
          </cell>
        </row>
        <row r="186">
          <cell r="A186" t="str">
            <v>21478100</v>
          </cell>
          <cell r="F186">
            <v>3235793934</v>
          </cell>
          <cell r="K186">
            <v>1592720763.1199999</v>
          </cell>
          <cell r="M186">
            <v>1643073170.8800001</v>
          </cell>
        </row>
        <row r="187">
          <cell r="A187" t="str">
            <v>21478100</v>
          </cell>
          <cell r="F187">
            <v>5000000</v>
          </cell>
          <cell r="K187">
            <v>0</v>
          </cell>
          <cell r="M187">
            <v>5000000</v>
          </cell>
        </row>
        <row r="188">
          <cell r="A188" t="str">
            <v>21478100</v>
          </cell>
          <cell r="F188">
            <v>14000000</v>
          </cell>
          <cell r="K188">
            <v>6052122.6299999999</v>
          </cell>
          <cell r="M188">
            <v>7947877.3700000001</v>
          </cell>
        </row>
        <row r="189">
          <cell r="A189" t="str">
            <v>21478100</v>
          </cell>
          <cell r="F189">
            <v>14000000</v>
          </cell>
          <cell r="K189">
            <v>6052122.6299999999</v>
          </cell>
          <cell r="M189">
            <v>7947877.3700000001</v>
          </cell>
        </row>
        <row r="190">
          <cell r="A190" t="str">
            <v>21478100</v>
          </cell>
          <cell r="F190">
            <v>4583128253</v>
          </cell>
          <cell r="K190">
            <v>2228526923.48</v>
          </cell>
          <cell r="M190">
            <v>2354601329.52</v>
          </cell>
        </row>
        <row r="191">
          <cell r="A191" t="str">
            <v>21478100</v>
          </cell>
          <cell r="F191">
            <v>846207492</v>
          </cell>
          <cell r="K191">
            <v>424453226</v>
          </cell>
          <cell r="M191">
            <v>421754266</v>
          </cell>
        </row>
        <row r="192">
          <cell r="A192" t="str">
            <v>21478100</v>
          </cell>
          <cell r="F192">
            <v>2112164825</v>
          </cell>
          <cell r="K192">
            <v>1050857698.2</v>
          </cell>
          <cell r="M192">
            <v>1061307126.8</v>
          </cell>
        </row>
        <row r="193">
          <cell r="A193" t="str">
            <v>21478100</v>
          </cell>
          <cell r="F193">
            <v>455146000</v>
          </cell>
          <cell r="K193">
            <v>453493393.94</v>
          </cell>
          <cell r="M193">
            <v>1652606.06</v>
          </cell>
        </row>
        <row r="194">
          <cell r="A194" t="str">
            <v>21478100</v>
          </cell>
          <cell r="F194">
            <v>587379302</v>
          </cell>
          <cell r="K194">
            <v>299722605.33999997</v>
          </cell>
          <cell r="M194">
            <v>287656696.66000003</v>
          </cell>
        </row>
        <row r="195">
          <cell r="A195" t="str">
            <v>21478100</v>
          </cell>
          <cell r="F195">
            <v>582230634</v>
          </cell>
          <cell r="K195">
            <v>0</v>
          </cell>
          <cell r="M195">
            <v>582230634</v>
          </cell>
        </row>
        <row r="196">
          <cell r="A196" t="str">
            <v>21478100</v>
          </cell>
          <cell r="F196">
            <v>706631069</v>
          </cell>
          <cell r="K196">
            <v>372434184</v>
          </cell>
          <cell r="M196">
            <v>24665223</v>
          </cell>
        </row>
        <row r="197">
          <cell r="A197" t="str">
            <v>21478100</v>
          </cell>
          <cell r="F197">
            <v>670393296</v>
          </cell>
          <cell r="K197">
            <v>353335126</v>
          </cell>
          <cell r="M197">
            <v>22887520</v>
          </cell>
        </row>
        <row r="198">
          <cell r="A198" t="str">
            <v>21478100</v>
          </cell>
          <cell r="F198">
            <v>36237773</v>
          </cell>
          <cell r="K198">
            <v>19099058</v>
          </cell>
          <cell r="M198">
            <v>1777703</v>
          </cell>
        </row>
        <row r="199">
          <cell r="A199" t="str">
            <v>21478100</v>
          </cell>
          <cell r="F199">
            <v>694311566</v>
          </cell>
          <cell r="K199">
            <v>355228653</v>
          </cell>
          <cell r="M199">
            <v>34060803</v>
          </cell>
        </row>
        <row r="200">
          <cell r="A200" t="str">
            <v>21478100</v>
          </cell>
          <cell r="F200">
            <v>368172611</v>
          </cell>
          <cell r="K200">
            <v>183337194</v>
          </cell>
          <cell r="M200">
            <v>18061470</v>
          </cell>
        </row>
        <row r="201">
          <cell r="A201" t="str">
            <v>21478100</v>
          </cell>
          <cell r="F201">
            <v>108713318</v>
          </cell>
          <cell r="K201">
            <v>57297150</v>
          </cell>
          <cell r="M201">
            <v>5333111</v>
          </cell>
        </row>
        <row r="202">
          <cell r="A202" t="str">
            <v>21478100</v>
          </cell>
          <cell r="F202">
            <v>217425637</v>
          </cell>
          <cell r="K202">
            <v>114594309</v>
          </cell>
          <cell r="M202">
            <v>10666222</v>
          </cell>
        </row>
        <row r="203">
          <cell r="A203" t="str">
            <v>21478100</v>
          </cell>
          <cell r="F203">
            <v>1443150000</v>
          </cell>
          <cell r="K203">
            <v>377975923.14999998</v>
          </cell>
          <cell r="M203">
            <v>787987425.76999998</v>
          </cell>
        </row>
        <row r="204">
          <cell r="A204" t="str">
            <v>21478100</v>
          </cell>
          <cell r="F204">
            <v>383524000</v>
          </cell>
          <cell r="K204">
            <v>123532023.29000001</v>
          </cell>
          <cell r="M204">
            <v>171591423.72</v>
          </cell>
        </row>
        <row r="205">
          <cell r="A205" t="str">
            <v>21478100</v>
          </cell>
          <cell r="F205">
            <v>225666000</v>
          </cell>
          <cell r="K205">
            <v>68599951.969999999</v>
          </cell>
          <cell r="M205">
            <v>108511688.2</v>
          </cell>
        </row>
        <row r="206">
          <cell r="A206" t="str">
            <v>21478100</v>
          </cell>
          <cell r="F206">
            <v>6984000</v>
          </cell>
          <cell r="K206">
            <v>1424267.43</v>
          </cell>
          <cell r="M206">
            <v>4272948.47</v>
          </cell>
        </row>
        <row r="207">
          <cell r="A207" t="str">
            <v>21478100</v>
          </cell>
          <cell r="F207">
            <v>111200000</v>
          </cell>
          <cell r="K207">
            <v>41885869.530000001</v>
          </cell>
          <cell r="M207">
            <v>41337923.759999998</v>
          </cell>
        </row>
        <row r="208">
          <cell r="A208" t="str">
            <v>21478100</v>
          </cell>
          <cell r="F208">
            <v>4571000</v>
          </cell>
          <cell r="K208">
            <v>768897</v>
          </cell>
          <cell r="M208">
            <v>3392750</v>
          </cell>
        </row>
        <row r="209">
          <cell r="A209" t="str">
            <v>21478100</v>
          </cell>
          <cell r="F209">
            <v>35103000</v>
          </cell>
          <cell r="K209">
            <v>10853037.359999999</v>
          </cell>
          <cell r="M209">
            <v>14076113.289999999</v>
          </cell>
        </row>
        <row r="210">
          <cell r="A210" t="str">
            <v>21478100</v>
          </cell>
          <cell r="F210">
            <v>152420000</v>
          </cell>
          <cell r="K210">
            <v>46183657.299999997</v>
          </cell>
          <cell r="M210">
            <v>82927047.359999999</v>
          </cell>
        </row>
        <row r="211">
          <cell r="A211" t="str">
            <v>21478100</v>
          </cell>
          <cell r="F211">
            <v>20500000</v>
          </cell>
          <cell r="K211">
            <v>7393462</v>
          </cell>
          <cell r="M211">
            <v>11839702</v>
          </cell>
        </row>
        <row r="212">
          <cell r="A212" t="str">
            <v>21478100</v>
          </cell>
          <cell r="F212">
            <v>54000000</v>
          </cell>
          <cell r="K212">
            <v>18906585</v>
          </cell>
          <cell r="M212">
            <v>24000000</v>
          </cell>
        </row>
        <row r="213">
          <cell r="A213" t="str">
            <v>21478100</v>
          </cell>
          <cell r="F213">
            <v>16400000</v>
          </cell>
          <cell r="K213">
            <v>1796445</v>
          </cell>
          <cell r="M213">
            <v>14287865</v>
          </cell>
        </row>
        <row r="214">
          <cell r="A214" t="str">
            <v>21478100</v>
          </cell>
          <cell r="F214">
            <v>56520000</v>
          </cell>
          <cell r="K214">
            <v>15628175.699999999</v>
          </cell>
          <cell r="M214">
            <v>30259480.359999999</v>
          </cell>
        </row>
        <row r="215">
          <cell r="A215" t="str">
            <v>21478100</v>
          </cell>
          <cell r="F215">
            <v>5000000</v>
          </cell>
          <cell r="K215">
            <v>2458989.6</v>
          </cell>
          <cell r="M215">
            <v>2540000</v>
          </cell>
        </row>
        <row r="216">
          <cell r="A216" t="str">
            <v>21478100</v>
          </cell>
          <cell r="F216">
            <v>11449000</v>
          </cell>
          <cell r="K216">
            <v>1049602.78</v>
          </cell>
          <cell r="M216">
            <v>6272695.7000000002</v>
          </cell>
        </row>
        <row r="217">
          <cell r="A217" t="str">
            <v>21478100</v>
          </cell>
          <cell r="F217">
            <v>1000000</v>
          </cell>
          <cell r="K217">
            <v>119740</v>
          </cell>
          <cell r="M217">
            <v>750000</v>
          </cell>
        </row>
        <row r="218">
          <cell r="A218" t="str">
            <v>21478100</v>
          </cell>
          <cell r="F218">
            <v>3100000</v>
          </cell>
          <cell r="K218">
            <v>232203</v>
          </cell>
          <cell r="M218">
            <v>2675580</v>
          </cell>
        </row>
        <row r="219">
          <cell r="A219" t="str">
            <v>21478100</v>
          </cell>
          <cell r="F219">
            <v>600000</v>
          </cell>
          <cell r="K219">
            <v>0</v>
          </cell>
          <cell r="M219">
            <v>600000</v>
          </cell>
        </row>
        <row r="220">
          <cell r="A220" t="str">
            <v>21478100</v>
          </cell>
          <cell r="F220">
            <v>200000</v>
          </cell>
          <cell r="K220">
            <v>47571.5</v>
          </cell>
          <cell r="M220">
            <v>100000</v>
          </cell>
        </row>
        <row r="221">
          <cell r="A221" t="str">
            <v>21478100</v>
          </cell>
          <cell r="F221">
            <v>6549000</v>
          </cell>
          <cell r="K221">
            <v>650088.28</v>
          </cell>
          <cell r="M221">
            <v>2147115.7000000002</v>
          </cell>
        </row>
        <row r="222">
          <cell r="A222" t="str">
            <v>21478100</v>
          </cell>
          <cell r="F222">
            <v>636035000</v>
          </cell>
          <cell r="K222">
            <v>144215660.75999999</v>
          </cell>
          <cell r="M222">
            <v>357678156.18000001</v>
          </cell>
        </row>
        <row r="223">
          <cell r="A223" t="str">
            <v>21478100</v>
          </cell>
          <cell r="F223">
            <v>2000000</v>
          </cell>
          <cell r="K223">
            <v>18275</v>
          </cell>
          <cell r="M223">
            <v>1975000</v>
          </cell>
        </row>
        <row r="224">
          <cell r="A224" t="str">
            <v>21478100</v>
          </cell>
          <cell r="F224">
            <v>269090000</v>
          </cell>
          <cell r="K224">
            <v>1395973.45</v>
          </cell>
          <cell r="M224">
            <v>250732050.08000001</v>
          </cell>
        </row>
        <row r="225">
          <cell r="A225" t="str">
            <v>21478100</v>
          </cell>
          <cell r="F225">
            <v>3000000</v>
          </cell>
          <cell r="K225">
            <v>0</v>
          </cell>
          <cell r="M225">
            <v>3000000</v>
          </cell>
        </row>
        <row r="226">
          <cell r="A226" t="str">
            <v>21478100</v>
          </cell>
          <cell r="F226">
            <v>347095000</v>
          </cell>
          <cell r="K226">
            <v>141033949.75</v>
          </cell>
          <cell r="M226">
            <v>91896501.340000004</v>
          </cell>
        </row>
        <row r="227">
          <cell r="A227" t="str">
            <v>21478100</v>
          </cell>
          <cell r="F227">
            <v>14850000</v>
          </cell>
          <cell r="K227">
            <v>1767462.56</v>
          </cell>
          <cell r="M227">
            <v>10074604.76</v>
          </cell>
        </row>
        <row r="228">
          <cell r="A228" t="str">
            <v>21478100</v>
          </cell>
          <cell r="F228">
            <v>45750000</v>
          </cell>
          <cell r="K228">
            <v>20915846.390000001</v>
          </cell>
          <cell r="M228">
            <v>14088830.119999999</v>
          </cell>
        </row>
        <row r="229">
          <cell r="A229" t="str">
            <v>21478100</v>
          </cell>
          <cell r="F229">
            <v>1250000</v>
          </cell>
          <cell r="K229">
            <v>565245</v>
          </cell>
          <cell r="M229">
            <v>576335</v>
          </cell>
        </row>
        <row r="230">
          <cell r="A230" t="str">
            <v>21478100</v>
          </cell>
          <cell r="F230">
            <v>34000000</v>
          </cell>
          <cell r="K230">
            <v>16053650</v>
          </cell>
          <cell r="M230">
            <v>7453000</v>
          </cell>
        </row>
        <row r="231">
          <cell r="A231" t="str">
            <v>21478100</v>
          </cell>
          <cell r="F231">
            <v>3000000</v>
          </cell>
          <cell r="K231">
            <v>1518511.7</v>
          </cell>
          <cell r="M231">
            <v>1464022.29</v>
          </cell>
        </row>
        <row r="232">
          <cell r="A232" t="str">
            <v>21478100</v>
          </cell>
          <cell r="F232">
            <v>7500000</v>
          </cell>
          <cell r="K232">
            <v>2778439.69</v>
          </cell>
          <cell r="M232">
            <v>4595472.83</v>
          </cell>
        </row>
        <row r="233">
          <cell r="A233" t="str">
            <v>21478100</v>
          </cell>
          <cell r="F233">
            <v>91000000</v>
          </cell>
          <cell r="K233">
            <v>13887705</v>
          </cell>
          <cell r="M233">
            <v>76485212</v>
          </cell>
        </row>
        <row r="234">
          <cell r="A234" t="str">
            <v>21478100</v>
          </cell>
          <cell r="F234">
            <v>91000000</v>
          </cell>
          <cell r="K234">
            <v>13887705</v>
          </cell>
          <cell r="M234">
            <v>76485212</v>
          </cell>
        </row>
        <row r="235">
          <cell r="A235" t="str">
            <v>21478100</v>
          </cell>
          <cell r="F235">
            <v>6000000</v>
          </cell>
          <cell r="K235">
            <v>954561</v>
          </cell>
          <cell r="M235">
            <v>3820439</v>
          </cell>
        </row>
        <row r="236">
          <cell r="A236" t="str">
            <v>21478100</v>
          </cell>
          <cell r="F236">
            <v>6000000</v>
          </cell>
          <cell r="K236">
            <v>954561</v>
          </cell>
          <cell r="M236">
            <v>3820439</v>
          </cell>
        </row>
        <row r="237">
          <cell r="A237" t="str">
            <v>21478100</v>
          </cell>
          <cell r="F237">
            <v>113272000</v>
          </cell>
          <cell r="K237">
            <v>27236466.629999999</v>
          </cell>
          <cell r="M237">
            <v>71479872.689999998</v>
          </cell>
        </row>
        <row r="238">
          <cell r="A238" t="str">
            <v>21478100</v>
          </cell>
          <cell r="F238">
            <v>19900000</v>
          </cell>
          <cell r="K238">
            <v>2003986.24</v>
          </cell>
          <cell r="M238">
            <v>13514013.76</v>
          </cell>
        </row>
        <row r="239">
          <cell r="A239" t="str">
            <v>21478100</v>
          </cell>
          <cell r="F239">
            <v>4750000</v>
          </cell>
          <cell r="K239">
            <v>2544144.11</v>
          </cell>
          <cell r="M239">
            <v>1422545.89</v>
          </cell>
        </row>
        <row r="240">
          <cell r="A240" t="str">
            <v>21478100</v>
          </cell>
          <cell r="F240">
            <v>28300000</v>
          </cell>
          <cell r="K240">
            <v>4920999</v>
          </cell>
          <cell r="M240">
            <v>22275263</v>
          </cell>
        </row>
        <row r="241">
          <cell r="A241" t="str">
            <v>21478100</v>
          </cell>
          <cell r="F241">
            <v>8900000</v>
          </cell>
          <cell r="K241">
            <v>2344658.9</v>
          </cell>
          <cell r="M241">
            <v>5322700.0199999996</v>
          </cell>
        </row>
        <row r="242">
          <cell r="A242" t="str">
            <v>21478100</v>
          </cell>
          <cell r="F242">
            <v>13062000</v>
          </cell>
          <cell r="K242">
            <v>3262196.8</v>
          </cell>
          <cell r="M242">
            <v>7998000</v>
          </cell>
        </row>
        <row r="243">
          <cell r="A243" t="str">
            <v>21478100</v>
          </cell>
          <cell r="F243">
            <v>35260000</v>
          </cell>
          <cell r="K243">
            <v>9864034.8900000006</v>
          </cell>
          <cell r="M243">
            <v>20722835.609999999</v>
          </cell>
        </row>
        <row r="244">
          <cell r="A244" t="str">
            <v>21478100</v>
          </cell>
          <cell r="F244">
            <v>3100000</v>
          </cell>
          <cell r="K244">
            <v>2296446.69</v>
          </cell>
          <cell r="M244">
            <v>224514.41</v>
          </cell>
        </row>
        <row r="245">
          <cell r="A245" t="str">
            <v>21478100</v>
          </cell>
          <cell r="F245">
            <v>1550000</v>
          </cell>
          <cell r="K245">
            <v>400</v>
          </cell>
          <cell r="M245">
            <v>1525000</v>
          </cell>
        </row>
        <row r="246">
          <cell r="A246" t="str">
            <v>21478100</v>
          </cell>
          <cell r="F246">
            <v>1550000</v>
          </cell>
          <cell r="K246">
            <v>400</v>
          </cell>
          <cell r="M246">
            <v>1525000</v>
          </cell>
        </row>
        <row r="247">
          <cell r="A247" t="str">
            <v>21478100</v>
          </cell>
          <cell r="F247">
            <v>2150000</v>
          </cell>
          <cell r="K247">
            <v>0</v>
          </cell>
          <cell r="M247">
            <v>2118749</v>
          </cell>
        </row>
        <row r="248">
          <cell r="A248" t="str">
            <v>21478100</v>
          </cell>
          <cell r="F248">
            <v>150000</v>
          </cell>
          <cell r="K248">
            <v>0</v>
          </cell>
          <cell r="M248">
            <v>118749</v>
          </cell>
        </row>
        <row r="249">
          <cell r="A249" t="str">
            <v>21478100</v>
          </cell>
          <cell r="F249">
            <v>2000000</v>
          </cell>
          <cell r="K249">
            <v>0</v>
          </cell>
          <cell r="M249">
            <v>2000000</v>
          </cell>
        </row>
        <row r="250">
          <cell r="A250" t="str">
            <v>21478100</v>
          </cell>
          <cell r="F250">
            <v>69132000</v>
          </cell>
          <cell r="K250">
            <v>22053169.02</v>
          </cell>
          <cell r="M250">
            <v>39823255.75</v>
          </cell>
        </row>
        <row r="251">
          <cell r="A251" t="str">
            <v>21478100</v>
          </cell>
          <cell r="F251">
            <v>35750000</v>
          </cell>
          <cell r="K251">
            <v>11630624.83</v>
          </cell>
          <cell r="M251">
            <v>22278147.77</v>
          </cell>
        </row>
        <row r="252">
          <cell r="A252" t="str">
            <v>21478100</v>
          </cell>
          <cell r="F252">
            <v>30200000</v>
          </cell>
          <cell r="K252">
            <v>10680414.6</v>
          </cell>
          <cell r="M252">
            <v>17678358</v>
          </cell>
        </row>
        <row r="253">
          <cell r="A253" t="str">
            <v>21478100</v>
          </cell>
          <cell r="F253">
            <v>7000</v>
          </cell>
          <cell r="K253">
            <v>0</v>
          </cell>
          <cell r="M253">
            <v>7000</v>
          </cell>
        </row>
        <row r="254">
          <cell r="A254" t="str">
            <v>21478100</v>
          </cell>
          <cell r="F254">
            <v>5415000</v>
          </cell>
          <cell r="K254">
            <v>950210.23</v>
          </cell>
          <cell r="M254">
            <v>4464789.7699999996</v>
          </cell>
        </row>
        <row r="255">
          <cell r="A255" t="str">
            <v>21478100</v>
          </cell>
          <cell r="F255">
            <v>128000</v>
          </cell>
          <cell r="K255">
            <v>0</v>
          </cell>
          <cell r="M255">
            <v>128000</v>
          </cell>
        </row>
        <row r="256">
          <cell r="A256" t="str">
            <v>21478100</v>
          </cell>
          <cell r="F256">
            <v>3275000</v>
          </cell>
          <cell r="K256">
            <v>25950</v>
          </cell>
          <cell r="M256">
            <v>3249050</v>
          </cell>
        </row>
        <row r="257">
          <cell r="A257" t="str">
            <v>21478100</v>
          </cell>
          <cell r="F257">
            <v>437000</v>
          </cell>
          <cell r="K257">
            <v>25950</v>
          </cell>
          <cell r="M257">
            <v>411050</v>
          </cell>
        </row>
        <row r="258">
          <cell r="A258" t="str">
            <v>21478100</v>
          </cell>
          <cell r="F258">
            <v>120000</v>
          </cell>
          <cell r="K258">
            <v>0</v>
          </cell>
          <cell r="M258">
            <v>120000</v>
          </cell>
        </row>
        <row r="259">
          <cell r="A259" t="str">
            <v>21478100</v>
          </cell>
          <cell r="F259">
            <v>88000</v>
          </cell>
          <cell r="K259">
            <v>0</v>
          </cell>
          <cell r="M259">
            <v>88000</v>
          </cell>
        </row>
        <row r="260">
          <cell r="A260" t="str">
            <v>21478100</v>
          </cell>
          <cell r="F260">
            <v>1750000</v>
          </cell>
          <cell r="K260">
            <v>0</v>
          </cell>
          <cell r="M260">
            <v>1750000</v>
          </cell>
        </row>
        <row r="261">
          <cell r="A261" t="str">
            <v>21478100</v>
          </cell>
          <cell r="F261">
            <v>70000</v>
          </cell>
          <cell r="K261">
            <v>0</v>
          </cell>
          <cell r="M261">
            <v>70000</v>
          </cell>
        </row>
        <row r="262">
          <cell r="A262" t="str">
            <v>21478100</v>
          </cell>
          <cell r="F262">
            <v>500000</v>
          </cell>
          <cell r="K262">
            <v>0</v>
          </cell>
          <cell r="M262">
            <v>500000</v>
          </cell>
        </row>
        <row r="263">
          <cell r="A263" t="str">
            <v>21478100</v>
          </cell>
          <cell r="F263">
            <v>310000</v>
          </cell>
          <cell r="K263">
            <v>0</v>
          </cell>
          <cell r="M263">
            <v>310000</v>
          </cell>
        </row>
        <row r="264">
          <cell r="A264" t="str">
            <v>21478100</v>
          </cell>
          <cell r="F264">
            <v>956000</v>
          </cell>
          <cell r="K264">
            <v>582830.24</v>
          </cell>
          <cell r="M264">
            <v>373169.76</v>
          </cell>
        </row>
        <row r="265">
          <cell r="A265" t="str">
            <v>21478100</v>
          </cell>
          <cell r="F265">
            <v>171000</v>
          </cell>
          <cell r="K265">
            <v>18284.75</v>
          </cell>
          <cell r="M265">
            <v>152715.25</v>
          </cell>
        </row>
        <row r="266">
          <cell r="A266" t="str">
            <v>21478100</v>
          </cell>
          <cell r="F266">
            <v>785000</v>
          </cell>
          <cell r="K266">
            <v>564545.49</v>
          </cell>
          <cell r="M266">
            <v>220454.51</v>
          </cell>
        </row>
        <row r="267">
          <cell r="A267" t="str">
            <v>21478100</v>
          </cell>
          <cell r="F267">
            <v>29151000</v>
          </cell>
          <cell r="K267">
            <v>9813763.9499999993</v>
          </cell>
          <cell r="M267">
            <v>13922888.220000001</v>
          </cell>
        </row>
        <row r="268">
          <cell r="A268" t="str">
            <v>21478100</v>
          </cell>
          <cell r="F268">
            <v>8270000</v>
          </cell>
          <cell r="K268">
            <v>2598343.9500000002</v>
          </cell>
          <cell r="M268">
            <v>4968904.05</v>
          </cell>
        </row>
        <row r="269">
          <cell r="A269" t="str">
            <v>21478100</v>
          </cell>
          <cell r="F269">
            <v>21000</v>
          </cell>
          <cell r="K269">
            <v>0</v>
          </cell>
          <cell r="M269">
            <v>21000</v>
          </cell>
        </row>
        <row r="270">
          <cell r="A270" t="str">
            <v>21478100</v>
          </cell>
          <cell r="F270">
            <v>17400000</v>
          </cell>
          <cell r="K270">
            <v>6862025</v>
          </cell>
          <cell r="M270">
            <v>6796517.2999999998</v>
          </cell>
        </row>
        <row r="271">
          <cell r="A271" t="str">
            <v>21478100</v>
          </cell>
          <cell r="F271">
            <v>1255000</v>
          </cell>
          <cell r="K271">
            <v>269815</v>
          </cell>
          <cell r="M271">
            <v>15046.87</v>
          </cell>
        </row>
        <row r="272">
          <cell r="A272" t="str">
            <v>21478100</v>
          </cell>
          <cell r="F272">
            <v>1360000</v>
          </cell>
          <cell r="K272">
            <v>0</v>
          </cell>
          <cell r="M272">
            <v>1360000</v>
          </cell>
        </row>
        <row r="273">
          <cell r="A273" t="str">
            <v>21478100</v>
          </cell>
          <cell r="F273">
            <v>105000</v>
          </cell>
          <cell r="K273">
            <v>83580</v>
          </cell>
          <cell r="M273">
            <v>21420</v>
          </cell>
        </row>
        <row r="274">
          <cell r="A274" t="str">
            <v>21478100</v>
          </cell>
          <cell r="F274">
            <v>100000</v>
          </cell>
          <cell r="K274">
            <v>0</v>
          </cell>
          <cell r="M274">
            <v>100000</v>
          </cell>
        </row>
        <row r="275">
          <cell r="A275" t="str">
            <v>21478100</v>
          </cell>
          <cell r="F275">
            <v>640000</v>
          </cell>
          <cell r="K275">
            <v>0</v>
          </cell>
          <cell r="M275">
            <v>640000</v>
          </cell>
        </row>
        <row r="276">
          <cell r="A276" t="str">
            <v>21478100</v>
          </cell>
          <cell r="F276">
            <v>211960387</v>
          </cell>
          <cell r="K276">
            <v>94861037.439999998</v>
          </cell>
          <cell r="M276">
            <v>101516289.17</v>
          </cell>
        </row>
        <row r="277">
          <cell r="A277" t="str">
            <v>21478100</v>
          </cell>
          <cell r="F277">
            <v>60460387</v>
          </cell>
          <cell r="K277">
            <v>47619708</v>
          </cell>
          <cell r="M277">
            <v>888851</v>
          </cell>
        </row>
        <row r="278">
          <cell r="A278" t="str">
            <v>21478100</v>
          </cell>
          <cell r="F278">
            <v>42341000</v>
          </cell>
          <cell r="K278">
            <v>38070181.280000001</v>
          </cell>
          <cell r="M278">
            <v>0</v>
          </cell>
        </row>
        <row r="279">
          <cell r="A279" t="str">
            <v>21478100</v>
          </cell>
          <cell r="F279">
            <v>18119387</v>
          </cell>
          <cell r="K279">
            <v>9549526.7200000007</v>
          </cell>
          <cell r="M279">
            <v>888851</v>
          </cell>
        </row>
        <row r="280">
          <cell r="A280" t="str">
            <v>21478100</v>
          </cell>
          <cell r="F280">
            <v>148500000</v>
          </cell>
          <cell r="K280">
            <v>47241329.439999998</v>
          </cell>
          <cell r="M280">
            <v>97627438.170000002</v>
          </cell>
        </row>
        <row r="281">
          <cell r="A281" t="str">
            <v>21478100</v>
          </cell>
          <cell r="F281">
            <v>118500000</v>
          </cell>
          <cell r="K281">
            <v>38130375.439999998</v>
          </cell>
          <cell r="M281">
            <v>76738392.170000002</v>
          </cell>
        </row>
        <row r="282">
          <cell r="A282" t="str">
            <v>21478100</v>
          </cell>
          <cell r="F282">
            <v>30000000</v>
          </cell>
          <cell r="K282">
            <v>9110954</v>
          </cell>
          <cell r="M282">
            <v>20889046</v>
          </cell>
        </row>
        <row r="283">
          <cell r="A283" t="str">
            <v>21478100</v>
          </cell>
          <cell r="F283">
            <v>3000000</v>
          </cell>
          <cell r="K283">
            <v>0</v>
          </cell>
          <cell r="M283">
            <v>3000000</v>
          </cell>
        </row>
        <row r="284">
          <cell r="A284" t="str">
            <v>21478100</v>
          </cell>
          <cell r="F284">
            <v>3000000</v>
          </cell>
          <cell r="K284">
            <v>0</v>
          </cell>
          <cell r="M284">
            <v>3000000</v>
          </cell>
        </row>
        <row r="285">
          <cell r="A285" t="str">
            <v>21478100</v>
          </cell>
          <cell r="F285">
            <v>67338791</v>
          </cell>
          <cell r="K285">
            <v>0</v>
          </cell>
          <cell r="M285">
            <v>67338791</v>
          </cell>
        </row>
        <row r="286">
          <cell r="A286" t="str">
            <v>21478100</v>
          </cell>
          <cell r="F286">
            <v>67338791</v>
          </cell>
          <cell r="K286">
            <v>0</v>
          </cell>
          <cell r="M286">
            <v>67338791</v>
          </cell>
        </row>
        <row r="287">
          <cell r="A287" t="str">
            <v>21478100</v>
          </cell>
          <cell r="F287">
            <v>62953425</v>
          </cell>
          <cell r="K287">
            <v>0</v>
          </cell>
          <cell r="M287">
            <v>62953425</v>
          </cell>
        </row>
        <row r="288">
          <cell r="A288" t="str">
            <v>21478100</v>
          </cell>
          <cell r="F288">
            <v>4385366</v>
          </cell>
          <cell r="K288">
            <v>0</v>
          </cell>
          <cell r="M288">
            <v>4385366</v>
          </cell>
        </row>
        <row r="289">
          <cell r="A289" t="str">
            <v>21478100</v>
          </cell>
          <cell r="F289">
            <v>441435000</v>
          </cell>
          <cell r="K289">
            <v>49793740.43</v>
          </cell>
          <cell r="M289">
            <v>145829263.66</v>
          </cell>
        </row>
        <row r="290">
          <cell r="A290" t="str">
            <v>21478100</v>
          </cell>
          <cell r="F290">
            <v>209185000</v>
          </cell>
          <cell r="K290">
            <v>17908943.280000001</v>
          </cell>
          <cell r="M290">
            <v>6269545.1200000001</v>
          </cell>
        </row>
        <row r="291">
          <cell r="A291" t="str">
            <v>21478100</v>
          </cell>
          <cell r="F291">
            <v>75000</v>
          </cell>
          <cell r="K291">
            <v>0</v>
          </cell>
          <cell r="M291">
            <v>75000</v>
          </cell>
        </row>
        <row r="292">
          <cell r="A292" t="str">
            <v>21478100</v>
          </cell>
          <cell r="F292">
            <v>29000000</v>
          </cell>
          <cell r="K292">
            <v>0</v>
          </cell>
          <cell r="M292">
            <v>0</v>
          </cell>
        </row>
        <row r="293">
          <cell r="A293" t="str">
            <v>21478100</v>
          </cell>
          <cell r="F293">
            <v>9900000</v>
          </cell>
          <cell r="K293">
            <v>2660800</v>
          </cell>
          <cell r="M293">
            <v>1704164.85</v>
          </cell>
        </row>
        <row r="294">
          <cell r="A294" t="str">
            <v>21478100</v>
          </cell>
          <cell r="F294">
            <v>22140000</v>
          </cell>
          <cell r="K294">
            <v>2287890</v>
          </cell>
          <cell r="M294">
            <v>3650867.28</v>
          </cell>
        </row>
        <row r="295">
          <cell r="A295" t="str">
            <v>21478100</v>
          </cell>
          <cell r="F295">
            <v>142070000</v>
          </cell>
          <cell r="K295">
            <v>11216056.32</v>
          </cell>
          <cell r="M295">
            <v>492882.14</v>
          </cell>
        </row>
        <row r="296">
          <cell r="A296" t="str">
            <v>21478100</v>
          </cell>
          <cell r="F296">
            <v>400000</v>
          </cell>
          <cell r="K296">
            <v>0</v>
          </cell>
          <cell r="M296">
            <v>121800</v>
          </cell>
        </row>
        <row r="297">
          <cell r="A297" t="str">
            <v>21478100</v>
          </cell>
          <cell r="F297">
            <v>5600000</v>
          </cell>
          <cell r="K297">
            <v>1744196.96</v>
          </cell>
          <cell r="M297">
            <v>224830.85</v>
          </cell>
        </row>
        <row r="298">
          <cell r="A298" t="str">
            <v>21478100</v>
          </cell>
          <cell r="F298">
            <v>180000000</v>
          </cell>
          <cell r="K298">
            <v>23753495.210000001</v>
          </cell>
          <cell r="M298">
            <v>138578367.09</v>
          </cell>
        </row>
        <row r="299">
          <cell r="A299" t="str">
            <v>21478100</v>
          </cell>
          <cell r="F299">
            <v>180000000</v>
          </cell>
          <cell r="K299">
            <v>23753495.210000001</v>
          </cell>
          <cell r="M299">
            <v>138578367.09</v>
          </cell>
        </row>
        <row r="300">
          <cell r="A300" t="str">
            <v>21478100</v>
          </cell>
          <cell r="F300">
            <v>52250000</v>
          </cell>
          <cell r="K300">
            <v>8131301.9400000004</v>
          </cell>
          <cell r="M300">
            <v>981351.45</v>
          </cell>
        </row>
        <row r="301">
          <cell r="A301" t="str">
            <v>21478100</v>
          </cell>
          <cell r="F301">
            <v>52250000</v>
          </cell>
          <cell r="K301">
            <v>8131301.9400000004</v>
          </cell>
          <cell r="M301">
            <v>981351.45</v>
          </cell>
        </row>
        <row r="302">
          <cell r="A302">
            <v>214783</v>
          </cell>
          <cell r="F302">
            <v>108467611690</v>
          </cell>
          <cell r="K302">
            <v>47749693493.410004</v>
          </cell>
          <cell r="M302">
            <v>47770918318.769997</v>
          </cell>
        </row>
        <row r="303">
          <cell r="A303" t="str">
            <v>21478300</v>
          </cell>
          <cell r="F303">
            <v>69280985000</v>
          </cell>
          <cell r="K303">
            <v>35892385082.389999</v>
          </cell>
          <cell r="M303">
            <v>29051681325.610001</v>
          </cell>
        </row>
        <row r="304">
          <cell r="A304" t="str">
            <v>21478300</v>
          </cell>
          <cell r="F304">
            <v>24948626000</v>
          </cell>
          <cell r="K304">
            <v>13074412989.6</v>
          </cell>
          <cell r="M304">
            <v>11874213010.4</v>
          </cell>
        </row>
        <row r="305">
          <cell r="A305" t="str">
            <v>21478300</v>
          </cell>
          <cell r="F305">
            <v>24769805693</v>
          </cell>
          <cell r="K305">
            <v>12959921584.6</v>
          </cell>
          <cell r="M305">
            <v>11809884108.4</v>
          </cell>
        </row>
        <row r="306">
          <cell r="A306" t="str">
            <v>21478300</v>
          </cell>
          <cell r="F306">
            <v>178820307</v>
          </cell>
          <cell r="K306">
            <v>114491405</v>
          </cell>
          <cell r="M306">
            <v>64328902</v>
          </cell>
        </row>
        <row r="307">
          <cell r="A307" t="str">
            <v>21478300</v>
          </cell>
          <cell r="F307">
            <v>3816434000</v>
          </cell>
          <cell r="K307">
            <v>2043685014.0699999</v>
          </cell>
          <cell r="M307">
            <v>1772748985.9300001</v>
          </cell>
        </row>
        <row r="308">
          <cell r="A308" t="str">
            <v>21478300</v>
          </cell>
          <cell r="F308">
            <v>10000000</v>
          </cell>
          <cell r="K308">
            <v>4429911</v>
          </cell>
          <cell r="M308">
            <v>5570089</v>
          </cell>
        </row>
        <row r="309">
          <cell r="A309" t="str">
            <v>21478300</v>
          </cell>
          <cell r="F309">
            <v>25000000</v>
          </cell>
          <cell r="K309">
            <v>8526262</v>
          </cell>
          <cell r="M309">
            <v>16473738</v>
          </cell>
        </row>
        <row r="310">
          <cell r="A310" t="str">
            <v>21478300</v>
          </cell>
          <cell r="F310">
            <v>3781434000</v>
          </cell>
          <cell r="K310">
            <v>2030728841.0699999</v>
          </cell>
          <cell r="M310">
            <v>1750705158.9300001</v>
          </cell>
        </row>
        <row r="311">
          <cell r="A311" t="str">
            <v>21478300</v>
          </cell>
          <cell r="F311">
            <v>30011202000</v>
          </cell>
          <cell r="K311">
            <v>14974790581.719999</v>
          </cell>
          <cell r="M311">
            <v>15036411418.280001</v>
          </cell>
        </row>
        <row r="312">
          <cell r="A312" t="str">
            <v>21478300</v>
          </cell>
          <cell r="F312">
            <v>9935766000</v>
          </cell>
          <cell r="K312">
            <v>5199007673.8999996</v>
          </cell>
          <cell r="M312">
            <v>4736758326.1000004</v>
          </cell>
        </row>
        <row r="313">
          <cell r="A313" t="str">
            <v>21478300</v>
          </cell>
          <cell r="F313">
            <v>3798397000</v>
          </cell>
          <cell r="K313">
            <v>1839288793.9100001</v>
          </cell>
          <cell r="M313">
            <v>1959108206.0899999</v>
          </cell>
        </row>
        <row r="314">
          <cell r="A314" t="str">
            <v>21478300</v>
          </cell>
          <cell r="F314">
            <v>3637134000</v>
          </cell>
          <cell r="K314">
            <v>3632295630.8499999</v>
          </cell>
          <cell r="M314">
            <v>4838369.1500000004</v>
          </cell>
        </row>
        <row r="315">
          <cell r="A315" t="str">
            <v>21478300</v>
          </cell>
          <cell r="F315">
            <v>8205917000</v>
          </cell>
          <cell r="K315">
            <v>4303621219.0100002</v>
          </cell>
          <cell r="M315">
            <v>3902295780.9899998</v>
          </cell>
        </row>
        <row r="316">
          <cell r="A316" t="str">
            <v>21478300</v>
          </cell>
          <cell r="F316">
            <v>4433988000</v>
          </cell>
          <cell r="K316">
            <v>577264.05000000005</v>
          </cell>
          <cell r="M316">
            <v>4433410735.9499998</v>
          </cell>
        </row>
        <row r="317">
          <cell r="A317" t="str">
            <v>21478300</v>
          </cell>
          <cell r="F317">
            <v>5298403000</v>
          </cell>
          <cell r="K317">
            <v>2927003707</v>
          </cell>
          <cell r="M317">
            <v>185622200</v>
          </cell>
        </row>
        <row r="318">
          <cell r="A318" t="str">
            <v>21478300</v>
          </cell>
          <cell r="F318">
            <v>5026689000</v>
          </cell>
          <cell r="K318">
            <v>2776914514</v>
          </cell>
          <cell r="M318">
            <v>176103113</v>
          </cell>
        </row>
        <row r="319">
          <cell r="A319" t="str">
            <v>21478300</v>
          </cell>
          <cell r="F319">
            <v>271714000</v>
          </cell>
          <cell r="K319">
            <v>150089193</v>
          </cell>
          <cell r="M319">
            <v>9519087</v>
          </cell>
        </row>
        <row r="320">
          <cell r="A320" t="str">
            <v>21478300</v>
          </cell>
          <cell r="F320">
            <v>5206020000</v>
          </cell>
          <cell r="K320">
            <v>2872492790</v>
          </cell>
          <cell r="M320">
            <v>182385711</v>
          </cell>
        </row>
        <row r="321">
          <cell r="A321" t="str">
            <v>21478300</v>
          </cell>
          <cell r="F321">
            <v>2760603000</v>
          </cell>
          <cell r="K321">
            <v>1521690424</v>
          </cell>
          <cell r="M321">
            <v>96713926</v>
          </cell>
        </row>
        <row r="322">
          <cell r="A322" t="str">
            <v>21478300</v>
          </cell>
          <cell r="F322">
            <v>815139000</v>
          </cell>
          <cell r="K322">
            <v>450267058</v>
          </cell>
          <cell r="M322">
            <v>28557262</v>
          </cell>
        </row>
        <row r="323">
          <cell r="A323" t="str">
            <v>21478300</v>
          </cell>
          <cell r="F323">
            <v>1630278000</v>
          </cell>
          <cell r="K323">
            <v>900535308</v>
          </cell>
          <cell r="M323">
            <v>57114523</v>
          </cell>
        </row>
        <row r="324">
          <cell r="A324" t="str">
            <v>21478300</v>
          </cell>
          <cell r="F324">
            <v>300000</v>
          </cell>
          <cell r="K324">
            <v>0</v>
          </cell>
          <cell r="M324">
            <v>300000</v>
          </cell>
        </row>
        <row r="325">
          <cell r="A325" t="str">
            <v>21478300</v>
          </cell>
          <cell r="F325">
            <v>300000</v>
          </cell>
          <cell r="K325">
            <v>0</v>
          </cell>
          <cell r="M325">
            <v>300000</v>
          </cell>
        </row>
        <row r="326">
          <cell r="A326" t="str">
            <v>21478300</v>
          </cell>
          <cell r="F326">
            <v>15319456009.32</v>
          </cell>
          <cell r="K326">
            <v>4399291233.9899998</v>
          </cell>
          <cell r="M326">
            <v>7522466960.5</v>
          </cell>
        </row>
        <row r="327">
          <cell r="A327" t="str">
            <v>21478300</v>
          </cell>
          <cell r="F327">
            <v>7388276000</v>
          </cell>
          <cell r="K327">
            <v>1523797993.5599999</v>
          </cell>
          <cell r="M327">
            <v>4816853987.3400002</v>
          </cell>
        </row>
        <row r="328">
          <cell r="A328" t="str">
            <v>21478300</v>
          </cell>
          <cell r="F328">
            <v>447714000</v>
          </cell>
          <cell r="K328">
            <v>215894865.78</v>
          </cell>
          <cell r="M328">
            <v>144801547.34</v>
          </cell>
        </row>
        <row r="329">
          <cell r="A329" t="str">
            <v>21478300</v>
          </cell>
          <cell r="F329">
            <v>1150000</v>
          </cell>
          <cell r="K329">
            <v>0</v>
          </cell>
          <cell r="M329">
            <v>1150000</v>
          </cell>
        </row>
        <row r="330">
          <cell r="A330" t="str">
            <v>21478300</v>
          </cell>
          <cell r="F330">
            <v>897159000</v>
          </cell>
          <cell r="K330">
            <v>303955433.85000002</v>
          </cell>
          <cell r="M330">
            <v>292959479.83999997</v>
          </cell>
        </row>
        <row r="331">
          <cell r="A331" t="str">
            <v>21478300</v>
          </cell>
          <cell r="F331">
            <v>42253000</v>
          </cell>
          <cell r="K331">
            <v>3618079.09</v>
          </cell>
          <cell r="M331">
            <v>23190512.77</v>
          </cell>
        </row>
        <row r="332">
          <cell r="A332" t="str">
            <v>21478300</v>
          </cell>
          <cell r="F332">
            <v>6000000000</v>
          </cell>
          <cell r="K332">
            <v>1000329614.84</v>
          </cell>
          <cell r="M332">
            <v>4354752447.3900003</v>
          </cell>
        </row>
        <row r="333">
          <cell r="A333" t="str">
            <v>21478300</v>
          </cell>
          <cell r="F333">
            <v>4997648644</v>
          </cell>
          <cell r="K333">
            <v>2473418011.46</v>
          </cell>
          <cell r="M333">
            <v>1533126576.1800001</v>
          </cell>
        </row>
        <row r="334">
          <cell r="A334" t="str">
            <v>21478300</v>
          </cell>
          <cell r="F334">
            <v>2372291000</v>
          </cell>
          <cell r="K334">
            <v>1520206638</v>
          </cell>
          <cell r="M334">
            <v>441091407.67000002</v>
          </cell>
        </row>
        <row r="335">
          <cell r="A335" t="str">
            <v>21478300</v>
          </cell>
          <cell r="F335">
            <v>1100946000</v>
          </cell>
          <cell r="K335">
            <v>638520491.03999996</v>
          </cell>
          <cell r="M335">
            <v>66771813.770000003</v>
          </cell>
        </row>
        <row r="336">
          <cell r="A336" t="str">
            <v>21478300</v>
          </cell>
          <cell r="F336">
            <v>6000000</v>
          </cell>
          <cell r="K336">
            <v>1399250</v>
          </cell>
          <cell r="M336">
            <v>3188886</v>
          </cell>
        </row>
        <row r="337">
          <cell r="A337" t="str">
            <v>21478300</v>
          </cell>
          <cell r="F337">
            <v>1361619646</v>
          </cell>
          <cell r="K337">
            <v>257754265.16</v>
          </cell>
          <cell r="M337">
            <v>966870335.63</v>
          </cell>
        </row>
        <row r="338">
          <cell r="A338" t="str">
            <v>21478300</v>
          </cell>
          <cell r="F338">
            <v>156791998</v>
          </cell>
          <cell r="K338">
            <v>55537367.259999998</v>
          </cell>
          <cell r="M338">
            <v>55204133.109999999</v>
          </cell>
        </row>
        <row r="339">
          <cell r="A339" t="str">
            <v>21478300</v>
          </cell>
          <cell r="F339">
            <v>8557560</v>
          </cell>
          <cell r="K339">
            <v>3318070</v>
          </cell>
          <cell r="M339">
            <v>2980490</v>
          </cell>
        </row>
        <row r="340">
          <cell r="A340" t="str">
            <v>21478300</v>
          </cell>
          <cell r="F340">
            <v>4257560</v>
          </cell>
          <cell r="K340">
            <v>404070</v>
          </cell>
          <cell r="M340">
            <v>2969490</v>
          </cell>
        </row>
        <row r="341">
          <cell r="A341" t="str">
            <v>21478300</v>
          </cell>
          <cell r="F341">
            <v>4300000</v>
          </cell>
          <cell r="K341">
            <v>2914000</v>
          </cell>
          <cell r="M341">
            <v>11000</v>
          </cell>
        </row>
        <row r="342">
          <cell r="A342" t="str">
            <v>21478300</v>
          </cell>
          <cell r="F342">
            <v>405860218</v>
          </cell>
          <cell r="K342">
            <v>63462318.590000004</v>
          </cell>
          <cell r="M342">
            <v>192730137.86000001</v>
          </cell>
        </row>
        <row r="343">
          <cell r="A343" t="str">
            <v>21478300</v>
          </cell>
          <cell r="F343">
            <v>24045000</v>
          </cell>
          <cell r="K343">
            <v>0</v>
          </cell>
          <cell r="M343">
            <v>283944</v>
          </cell>
        </row>
        <row r="344">
          <cell r="A344" t="str">
            <v>21478300</v>
          </cell>
          <cell r="F344">
            <v>146966885</v>
          </cell>
          <cell r="K344">
            <v>15922628.34</v>
          </cell>
          <cell r="M344">
            <v>93607450</v>
          </cell>
        </row>
        <row r="345">
          <cell r="A345" t="str">
            <v>21478300</v>
          </cell>
          <cell r="F345">
            <v>151603000</v>
          </cell>
          <cell r="K345">
            <v>39459621.899999999</v>
          </cell>
          <cell r="M345">
            <v>70817980.549999997</v>
          </cell>
        </row>
        <row r="346">
          <cell r="A346" t="str">
            <v>21478300</v>
          </cell>
          <cell r="F346">
            <v>83245333</v>
          </cell>
          <cell r="K346">
            <v>8080068.3499999996</v>
          </cell>
          <cell r="M346">
            <v>28020763.309999999</v>
          </cell>
        </row>
        <row r="347">
          <cell r="A347" t="str">
            <v>21478300</v>
          </cell>
          <cell r="F347">
            <v>159516069.31999999</v>
          </cell>
          <cell r="K347">
            <v>58925175</v>
          </cell>
          <cell r="M347">
            <v>59331677.32</v>
          </cell>
        </row>
        <row r="348">
          <cell r="A348" t="str">
            <v>21478300</v>
          </cell>
          <cell r="F348">
            <v>8364000</v>
          </cell>
          <cell r="K348">
            <v>2828025</v>
          </cell>
          <cell r="M348">
            <v>1671320</v>
          </cell>
        </row>
        <row r="349">
          <cell r="A349" t="str">
            <v>21478300</v>
          </cell>
          <cell r="F349">
            <v>150000000</v>
          </cell>
          <cell r="K349">
            <v>56097150</v>
          </cell>
          <cell r="M349">
            <v>56508288</v>
          </cell>
        </row>
        <row r="350">
          <cell r="A350" t="str">
            <v>21478300</v>
          </cell>
          <cell r="F350">
            <v>388300.02</v>
          </cell>
          <cell r="K350">
            <v>0</v>
          </cell>
          <cell r="M350">
            <v>388300.02</v>
          </cell>
        </row>
        <row r="351">
          <cell r="A351" t="str">
            <v>21478300</v>
          </cell>
          <cell r="F351">
            <v>763769.3</v>
          </cell>
          <cell r="K351">
            <v>0</v>
          </cell>
          <cell r="M351">
            <v>763769.3</v>
          </cell>
        </row>
        <row r="352">
          <cell r="A352" t="str">
            <v>21478300</v>
          </cell>
          <cell r="F352">
            <v>1404477000</v>
          </cell>
          <cell r="K352">
            <v>136218844</v>
          </cell>
          <cell r="M352">
            <v>546008155.58000004</v>
          </cell>
        </row>
        <row r="353">
          <cell r="A353" t="str">
            <v>21478300</v>
          </cell>
          <cell r="F353">
            <v>1404477000</v>
          </cell>
          <cell r="K353">
            <v>136218844</v>
          </cell>
          <cell r="M353">
            <v>546008155.58000004</v>
          </cell>
        </row>
        <row r="354">
          <cell r="A354" t="str">
            <v>21478300</v>
          </cell>
          <cell r="F354">
            <v>1000000</v>
          </cell>
          <cell r="K354">
            <v>0</v>
          </cell>
          <cell r="M354">
            <v>1000000</v>
          </cell>
        </row>
        <row r="355">
          <cell r="A355" t="str">
            <v>21478300</v>
          </cell>
          <cell r="F355">
            <v>1000000</v>
          </cell>
          <cell r="K355">
            <v>0</v>
          </cell>
          <cell r="M355">
            <v>1000000</v>
          </cell>
        </row>
        <row r="356">
          <cell r="A356" t="str">
            <v>21478300</v>
          </cell>
          <cell r="F356">
            <v>900195518</v>
          </cell>
          <cell r="K356">
            <v>137006825.38</v>
          </cell>
          <cell r="M356">
            <v>333850010.54000002</v>
          </cell>
        </row>
        <row r="357">
          <cell r="A357" t="str">
            <v>21478300</v>
          </cell>
          <cell r="F357">
            <v>77678603</v>
          </cell>
          <cell r="K357">
            <v>76991.149999999994</v>
          </cell>
          <cell r="M357">
            <v>77578603</v>
          </cell>
        </row>
        <row r="358">
          <cell r="A358" t="str">
            <v>21478300</v>
          </cell>
          <cell r="F358">
            <v>327443415</v>
          </cell>
          <cell r="K358">
            <v>62952049.829999998</v>
          </cell>
          <cell r="M358">
            <v>20282233.710000001</v>
          </cell>
        </row>
        <row r="359">
          <cell r="A359" t="str">
            <v>21478300</v>
          </cell>
          <cell r="F359">
            <v>165180000</v>
          </cell>
          <cell r="K359">
            <v>30698623.149999999</v>
          </cell>
          <cell r="M359">
            <v>59844407.270000003</v>
          </cell>
        </row>
        <row r="360">
          <cell r="A360" t="str">
            <v>21478300</v>
          </cell>
          <cell r="F360">
            <v>625500</v>
          </cell>
          <cell r="K360">
            <v>113000</v>
          </cell>
          <cell r="M360">
            <v>512500</v>
          </cell>
        </row>
        <row r="361">
          <cell r="A361" t="str">
            <v>21478300</v>
          </cell>
          <cell r="F361">
            <v>20402000</v>
          </cell>
          <cell r="K361">
            <v>4945000</v>
          </cell>
          <cell r="M361">
            <v>12003756.42</v>
          </cell>
        </row>
        <row r="362">
          <cell r="A362" t="str">
            <v>21478300</v>
          </cell>
          <cell r="F362">
            <v>80000000</v>
          </cell>
          <cell r="K362">
            <v>634986.31000000006</v>
          </cell>
          <cell r="M362">
            <v>57287670.990000002</v>
          </cell>
        </row>
        <row r="363">
          <cell r="A363" t="str">
            <v>21478300</v>
          </cell>
          <cell r="F363">
            <v>228866000</v>
          </cell>
          <cell r="K363">
            <v>37586174.939999998</v>
          </cell>
          <cell r="M363">
            <v>106340839.15000001</v>
          </cell>
        </row>
        <row r="364">
          <cell r="A364" t="str">
            <v>21478300</v>
          </cell>
          <cell r="F364">
            <v>16000000</v>
          </cell>
          <cell r="K364">
            <v>112636</v>
          </cell>
          <cell r="M364">
            <v>10994834</v>
          </cell>
        </row>
        <row r="365">
          <cell r="A365" t="str">
            <v>21478300</v>
          </cell>
          <cell r="F365">
            <v>16000000</v>
          </cell>
          <cell r="K365">
            <v>112636</v>
          </cell>
          <cell r="M365">
            <v>10994834</v>
          </cell>
        </row>
        <row r="366">
          <cell r="A366" t="str">
            <v>21478300</v>
          </cell>
          <cell r="F366">
            <v>37925000</v>
          </cell>
          <cell r="K366">
            <v>3031360</v>
          </cell>
          <cell r="M366">
            <v>25591091.68</v>
          </cell>
        </row>
        <row r="367">
          <cell r="A367" t="str">
            <v>21478300</v>
          </cell>
          <cell r="F367">
            <v>4000000</v>
          </cell>
          <cell r="K367">
            <v>0</v>
          </cell>
          <cell r="M367">
            <v>2731484</v>
          </cell>
        </row>
        <row r="368">
          <cell r="A368" t="str">
            <v>21478300</v>
          </cell>
          <cell r="F368">
            <v>3925000</v>
          </cell>
          <cell r="K368">
            <v>1621360</v>
          </cell>
          <cell r="M368">
            <v>1471877.68</v>
          </cell>
        </row>
        <row r="369">
          <cell r="A369" t="str">
            <v>21478300</v>
          </cell>
          <cell r="F369">
            <v>30000000</v>
          </cell>
          <cell r="K369">
            <v>1410000</v>
          </cell>
          <cell r="M369">
            <v>21387730</v>
          </cell>
        </row>
        <row r="370">
          <cell r="A370" t="str">
            <v>21478300</v>
          </cell>
          <cell r="F370">
            <v>16046278674.51</v>
          </cell>
          <cell r="K370">
            <v>5114881974.3599997</v>
          </cell>
          <cell r="M370">
            <v>7561746138.5200005</v>
          </cell>
        </row>
        <row r="371">
          <cell r="A371" t="str">
            <v>21478300</v>
          </cell>
          <cell r="F371">
            <v>915420060</v>
          </cell>
          <cell r="K371">
            <v>379843194.74000001</v>
          </cell>
          <cell r="M371">
            <v>262620556.62</v>
          </cell>
        </row>
        <row r="372">
          <cell r="A372" t="str">
            <v>21478300</v>
          </cell>
          <cell r="F372">
            <v>633445000</v>
          </cell>
          <cell r="K372">
            <v>303828164.74000001</v>
          </cell>
          <cell r="M372">
            <v>226705686.62</v>
          </cell>
        </row>
        <row r="373">
          <cell r="A373" t="str">
            <v>21478300</v>
          </cell>
          <cell r="F373">
            <v>209350150</v>
          </cell>
          <cell r="K373">
            <v>32762200</v>
          </cell>
          <cell r="M373">
            <v>13573450</v>
          </cell>
        </row>
        <row r="374">
          <cell r="A374" t="str">
            <v>21478300</v>
          </cell>
          <cell r="F374">
            <v>5824000</v>
          </cell>
          <cell r="K374">
            <v>0</v>
          </cell>
          <cell r="M374">
            <v>5824000</v>
          </cell>
        </row>
        <row r="375">
          <cell r="A375" t="str">
            <v>21478300</v>
          </cell>
          <cell r="F375">
            <v>53735000</v>
          </cell>
          <cell r="K375">
            <v>35204590</v>
          </cell>
          <cell r="M375">
            <v>11499750</v>
          </cell>
        </row>
        <row r="376">
          <cell r="A376" t="str">
            <v>21478300</v>
          </cell>
          <cell r="F376">
            <v>13065910</v>
          </cell>
          <cell r="K376">
            <v>8048240</v>
          </cell>
          <cell r="M376">
            <v>5017670</v>
          </cell>
        </row>
        <row r="377">
          <cell r="A377" t="str">
            <v>21478300</v>
          </cell>
          <cell r="F377">
            <v>10964558729.51</v>
          </cell>
          <cell r="K377">
            <v>4253038758.1799998</v>
          </cell>
          <cell r="M377">
            <v>5130791805.9700003</v>
          </cell>
        </row>
        <row r="378">
          <cell r="A378" t="str">
            <v>21478300</v>
          </cell>
          <cell r="F378">
            <v>10952558729.51</v>
          </cell>
          <cell r="K378">
            <v>4253038758.1799998</v>
          </cell>
          <cell r="M378">
            <v>5122779480.9700003</v>
          </cell>
        </row>
        <row r="379">
          <cell r="A379" t="str">
            <v>21478300</v>
          </cell>
          <cell r="F379">
            <v>12000000</v>
          </cell>
          <cell r="K379">
            <v>0</v>
          </cell>
          <cell r="M379">
            <v>8012325</v>
          </cell>
        </row>
        <row r="380">
          <cell r="A380" t="str">
            <v>21478300</v>
          </cell>
          <cell r="F380">
            <v>843546732</v>
          </cell>
          <cell r="K380">
            <v>177413577.50999999</v>
          </cell>
          <cell r="M380">
            <v>539477847.57000005</v>
          </cell>
        </row>
        <row r="381">
          <cell r="A381" t="str">
            <v>21478300</v>
          </cell>
          <cell r="F381">
            <v>294279374</v>
          </cell>
          <cell r="K381">
            <v>58833581.140000001</v>
          </cell>
          <cell r="M381">
            <v>114095307.86</v>
          </cell>
        </row>
        <row r="382">
          <cell r="A382" t="str">
            <v>21478300</v>
          </cell>
          <cell r="F382">
            <v>69048000</v>
          </cell>
          <cell r="K382">
            <v>32390739.920000002</v>
          </cell>
          <cell r="M382">
            <v>34601300.079999998</v>
          </cell>
        </row>
        <row r="383">
          <cell r="A383" t="str">
            <v>21478300</v>
          </cell>
          <cell r="F383">
            <v>97606469</v>
          </cell>
          <cell r="K383">
            <v>34681337.5</v>
          </cell>
          <cell r="M383">
            <v>62925131.5</v>
          </cell>
        </row>
        <row r="384">
          <cell r="A384" t="str">
            <v>21478300</v>
          </cell>
          <cell r="F384">
            <v>189345889</v>
          </cell>
          <cell r="K384">
            <v>33307494.75</v>
          </cell>
          <cell r="M384">
            <v>155762668.33000001</v>
          </cell>
        </row>
        <row r="385">
          <cell r="A385" t="str">
            <v>21478300</v>
          </cell>
          <cell r="F385">
            <v>7059000</v>
          </cell>
          <cell r="K385">
            <v>0</v>
          </cell>
          <cell r="M385">
            <v>7059000</v>
          </cell>
        </row>
        <row r="386">
          <cell r="A386" t="str">
            <v>21478300</v>
          </cell>
          <cell r="F386">
            <v>151074000</v>
          </cell>
          <cell r="K386">
            <v>12854424.199999999</v>
          </cell>
          <cell r="M386">
            <v>135431759.80000001</v>
          </cell>
        </row>
        <row r="387">
          <cell r="A387" t="str">
            <v>21478300</v>
          </cell>
          <cell r="F387">
            <v>35134000</v>
          </cell>
          <cell r="K387">
            <v>5346000</v>
          </cell>
          <cell r="M387">
            <v>29602680</v>
          </cell>
        </row>
        <row r="388">
          <cell r="A388" t="str">
            <v>21478300</v>
          </cell>
          <cell r="F388">
            <v>284545778</v>
          </cell>
          <cell r="K388">
            <v>24969319.890000001</v>
          </cell>
          <cell r="M388">
            <v>214211621.72</v>
          </cell>
        </row>
        <row r="389">
          <cell r="A389" t="str">
            <v>21478300</v>
          </cell>
          <cell r="F389">
            <v>70096778</v>
          </cell>
          <cell r="K389">
            <v>7246781.7999999998</v>
          </cell>
          <cell r="M389">
            <v>56741158.600000001</v>
          </cell>
        </row>
        <row r="390">
          <cell r="A390" t="str">
            <v>21478300</v>
          </cell>
          <cell r="F390">
            <v>214449000</v>
          </cell>
          <cell r="K390">
            <v>17722538.09</v>
          </cell>
          <cell r="M390">
            <v>157470463.12</v>
          </cell>
        </row>
        <row r="391">
          <cell r="A391" t="str">
            <v>21478300</v>
          </cell>
          <cell r="F391">
            <v>3038207375</v>
          </cell>
          <cell r="K391">
            <v>279617124.04000002</v>
          </cell>
          <cell r="M391">
            <v>1414644306.6400001</v>
          </cell>
        </row>
        <row r="392">
          <cell r="A392" t="str">
            <v>21478300</v>
          </cell>
          <cell r="F392">
            <v>39631000</v>
          </cell>
          <cell r="K392">
            <v>2323631.2599999998</v>
          </cell>
          <cell r="M392">
            <v>36484378.740000002</v>
          </cell>
        </row>
        <row r="393">
          <cell r="A393" t="str">
            <v>21478300</v>
          </cell>
          <cell r="F393">
            <v>30951417</v>
          </cell>
          <cell r="K393">
            <v>10866943.52</v>
          </cell>
          <cell r="M393">
            <v>20084473.48</v>
          </cell>
        </row>
        <row r="394">
          <cell r="A394" t="str">
            <v>21478300</v>
          </cell>
          <cell r="F394">
            <v>259995000</v>
          </cell>
          <cell r="K394">
            <v>41615961.880000003</v>
          </cell>
          <cell r="M394">
            <v>194622502.12</v>
          </cell>
        </row>
        <row r="395">
          <cell r="A395" t="str">
            <v>21478300</v>
          </cell>
          <cell r="F395">
            <v>1200000000</v>
          </cell>
          <cell r="K395">
            <v>27850247.199999999</v>
          </cell>
          <cell r="M395">
            <v>775065281.79999995</v>
          </cell>
        </row>
        <row r="396">
          <cell r="A396" t="str">
            <v>21478300</v>
          </cell>
          <cell r="F396">
            <v>381516000</v>
          </cell>
          <cell r="K396">
            <v>124044561.92</v>
          </cell>
          <cell r="M396">
            <v>193427804.97</v>
          </cell>
        </row>
        <row r="397">
          <cell r="A397" t="str">
            <v>21478300</v>
          </cell>
          <cell r="F397">
            <v>784670958</v>
          </cell>
          <cell r="K397">
            <v>13934820.99</v>
          </cell>
          <cell r="M397">
            <v>14728195.01</v>
          </cell>
        </row>
        <row r="398">
          <cell r="A398" t="str">
            <v>21478300</v>
          </cell>
          <cell r="F398">
            <v>112559000</v>
          </cell>
          <cell r="K398">
            <v>4865000</v>
          </cell>
          <cell r="M398">
            <v>35544255.689999998</v>
          </cell>
        </row>
        <row r="399">
          <cell r="A399" t="str">
            <v>21478300</v>
          </cell>
          <cell r="F399">
            <v>228884000</v>
          </cell>
          <cell r="K399">
            <v>54115957.270000003</v>
          </cell>
          <cell r="M399">
            <v>144687414.83000001</v>
          </cell>
        </row>
        <row r="400">
          <cell r="A400" t="str">
            <v>21478300</v>
          </cell>
          <cell r="F400">
            <v>3779816000</v>
          </cell>
          <cell r="K400">
            <v>907715554.02999997</v>
          </cell>
          <cell r="M400">
            <v>1214130964.1099999</v>
          </cell>
        </row>
        <row r="401">
          <cell r="A401" t="str">
            <v>21478300</v>
          </cell>
          <cell r="F401">
            <v>1342715019</v>
          </cell>
          <cell r="K401">
            <v>206242821.59999999</v>
          </cell>
          <cell r="M401">
            <v>434537967.91000003</v>
          </cell>
        </row>
        <row r="402">
          <cell r="A402" t="str">
            <v>21478300</v>
          </cell>
          <cell r="F402">
            <v>2815000</v>
          </cell>
          <cell r="K402">
            <v>0</v>
          </cell>
          <cell r="M402">
            <v>2815000</v>
          </cell>
        </row>
        <row r="403">
          <cell r="A403" t="str">
            <v>21478300</v>
          </cell>
          <cell r="F403">
            <v>180000</v>
          </cell>
          <cell r="K403">
            <v>0</v>
          </cell>
          <cell r="M403">
            <v>180000</v>
          </cell>
        </row>
        <row r="404">
          <cell r="A404" t="str">
            <v>21478300</v>
          </cell>
          <cell r="F404">
            <v>0</v>
          </cell>
          <cell r="K404">
            <v>0</v>
          </cell>
          <cell r="M404">
            <v>0</v>
          </cell>
        </row>
        <row r="405">
          <cell r="A405" t="str">
            <v>21478300</v>
          </cell>
          <cell r="F405">
            <v>66911018</v>
          </cell>
          <cell r="K405">
            <v>14669020</v>
          </cell>
          <cell r="M405">
            <v>24423885.960000001</v>
          </cell>
        </row>
        <row r="406">
          <cell r="A406" t="str">
            <v>21478300</v>
          </cell>
          <cell r="F406">
            <v>155300000</v>
          </cell>
          <cell r="K406">
            <v>0</v>
          </cell>
          <cell r="M406">
            <v>58050000</v>
          </cell>
        </row>
        <row r="407">
          <cell r="A407" t="str">
            <v>21478300</v>
          </cell>
          <cell r="F407">
            <v>200000000</v>
          </cell>
          <cell r="K407">
            <v>25629875</v>
          </cell>
          <cell r="M407">
            <v>166725025</v>
          </cell>
        </row>
        <row r="408">
          <cell r="A408" t="str">
            <v>21478300</v>
          </cell>
          <cell r="F408">
            <v>90000000</v>
          </cell>
          <cell r="K408">
            <v>21223550</v>
          </cell>
          <cell r="M408">
            <v>68387310</v>
          </cell>
        </row>
        <row r="409">
          <cell r="A409" t="str">
            <v>21478300</v>
          </cell>
          <cell r="F409">
            <v>80026001</v>
          </cell>
          <cell r="K409">
            <v>16245811.140000001</v>
          </cell>
          <cell r="M409">
            <v>45379352.359999999</v>
          </cell>
        </row>
        <row r="410">
          <cell r="A410" t="str">
            <v>21478300</v>
          </cell>
          <cell r="F410">
            <v>57905000</v>
          </cell>
          <cell r="K410">
            <v>13321629.25</v>
          </cell>
          <cell r="M410">
            <v>35180022.799999997</v>
          </cell>
        </row>
        <row r="411">
          <cell r="A411" t="str">
            <v>21478300</v>
          </cell>
          <cell r="F411">
            <v>7780000</v>
          </cell>
          <cell r="K411">
            <v>0</v>
          </cell>
          <cell r="M411">
            <v>7780000</v>
          </cell>
        </row>
        <row r="412">
          <cell r="A412" t="str">
            <v>21478300</v>
          </cell>
          <cell r="F412">
            <v>681798000</v>
          </cell>
          <cell r="K412">
            <v>115152936.20999999</v>
          </cell>
          <cell r="M412">
            <v>25617371.789999999</v>
          </cell>
        </row>
        <row r="413">
          <cell r="A413" t="str">
            <v>21478300</v>
          </cell>
          <cell r="F413">
            <v>2094511999</v>
          </cell>
          <cell r="K413">
            <v>690404553.14999998</v>
          </cell>
          <cell r="M413">
            <v>458194868.13</v>
          </cell>
        </row>
        <row r="414">
          <cell r="A414" t="str">
            <v>21478300</v>
          </cell>
          <cell r="F414">
            <v>1743750000</v>
          </cell>
          <cell r="K414">
            <v>686360553.19000006</v>
          </cell>
          <cell r="M414">
            <v>113498869.09</v>
          </cell>
        </row>
        <row r="415">
          <cell r="A415" t="str">
            <v>21478300</v>
          </cell>
          <cell r="F415">
            <v>350761999</v>
          </cell>
          <cell r="K415">
            <v>4043999.96</v>
          </cell>
          <cell r="M415">
            <v>344695999.04000002</v>
          </cell>
        </row>
        <row r="416">
          <cell r="A416" t="str">
            <v>21478300</v>
          </cell>
          <cell r="F416">
            <v>342588982</v>
          </cell>
          <cell r="K416">
            <v>11068179.279999999</v>
          </cell>
          <cell r="M416">
            <v>321398128.06999999</v>
          </cell>
        </row>
        <row r="417">
          <cell r="A417" t="str">
            <v>21478300</v>
          </cell>
          <cell r="F417">
            <v>342588982</v>
          </cell>
          <cell r="K417">
            <v>11068179.279999999</v>
          </cell>
          <cell r="M417">
            <v>321398128.06999999</v>
          </cell>
        </row>
        <row r="418">
          <cell r="A418" t="str">
            <v>21478300</v>
          </cell>
          <cell r="F418">
            <v>2209176006.1700001</v>
          </cell>
          <cell r="K418">
            <v>1435419648.6400001</v>
          </cell>
          <cell r="M418">
            <v>588992930.02999997</v>
          </cell>
        </row>
        <row r="419">
          <cell r="A419" t="str">
            <v>21478300</v>
          </cell>
          <cell r="F419">
            <v>630544000</v>
          </cell>
          <cell r="K419">
            <v>390228776.5</v>
          </cell>
          <cell r="M419">
            <v>184259544</v>
          </cell>
        </row>
        <row r="420">
          <cell r="A420" t="str">
            <v>21478300</v>
          </cell>
          <cell r="F420">
            <v>179500000</v>
          </cell>
          <cell r="K420">
            <v>0</v>
          </cell>
          <cell r="M420">
            <v>179500000</v>
          </cell>
        </row>
        <row r="421">
          <cell r="A421" t="str">
            <v>21478300</v>
          </cell>
          <cell r="F421">
            <v>315187000</v>
          </cell>
          <cell r="K421">
            <v>315186998.5</v>
          </cell>
          <cell r="M421">
            <v>0</v>
          </cell>
        </row>
        <row r="422">
          <cell r="A422" t="str">
            <v>21478300</v>
          </cell>
          <cell r="F422">
            <v>135857000</v>
          </cell>
          <cell r="K422">
            <v>75041778</v>
          </cell>
          <cell r="M422">
            <v>4759544</v>
          </cell>
        </row>
        <row r="423">
          <cell r="A423" t="str">
            <v>21478300</v>
          </cell>
          <cell r="F423">
            <v>450000000</v>
          </cell>
          <cell r="K423">
            <v>265000000</v>
          </cell>
          <cell r="M423">
            <v>112500000</v>
          </cell>
        </row>
        <row r="424">
          <cell r="A424" t="str">
            <v>21478300</v>
          </cell>
          <cell r="F424">
            <v>450000000</v>
          </cell>
          <cell r="K424">
            <v>265000000</v>
          </cell>
          <cell r="M424">
            <v>112500000</v>
          </cell>
        </row>
        <row r="425">
          <cell r="A425" t="str">
            <v>21478300</v>
          </cell>
          <cell r="F425">
            <v>909081585</v>
          </cell>
          <cell r="K425">
            <v>762726499.97000003</v>
          </cell>
          <cell r="M425">
            <v>143285964.86000001</v>
          </cell>
        </row>
        <row r="426">
          <cell r="A426" t="str">
            <v>21478300</v>
          </cell>
          <cell r="F426">
            <v>561556585</v>
          </cell>
          <cell r="K426">
            <v>558487464.83000004</v>
          </cell>
          <cell r="M426">
            <v>0</v>
          </cell>
        </row>
        <row r="427">
          <cell r="A427" t="str">
            <v>21478300</v>
          </cell>
          <cell r="F427">
            <v>347525000</v>
          </cell>
          <cell r="K427">
            <v>204239035.13999999</v>
          </cell>
          <cell r="M427">
            <v>143285964.86000001</v>
          </cell>
        </row>
        <row r="428">
          <cell r="A428" t="str">
            <v>21478300</v>
          </cell>
          <cell r="F428">
            <v>219550421.16999999</v>
          </cell>
          <cell r="K428">
            <v>17464372.170000002</v>
          </cell>
          <cell r="M428">
            <v>148947421.16999999</v>
          </cell>
        </row>
        <row r="429">
          <cell r="A429" t="str">
            <v>21478300</v>
          </cell>
          <cell r="F429">
            <v>172708817.71000001</v>
          </cell>
          <cell r="K429">
            <v>11852307.109999999</v>
          </cell>
          <cell r="M429">
            <v>121196817.70999999</v>
          </cell>
        </row>
        <row r="430">
          <cell r="A430" t="str">
            <v>21478300</v>
          </cell>
          <cell r="F430">
            <v>46841603.460000001</v>
          </cell>
          <cell r="K430">
            <v>5612065.0599999996</v>
          </cell>
          <cell r="M430">
            <v>27750603.460000001</v>
          </cell>
        </row>
        <row r="431">
          <cell r="A431" t="str">
            <v>21478300</v>
          </cell>
          <cell r="F431">
            <v>1831900000</v>
          </cell>
          <cell r="K431">
            <v>0</v>
          </cell>
          <cell r="M431">
            <v>1831900000</v>
          </cell>
        </row>
        <row r="432">
          <cell r="A432" t="str">
            <v>21478300</v>
          </cell>
          <cell r="F432">
            <v>1831900000</v>
          </cell>
          <cell r="K432">
            <v>0</v>
          </cell>
          <cell r="M432">
            <v>1831900000</v>
          </cell>
        </row>
        <row r="433">
          <cell r="A433" t="str">
            <v>21478300</v>
          </cell>
          <cell r="F433">
            <v>1831900000</v>
          </cell>
          <cell r="K433">
            <v>0</v>
          </cell>
          <cell r="M433">
            <v>1831900000</v>
          </cell>
        </row>
        <row r="434">
          <cell r="A434">
            <v>214784</v>
          </cell>
          <cell r="F434">
            <v>14250716000</v>
          </cell>
          <cell r="K434">
            <v>7118848550.29</v>
          </cell>
          <cell r="M434">
            <v>5959570736.4499998</v>
          </cell>
        </row>
        <row r="435">
          <cell r="A435" t="str">
            <v>21478400</v>
          </cell>
          <cell r="F435">
            <v>13872978000</v>
          </cell>
          <cell r="K435">
            <v>6999834047.8299999</v>
          </cell>
          <cell r="M435">
            <v>5884972433.1199999</v>
          </cell>
        </row>
        <row r="436">
          <cell r="A436" t="str">
            <v>21478400</v>
          </cell>
          <cell r="F436">
            <v>4465420000</v>
          </cell>
          <cell r="K436">
            <v>2345131864.1100001</v>
          </cell>
          <cell r="M436">
            <v>2119327851.51</v>
          </cell>
        </row>
        <row r="437">
          <cell r="A437" t="str">
            <v>21478400</v>
          </cell>
          <cell r="F437">
            <v>4465420000</v>
          </cell>
          <cell r="K437">
            <v>2345131864.1100001</v>
          </cell>
          <cell r="M437">
            <v>2119327851.51</v>
          </cell>
        </row>
        <row r="438">
          <cell r="A438" t="str">
            <v>21478400</v>
          </cell>
          <cell r="F438">
            <v>7227654000</v>
          </cell>
          <cell r="K438">
            <v>3518195339.3200002</v>
          </cell>
          <cell r="M438">
            <v>3708448221.6100001</v>
          </cell>
        </row>
        <row r="439">
          <cell r="A439" t="str">
            <v>21478400</v>
          </cell>
          <cell r="F439">
            <v>1537488000</v>
          </cell>
          <cell r="K439">
            <v>788065879.92999995</v>
          </cell>
          <cell r="M439">
            <v>749052426.42999995</v>
          </cell>
        </row>
        <row r="440">
          <cell r="A440" t="str">
            <v>21478400</v>
          </cell>
          <cell r="F440">
            <v>2806395000</v>
          </cell>
          <cell r="K440">
            <v>1361192300.1500001</v>
          </cell>
          <cell r="M440">
            <v>1444928417.0799999</v>
          </cell>
        </row>
        <row r="441">
          <cell r="A441" t="str">
            <v>21478400</v>
          </cell>
          <cell r="F441">
            <v>721716000</v>
          </cell>
          <cell r="K441">
            <v>718018275.75</v>
          </cell>
          <cell r="M441">
            <v>3559830.57</v>
          </cell>
        </row>
        <row r="442">
          <cell r="A442" t="str">
            <v>21478400</v>
          </cell>
          <cell r="F442">
            <v>1280679000</v>
          </cell>
          <cell r="K442">
            <v>650811025.49000001</v>
          </cell>
          <cell r="M442">
            <v>629639405.52999997</v>
          </cell>
        </row>
        <row r="443">
          <cell r="A443" t="str">
            <v>21478400</v>
          </cell>
          <cell r="F443">
            <v>881376000</v>
          </cell>
          <cell r="K443">
            <v>107858</v>
          </cell>
          <cell r="M443">
            <v>881268142</v>
          </cell>
        </row>
        <row r="444">
          <cell r="A444" t="str">
            <v>21478400</v>
          </cell>
          <cell r="F444">
            <v>1054142000</v>
          </cell>
          <cell r="K444">
            <v>570452308</v>
          </cell>
          <cell r="M444">
            <v>28849690</v>
          </cell>
        </row>
        <row r="445">
          <cell r="A445" t="str">
            <v>21478400</v>
          </cell>
          <cell r="F445">
            <v>1000083000</v>
          </cell>
          <cell r="K445">
            <v>541198869</v>
          </cell>
          <cell r="M445">
            <v>27370220</v>
          </cell>
        </row>
        <row r="446">
          <cell r="A446" t="str">
            <v>21478400</v>
          </cell>
          <cell r="F446">
            <v>54059000</v>
          </cell>
          <cell r="K446">
            <v>29253439</v>
          </cell>
          <cell r="M446">
            <v>1479470</v>
          </cell>
        </row>
        <row r="447">
          <cell r="A447" t="str">
            <v>21478400</v>
          </cell>
          <cell r="F447">
            <v>1125762000</v>
          </cell>
          <cell r="K447">
            <v>566054536.39999998</v>
          </cell>
          <cell r="M447">
            <v>28346670</v>
          </cell>
        </row>
        <row r="448">
          <cell r="A448" t="str">
            <v>21478400</v>
          </cell>
          <cell r="F448">
            <v>549235000</v>
          </cell>
          <cell r="K448">
            <v>246647383</v>
          </cell>
          <cell r="M448">
            <v>15031430</v>
          </cell>
        </row>
        <row r="449">
          <cell r="A449" t="str">
            <v>21478400</v>
          </cell>
          <cell r="F449">
            <v>162176000</v>
          </cell>
          <cell r="K449">
            <v>87760236</v>
          </cell>
          <cell r="M449">
            <v>4438410</v>
          </cell>
        </row>
        <row r="450">
          <cell r="A450" t="str">
            <v>21478400</v>
          </cell>
          <cell r="F450">
            <v>324351000</v>
          </cell>
          <cell r="K450">
            <v>175520497</v>
          </cell>
          <cell r="M450">
            <v>8876830</v>
          </cell>
        </row>
        <row r="451">
          <cell r="A451" t="str">
            <v>21478400</v>
          </cell>
          <cell r="F451">
            <v>90000000</v>
          </cell>
          <cell r="K451">
            <v>56126420.399999999</v>
          </cell>
          <cell r="M451">
            <v>0</v>
          </cell>
        </row>
        <row r="452">
          <cell r="A452" t="str">
            <v>21478400</v>
          </cell>
          <cell r="F452">
            <v>39000000</v>
          </cell>
          <cell r="K452">
            <v>549114</v>
          </cell>
          <cell r="M452">
            <v>0</v>
          </cell>
        </row>
        <row r="453">
          <cell r="A453" t="str">
            <v>21478400</v>
          </cell>
          <cell r="F453">
            <v>39000000</v>
          </cell>
          <cell r="K453">
            <v>549114</v>
          </cell>
          <cell r="M453">
            <v>0</v>
          </cell>
        </row>
        <row r="454">
          <cell r="A454" t="str">
            <v>21478400</v>
          </cell>
          <cell r="F454">
            <v>39000000</v>
          </cell>
          <cell r="K454">
            <v>549114</v>
          </cell>
          <cell r="M454">
            <v>0</v>
          </cell>
        </row>
        <row r="455">
          <cell r="A455" t="str">
            <v>21478400</v>
          </cell>
          <cell r="F455">
            <v>338738000</v>
          </cell>
          <cell r="K455">
            <v>118465388.45999999</v>
          </cell>
          <cell r="M455">
            <v>74598303.329999998</v>
          </cell>
        </row>
        <row r="456">
          <cell r="A456" t="str">
            <v>21478400</v>
          </cell>
          <cell r="F456">
            <v>89738000</v>
          </cell>
          <cell r="K456">
            <v>48560657.409999996</v>
          </cell>
          <cell r="M456">
            <v>2455930</v>
          </cell>
        </row>
        <row r="457">
          <cell r="A457" t="str">
            <v>21478400</v>
          </cell>
          <cell r="F457">
            <v>62708000</v>
          </cell>
          <cell r="K457">
            <v>33933953.369999997</v>
          </cell>
          <cell r="M457">
            <v>1716190</v>
          </cell>
        </row>
        <row r="458">
          <cell r="A458" t="str">
            <v>21478400</v>
          </cell>
          <cell r="F458">
            <v>27030000</v>
          </cell>
          <cell r="K458">
            <v>14626704.039999999</v>
          </cell>
          <cell r="M458">
            <v>739740</v>
          </cell>
        </row>
        <row r="459">
          <cell r="A459" t="str">
            <v>21478400</v>
          </cell>
          <cell r="F459">
            <v>220250000</v>
          </cell>
          <cell r="K459">
            <v>52076414.850000001</v>
          </cell>
          <cell r="M459">
            <v>68142373.329999998</v>
          </cell>
        </row>
      </sheetData>
      <sheetData sheetId="3"/>
      <sheetData sheetId="4"/>
      <sheetData sheetId="5"/>
      <sheetData sheetId="6"/>
      <sheetData sheetId="7">
        <row r="5">
          <cell r="C5" t="str">
            <v xml:space="preserve">Apropiación Actual </v>
          </cell>
          <cell r="G5" t="str">
            <v>Compromiso</v>
          </cell>
          <cell r="L5" t="str">
            <v>Devengado</v>
          </cell>
          <cell r="N5" t="str">
            <v xml:space="preserve">Disponible Presupuestario </v>
          </cell>
        </row>
        <row r="6">
          <cell r="B6" t="str">
            <v>PROG 779</v>
          </cell>
          <cell r="D6">
            <v>2.0521267803394246E-2</v>
          </cell>
          <cell r="I6">
            <v>0.11534050548301988</v>
          </cell>
          <cell r="M6">
            <v>0.4069365961545035</v>
          </cell>
          <cell r="O6">
            <v>0.47438405129255068</v>
          </cell>
        </row>
        <row r="7">
          <cell r="B7" t="str">
            <v>PROG 780</v>
          </cell>
          <cell r="D7">
            <v>9.0822791052947542E-3</v>
          </cell>
          <cell r="I7">
            <v>7.3769272787640755E-2</v>
          </cell>
          <cell r="M7">
            <v>0.39953349776620251</v>
          </cell>
          <cell r="O7">
            <v>0.51731043492765927</v>
          </cell>
        </row>
        <row r="8">
          <cell r="B8" t="str">
            <v>PROG 781</v>
          </cell>
          <cell r="D8">
            <v>8.2958903942111473E-2</v>
          </cell>
          <cell r="I8">
            <v>8.4133605358179708E-2</v>
          </cell>
          <cell r="M8">
            <v>0.44453446791071144</v>
          </cell>
          <cell r="O8">
            <v>0.45431463498618929</v>
          </cell>
        </row>
        <row r="9">
          <cell r="B9" t="str">
            <v>PROG 783</v>
          </cell>
          <cell r="D9">
            <v>0.78438350075466767</v>
          </cell>
          <cell r="I9">
            <v>0.10534467342561989</v>
          </cell>
          <cell r="M9">
            <v>0.44022075114807946</v>
          </cell>
          <cell r="O9">
            <v>0.44041643007037978</v>
          </cell>
        </row>
        <row r="10">
          <cell r="B10" t="str">
            <v>PROG 784</v>
          </cell>
          <cell r="D10">
            <v>0.1030540483945319</v>
          </cell>
          <cell r="I10">
            <v>8.2262302698334594E-2</v>
          </cell>
          <cell r="M10">
            <v>0.49954321946279751</v>
          </cell>
          <cell r="O10">
            <v>0.41819447783886787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SIGAF"/>
      <sheetName val="ejecución"/>
      <sheetName val="Resumen partida"/>
      <sheetName val="Hoja4"/>
      <sheetName val="proyeccion"/>
      <sheetName val="Resumen por Partida"/>
      <sheetName val="comport. resumen"/>
      <sheetName val="mensual"/>
    </sheetNames>
    <sheetDataSet>
      <sheetData sheetId="0">
        <row r="10">
          <cell r="C10">
            <v>2837761000</v>
          </cell>
          <cell r="E10">
            <v>2559950</v>
          </cell>
          <cell r="G10">
            <v>327308788.18000001</v>
          </cell>
          <cell r="I10">
            <v>6914900</v>
          </cell>
          <cell r="K10">
            <v>1154788802.04</v>
          </cell>
          <cell r="O10">
            <v>1346188559.78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1255933000</v>
          </cell>
          <cell r="E10">
            <v>11789185</v>
          </cell>
          <cell r="G10">
            <v>92649264.080000013</v>
          </cell>
          <cell r="I10">
            <v>0</v>
          </cell>
          <cell r="K10">
            <v>501787304.44999999</v>
          </cell>
          <cell r="O10">
            <v>649707246.46999991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ion"/>
      <sheetName val="comport.resumen"/>
      <sheetName val="mensual"/>
    </sheetNames>
    <sheetDataSet>
      <sheetData sheetId="0">
        <row r="10">
          <cell r="C10">
            <v>11471881000</v>
          </cell>
          <cell r="E10">
            <v>170024102.88999999</v>
          </cell>
          <cell r="G10">
            <v>965170708.76999998</v>
          </cell>
          <cell r="I10">
            <v>25196242.949999999</v>
          </cell>
          <cell r="K10">
            <v>5099646516.2700005</v>
          </cell>
          <cell r="O10">
            <v>5211843429.1199999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Presupues Ley vrs Actual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108467611690</v>
          </cell>
          <cell r="E10">
            <v>1500283364.5999999</v>
          </cell>
          <cell r="G10">
            <v>11426485130.74</v>
          </cell>
          <cell r="I10">
            <v>20231382.48</v>
          </cell>
          <cell r="K10">
            <v>47749693493.410004</v>
          </cell>
          <cell r="O10">
            <v>47770918318.769997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14250716000</v>
          </cell>
          <cell r="E10">
            <v>0</v>
          </cell>
          <cell r="G10">
            <v>1172296713.26</v>
          </cell>
          <cell r="J10">
            <v>0</v>
          </cell>
          <cell r="K10">
            <v>7118848550.29</v>
          </cell>
          <cell r="O10">
            <v>5959570736.4499998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217"/>
  <sheetViews>
    <sheetView topLeftCell="A193" zoomScaleNormal="100" workbookViewId="0">
      <selection activeCell="A5" sqref="A5:R5"/>
    </sheetView>
  </sheetViews>
  <sheetFormatPr baseColWidth="10" defaultRowHeight="15" x14ac:dyDescent="0.25"/>
  <cols>
    <col min="1" max="1" width="16.85546875" customWidth="1"/>
    <col min="2" max="2" width="25.42578125" customWidth="1"/>
    <col min="3" max="3" width="19.5703125" customWidth="1"/>
    <col min="4" max="4" width="18.5703125" customWidth="1"/>
    <col min="5" max="5" width="17.5703125" customWidth="1"/>
    <col min="6" max="6" width="6.85546875" style="14" customWidth="1"/>
    <col min="7" max="7" width="18.5703125" customWidth="1"/>
    <col min="8" max="8" width="8.7109375" bestFit="1" customWidth="1"/>
    <col min="9" max="9" width="16.85546875" bestFit="1" customWidth="1"/>
    <col min="10" max="10" width="10.7109375" customWidth="1"/>
    <col min="11" max="11" width="16.85546875" customWidth="1"/>
    <col min="12" max="12" width="8.85546875" customWidth="1"/>
    <col min="13" max="13" width="18.140625" customWidth="1"/>
    <col min="14" max="14" width="8.28515625" customWidth="1"/>
    <col min="15" max="15" width="17" style="87" customWidth="1"/>
    <col min="16" max="16" width="7.7109375" bestFit="1" customWidth="1"/>
    <col min="17" max="17" width="16.5703125" customWidth="1"/>
    <col min="18" max="18" width="7.7109375" bestFit="1" customWidth="1"/>
    <col min="19" max="19" width="15.28515625" bestFit="1" customWidth="1"/>
  </cols>
  <sheetData>
    <row r="1" spans="1:18" ht="15.75" x14ac:dyDescent="0.25">
      <c r="A1" s="276" t="s">
        <v>22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</row>
    <row r="2" spans="1:18" ht="15.75" x14ac:dyDescent="0.25">
      <c r="A2" s="279" t="s">
        <v>23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1"/>
    </row>
    <row r="3" spans="1:18" ht="15.75" x14ac:dyDescent="0.25">
      <c r="A3" s="279" t="s">
        <v>69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1"/>
    </row>
    <row r="4" spans="1:18" ht="15.75" x14ac:dyDescent="0.25">
      <c r="A4" s="285" t="s">
        <v>661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7"/>
    </row>
    <row r="5" spans="1:18" ht="15.75" x14ac:dyDescent="0.25">
      <c r="A5" s="282" t="s">
        <v>55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4"/>
    </row>
    <row r="6" spans="1:18" ht="15.75" x14ac:dyDescent="0.25">
      <c r="A6" s="279" t="s">
        <v>596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1"/>
    </row>
    <row r="7" spans="1:18" ht="15.75" thickBot="1" x14ac:dyDescent="0.3">
      <c r="A7" s="1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84"/>
      <c r="P7" s="2"/>
      <c r="Q7" s="2"/>
      <c r="R7" s="3"/>
    </row>
    <row r="8" spans="1:18" ht="24" x14ac:dyDescent="0.25">
      <c r="A8" s="52" t="s">
        <v>24</v>
      </c>
      <c r="B8" s="52" t="s">
        <v>536</v>
      </c>
      <c r="C8" s="52" t="s">
        <v>25</v>
      </c>
      <c r="D8" s="52" t="s">
        <v>539</v>
      </c>
      <c r="E8" s="52" t="s">
        <v>27</v>
      </c>
      <c r="F8" s="52" t="s">
        <v>28</v>
      </c>
      <c r="G8" s="52" t="s">
        <v>29</v>
      </c>
      <c r="H8" s="52" t="s">
        <v>30</v>
      </c>
      <c r="I8" s="52" t="s">
        <v>31</v>
      </c>
      <c r="J8" s="52" t="s">
        <v>32</v>
      </c>
      <c r="K8" s="52" t="s">
        <v>33</v>
      </c>
      <c r="L8" s="52" t="s">
        <v>34</v>
      </c>
      <c r="M8" s="52" t="s">
        <v>35</v>
      </c>
      <c r="N8" s="52" t="s">
        <v>36</v>
      </c>
      <c r="O8" s="52" t="s">
        <v>538</v>
      </c>
      <c r="P8" s="52" t="s">
        <v>38</v>
      </c>
      <c r="Q8" s="52" t="s">
        <v>552</v>
      </c>
      <c r="R8" s="53" t="s">
        <v>40</v>
      </c>
    </row>
    <row r="9" spans="1:18" x14ac:dyDescent="0.25">
      <c r="A9" s="11" t="s">
        <v>41</v>
      </c>
      <c r="B9" s="11"/>
      <c r="C9" s="11" t="s">
        <v>42</v>
      </c>
      <c r="D9" s="11" t="s">
        <v>42</v>
      </c>
      <c r="E9" s="11" t="s">
        <v>42</v>
      </c>
      <c r="F9" s="12"/>
      <c r="G9" s="11" t="s">
        <v>42</v>
      </c>
      <c r="H9" s="11"/>
      <c r="I9" s="11" t="s">
        <v>42</v>
      </c>
      <c r="J9" s="11"/>
      <c r="K9" s="11" t="s">
        <v>42</v>
      </c>
      <c r="L9" s="11"/>
      <c r="M9" s="11" t="s">
        <v>42</v>
      </c>
      <c r="N9" s="11"/>
      <c r="O9" s="85" t="s">
        <v>42</v>
      </c>
      <c r="P9" s="11"/>
      <c r="Q9" s="11" t="s">
        <v>42</v>
      </c>
      <c r="R9" s="13"/>
    </row>
    <row r="10" spans="1:18" s="23" customFormat="1" x14ac:dyDescent="0.25">
      <c r="A10">
        <v>214</v>
      </c>
      <c r="B10" s="21"/>
      <c r="C10" s="35">
        <f>SUMIF(sigaf!$A$2:$A$470,$A10,sigaf!$F$2:$F$470)</f>
        <v>143111405132.42001</v>
      </c>
      <c r="D10" s="35">
        <f>SUMIF(sigaf!$A$2:$A$470,$A10,sigaf!$G$2:$G$470)</f>
        <v>143098560293.42001</v>
      </c>
      <c r="E10" s="35">
        <f>SUMIF(sigaf!$A$2:$A$470,$A10,sigaf!$H$2:$H$470)</f>
        <v>0</v>
      </c>
      <c r="F10" s="65">
        <f>+IFERROR(+E10/$C10,0)</f>
        <v>0</v>
      </c>
      <c r="G10" s="35">
        <f>SUMIF(sigaf!$A$2:$A$470,$A10,sigaf!$I$2:$I$470)</f>
        <v>93466512.689999998</v>
      </c>
      <c r="H10" s="65">
        <f>+IFERROR(+G10/$C10,0)</f>
        <v>6.5310317233987093E-4</v>
      </c>
      <c r="I10" s="35">
        <f>SUMIF(sigaf!$A$2:$A$470,$A10,sigaf!$J$2:$J$470)</f>
        <v>0</v>
      </c>
      <c r="J10" s="65">
        <f>+IFERROR(+I10/$C10,0)</f>
        <v>0</v>
      </c>
      <c r="K10" s="35">
        <f>SUMIF(sigaf!$A$2:$A$470,$A10,sigaf!$K$2:$K$470)</f>
        <v>133752594481.5</v>
      </c>
      <c r="L10" s="138">
        <f t="shared" ref="L10:L11" si="0">+IFERROR(+K10/$C10,0)</f>
        <v>0.93460471831535463</v>
      </c>
      <c r="M10" s="35">
        <f>SUMIF(sigaf!$A$2:$A$470,$A10,sigaf!$L$2:$L$470)</f>
        <v>131401421073.57001</v>
      </c>
      <c r="N10" s="65">
        <f>+IFERROR(+M10/$C10,0)</f>
        <v>0.91817574533619573</v>
      </c>
      <c r="O10" s="35">
        <f>SUMIF(sigaf!$A$2:$A$470,$A10,sigaf!$M$2:$M$470)</f>
        <v>9265344138.2299995</v>
      </c>
      <c r="P10" s="65">
        <f>+IFERROR(+O10/$C10,0)</f>
        <v>6.4742178512305432E-2</v>
      </c>
      <c r="Q10" s="35">
        <f>SUMIF(sigaf!$A$2:$A$470,$A10,sigaf!$N$2:$N$470)</f>
        <v>9252499299.2299995</v>
      </c>
      <c r="R10" s="65">
        <f>+IFERROR(+Q10/$C10,0)</f>
        <v>6.4652424386922369E-2</v>
      </c>
    </row>
    <row r="11" spans="1:18" s="23" customFormat="1" x14ac:dyDescent="0.25">
      <c r="A11" s="21" t="s">
        <v>92</v>
      </c>
      <c r="B11" s="21" t="s">
        <v>93</v>
      </c>
      <c r="C11" s="35">
        <f>SUMIF(sigaf!$B$2:$B$470,$A11,sigaf!$F$2:$F$4704)</f>
        <v>93001065494</v>
      </c>
      <c r="D11" s="35">
        <f>SUMIF(sigaf!$B$2:$B$470,$A11,sigaf!$G$2:$G$470)</f>
        <v>92993551160</v>
      </c>
      <c r="E11" s="35">
        <f>SUMIF(sigaf!$B$2:$B$470,$A11,sigaf!$H$2:$H$470)</f>
        <v>0</v>
      </c>
      <c r="F11" s="65">
        <f t="shared" ref="F11:F74" si="1">+IFERROR(+E11/$C11,0)</f>
        <v>0</v>
      </c>
      <c r="G11" s="35">
        <f>SUMIF(sigaf!$B$2:$B$470,$A11,sigaf!$I$2:$I$470)</f>
        <v>0</v>
      </c>
      <c r="H11" s="65">
        <f t="shared" ref="H11:J74" si="2">+IFERROR(+G11/$C11,0)</f>
        <v>0</v>
      </c>
      <c r="I11" s="35">
        <f>SUMIF(sigaf!$B$2:$B$470,$A11,sigaf!$J$2:$J$470)</f>
        <v>0</v>
      </c>
      <c r="J11" s="65">
        <f t="shared" si="2"/>
        <v>0</v>
      </c>
      <c r="K11" s="35">
        <f>SUMIF(sigaf!$B$2:$B$470,$A11,sigaf!$K$2:$K$470)</f>
        <v>88405349792.529999</v>
      </c>
      <c r="L11" s="138">
        <f t="shared" si="0"/>
        <v>0.95058426828704989</v>
      </c>
      <c r="M11" s="35">
        <f>SUMIF(sigaf!$B$2:$B$470,$A11,sigaf!$L$2:$L$470)</f>
        <v>88405349792.529999</v>
      </c>
      <c r="N11" s="65">
        <f t="shared" ref="N11:N74" si="3">+IFERROR(+M11/$C11,0)</f>
        <v>0.95058426828704989</v>
      </c>
      <c r="O11" s="86">
        <f>SUMIF(sigaf!$B$2:$B$470,$A11,sigaf!$M$2:$M$470)</f>
        <v>4595715701.4699993</v>
      </c>
      <c r="P11" s="65">
        <f t="shared" ref="P11:P74" si="4">+IFERROR(+O11/$C11,0)</f>
        <v>4.9415731712950037E-2</v>
      </c>
      <c r="Q11" s="35">
        <f>SUMIF(sigaf!$B$2:$B$470,$A11,sigaf!$N$2:$N$470)</f>
        <v>4588201367.4699993</v>
      </c>
      <c r="R11" s="65">
        <f t="shared" ref="R11:R74" si="5">+IFERROR(+Q11/$C11,0)</f>
        <v>4.9334933348328239E-2</v>
      </c>
    </row>
    <row r="12" spans="1:18" x14ac:dyDescent="0.25">
      <c r="A12" s="11" t="s">
        <v>94</v>
      </c>
      <c r="B12" s="11" t="s">
        <v>405</v>
      </c>
      <c r="C12" s="13">
        <f>SUMIF(sigaf!$B$2:$B$470,$A12,sigaf!$F$2:$F$470)</f>
        <v>33487303627</v>
      </c>
      <c r="D12" s="13">
        <f>SUMIF(sigaf!$B$2:$B$470,$A12,sigaf!$G$2:$G$470)</f>
        <v>33481785377</v>
      </c>
      <c r="E12" s="13">
        <f>SUMIF(sigaf!$B$2:$B$470,$A12,sigaf!$H$2:$H$470)</f>
        <v>0</v>
      </c>
      <c r="F12" s="66">
        <f t="shared" si="1"/>
        <v>0</v>
      </c>
      <c r="G12" s="130">
        <f>SUMIF(sigaf!$B$2:$B$470,$A12,sigaf!$I$2:$I$470)</f>
        <v>0</v>
      </c>
      <c r="H12" s="66">
        <f t="shared" si="2"/>
        <v>0</v>
      </c>
      <c r="I12" s="13">
        <f>SUMIF(sigaf!$B$2:$B$470,$A12,sigaf!$J$2:$J$470)</f>
        <v>0</v>
      </c>
      <c r="J12" s="66">
        <f t="shared" si="2"/>
        <v>0</v>
      </c>
      <c r="K12" s="13">
        <f>SUMIF(sigaf!$B$2:$B$470,$A12,sigaf!$K$2:$K$470)</f>
        <v>31580969504.849998</v>
      </c>
      <c r="L12" s="139">
        <f>+IFERROR(+K12/$C12,0)</f>
        <v>0.94307292867219772</v>
      </c>
      <c r="M12" s="13">
        <f>SUMIF(sigaf!$B$2:$B$470,$A12,sigaf!$L$2:$L$470)</f>
        <v>31580969504.849998</v>
      </c>
      <c r="N12" s="66">
        <f t="shared" si="3"/>
        <v>0.94307292867219772</v>
      </c>
      <c r="O12" s="85">
        <f>SUMIF(sigaf!$B$2:$B$470,$A12,sigaf!$M$2:$M$470)</f>
        <v>1906334122.1500001</v>
      </c>
      <c r="P12" s="66">
        <f t="shared" si="4"/>
        <v>5.6927071327802253E-2</v>
      </c>
      <c r="Q12" s="13">
        <f>SUMIF(sigaf!$B$2:$B$470,$A12,sigaf!$N$2:$N$470)</f>
        <v>1900815872.1500001</v>
      </c>
      <c r="R12" s="66">
        <f t="shared" si="5"/>
        <v>5.6762284993809364E-2</v>
      </c>
    </row>
    <row r="13" spans="1:18" x14ac:dyDescent="0.25">
      <c r="A13" s="11" t="s">
        <v>96</v>
      </c>
      <c r="B13" s="11" t="s">
        <v>406</v>
      </c>
      <c r="C13" s="13">
        <f>SUMIF(sigaf!$B$2:$B$470,$A13,sigaf!$F$2:$F$470)</f>
        <v>33465187627</v>
      </c>
      <c r="D13" s="13">
        <f>SUMIF(sigaf!$B$2:$B$470,$A13,sigaf!$G$2:$G$470)</f>
        <v>33459669377</v>
      </c>
      <c r="E13" s="13">
        <f>SUMIF(sigaf!$B$2:$B$470,$A13,sigaf!$H$2:$H$470)</f>
        <v>0</v>
      </c>
      <c r="F13" s="66">
        <f t="shared" si="1"/>
        <v>0</v>
      </c>
      <c r="G13" s="130">
        <f>SUMIF(sigaf!$B$2:$B$470,$A13,sigaf!$I$2:$I$470)</f>
        <v>0</v>
      </c>
      <c r="H13" s="66">
        <f t="shared" si="2"/>
        <v>0</v>
      </c>
      <c r="I13" s="13">
        <f>SUMIF(sigaf!$B$2:$B$470,$A13,sigaf!$J$2:$J$470)</f>
        <v>0</v>
      </c>
      <c r="J13" s="66">
        <f t="shared" si="2"/>
        <v>0</v>
      </c>
      <c r="K13" s="13">
        <f>SUMIF(sigaf!$B$2:$B$470,$A13,sigaf!$K$2:$K$470)</f>
        <v>31565697704.849998</v>
      </c>
      <c r="L13" s="139">
        <f t="shared" ref="L13:L76" si="6">+IFERROR(+K13/$C13,0)</f>
        <v>0.94323982452088584</v>
      </c>
      <c r="M13" s="13">
        <f>SUMIF(sigaf!$B$2:$B$470,$A13,sigaf!$L$2:$L$470)</f>
        <v>31565697704.849998</v>
      </c>
      <c r="N13" s="66">
        <f t="shared" si="3"/>
        <v>0.94323982452088584</v>
      </c>
      <c r="O13" s="85">
        <f>SUMIF(sigaf!$B$2:$B$470,$A13,sigaf!$M$2:$M$470)</f>
        <v>1899489922.1500001</v>
      </c>
      <c r="P13" s="66">
        <f t="shared" si="4"/>
        <v>5.6760175479114161E-2</v>
      </c>
      <c r="Q13" s="13">
        <f>SUMIF(sigaf!$B$2:$B$470,$A13,sigaf!$N$2:$N$470)</f>
        <v>1893971672.1500001</v>
      </c>
      <c r="R13" s="66">
        <f t="shared" si="5"/>
        <v>5.6595280243458952E-2</v>
      </c>
    </row>
    <row r="14" spans="1:18" x14ac:dyDescent="0.25">
      <c r="A14" s="11" t="s">
        <v>346</v>
      </c>
      <c r="B14" s="11" t="s">
        <v>347</v>
      </c>
      <c r="C14" s="13">
        <f>SUMIF(sigaf!$B$2:$B$470,$A14,sigaf!$F$2:$F$470)</f>
        <v>17116000</v>
      </c>
      <c r="D14" s="13">
        <f>SUMIF(sigaf!$B$2:$B$470,$A14,sigaf!$G$2:$G$470)</f>
        <v>17116000</v>
      </c>
      <c r="E14" s="13">
        <f>SUMIF(sigaf!$B$2:$B$470,$A14,sigaf!$H$2:$H$470)</f>
        <v>0</v>
      </c>
      <c r="F14" s="66">
        <f t="shared" si="1"/>
        <v>0</v>
      </c>
      <c r="G14" s="130">
        <f>SUMIF(sigaf!$B$2:$B$470,$A14,sigaf!$I$2:$I$470)</f>
        <v>0</v>
      </c>
      <c r="H14" s="66">
        <f t="shared" si="2"/>
        <v>0</v>
      </c>
      <c r="I14" s="13">
        <f>SUMIF(sigaf!$B$2:$B$470,$A14,sigaf!$J$2:$J$470)</f>
        <v>0</v>
      </c>
      <c r="J14" s="66">
        <f t="shared" si="2"/>
        <v>0</v>
      </c>
      <c r="K14" s="13">
        <f>SUMIF(sigaf!$B$2:$B$470,$A14,sigaf!$K$2:$K$470)</f>
        <v>15271800</v>
      </c>
      <c r="L14" s="139">
        <f t="shared" si="6"/>
        <v>0.89225286281841554</v>
      </c>
      <c r="M14" s="13">
        <f>SUMIF(sigaf!$B$2:$B$470,$A14,sigaf!$L$2:$L$470)</f>
        <v>15271800</v>
      </c>
      <c r="N14" s="66">
        <f t="shared" si="3"/>
        <v>0.89225286281841554</v>
      </c>
      <c r="O14" s="85">
        <f>SUMIF(sigaf!$B$2:$B$470,$A14,sigaf!$M$2:$M$470)</f>
        <v>1844200</v>
      </c>
      <c r="P14" s="66">
        <f t="shared" si="4"/>
        <v>0.10774713718158448</v>
      </c>
      <c r="Q14" s="13">
        <f>SUMIF(sigaf!$B$2:$B$470,$A14,sigaf!$N$2:$N$470)</f>
        <v>1844200</v>
      </c>
      <c r="R14" s="66">
        <f t="shared" si="5"/>
        <v>0.10774713718158448</v>
      </c>
    </row>
    <row r="15" spans="1:18" x14ac:dyDescent="0.25">
      <c r="A15" s="11" t="s">
        <v>313</v>
      </c>
      <c r="B15" s="11" t="s">
        <v>314</v>
      </c>
      <c r="C15" s="13">
        <f>SUMIF(sigaf!$B$2:$B$470,$A15,sigaf!$F$2:$F$470)</f>
        <v>5000000</v>
      </c>
      <c r="D15" s="13">
        <f>SUMIF(sigaf!$B$2:$B$470,$A15,sigaf!$G$2:$G$470)</f>
        <v>5000000</v>
      </c>
      <c r="E15" s="13">
        <f>SUMIF(sigaf!$B$2:$B$470,$A15,sigaf!$H$2:$H$470)</f>
        <v>0</v>
      </c>
      <c r="F15" s="66">
        <f t="shared" si="1"/>
        <v>0</v>
      </c>
      <c r="G15" s="130">
        <f>SUMIF(sigaf!$B$2:$B$470,$A15,sigaf!$I$2:$I$470)</f>
        <v>0</v>
      </c>
      <c r="H15" s="66">
        <f t="shared" si="2"/>
        <v>0</v>
      </c>
      <c r="I15" s="13">
        <f>SUMIF(sigaf!$B$2:$B$470,$A15,sigaf!$J$2:$J$470)</f>
        <v>0</v>
      </c>
      <c r="J15" s="66">
        <f t="shared" si="2"/>
        <v>0</v>
      </c>
      <c r="K15" s="13">
        <f>SUMIF(sigaf!$B$2:$B$470,$A15,sigaf!$K$2:$K$470)</f>
        <v>0</v>
      </c>
      <c r="L15" s="139">
        <f t="shared" si="6"/>
        <v>0</v>
      </c>
      <c r="M15" s="13">
        <f>SUMIF(sigaf!$B$2:$B$470,$A15,sigaf!$L$2:$L$470)</f>
        <v>0</v>
      </c>
      <c r="N15" s="66">
        <f t="shared" si="3"/>
        <v>0</v>
      </c>
      <c r="O15" s="85">
        <f>SUMIF(sigaf!$B$2:$B$470,$A15,sigaf!$M$2:$M$470)</f>
        <v>5000000</v>
      </c>
      <c r="P15" s="66">
        <f t="shared" si="4"/>
        <v>1</v>
      </c>
      <c r="Q15" s="13">
        <f>SUMIF(sigaf!$B$2:$B$470,$A15,sigaf!$N$2:$N$470)</f>
        <v>5000000</v>
      </c>
      <c r="R15" s="66">
        <f t="shared" si="5"/>
        <v>1</v>
      </c>
    </row>
    <row r="16" spans="1:18" x14ac:dyDescent="0.25">
      <c r="A16" s="11" t="s">
        <v>98</v>
      </c>
      <c r="B16" s="11" t="s">
        <v>407</v>
      </c>
      <c r="C16" s="13">
        <f>SUMIF(sigaf!$B$2:$B$470,$A16,sigaf!$F$2:$F$470)</f>
        <v>3707791000</v>
      </c>
      <c r="D16" s="13">
        <f>SUMIF(sigaf!$B$2:$B$470,$A16,sigaf!$G$2:$G$470)</f>
        <v>3707791000</v>
      </c>
      <c r="E16" s="13">
        <f>SUMIF(sigaf!$B$2:$B$470,$A16,sigaf!$H$2:$H$470)</f>
        <v>0</v>
      </c>
      <c r="F16" s="66">
        <f t="shared" si="1"/>
        <v>0</v>
      </c>
      <c r="G16" s="130">
        <f>SUMIF(sigaf!$B$2:$B$470,$A16,sigaf!$I$2:$I$470)</f>
        <v>0</v>
      </c>
      <c r="H16" s="66">
        <f t="shared" si="2"/>
        <v>0</v>
      </c>
      <c r="I16" s="13">
        <f>SUMIF(sigaf!$B$2:$B$470,$A16,sigaf!$J$2:$J$470)</f>
        <v>0</v>
      </c>
      <c r="J16" s="66">
        <f t="shared" si="2"/>
        <v>0</v>
      </c>
      <c r="K16" s="13">
        <f>SUMIF(sigaf!$B$2:$B$470,$A16,sigaf!$K$2:$K$470)</f>
        <v>3622201506.9299998</v>
      </c>
      <c r="L16" s="139">
        <f t="shared" si="6"/>
        <v>0.97691631133739731</v>
      </c>
      <c r="M16" s="13">
        <f>SUMIF(sigaf!$B$2:$B$470,$A16,sigaf!$L$2:$L$470)</f>
        <v>3622201506.9299998</v>
      </c>
      <c r="N16" s="66">
        <f t="shared" si="3"/>
        <v>0.97691631133739731</v>
      </c>
      <c r="O16" s="85">
        <f>SUMIF(sigaf!$B$2:$B$470,$A16,sigaf!$M$2:$M$470)</f>
        <v>85589493.070000008</v>
      </c>
      <c r="P16" s="66">
        <f t="shared" si="4"/>
        <v>2.3083688662602613E-2</v>
      </c>
      <c r="Q16" s="13">
        <f>SUMIF(sigaf!$B$2:$B$470,$A16,sigaf!$N$2:$N$470)</f>
        <v>85589493.070000008</v>
      </c>
      <c r="R16" s="66">
        <f t="shared" si="5"/>
        <v>2.3083688662602613E-2</v>
      </c>
    </row>
    <row r="17" spans="1:18" x14ac:dyDescent="0.25">
      <c r="A17" s="11" t="s">
        <v>100</v>
      </c>
      <c r="B17" s="11" t="s">
        <v>408</v>
      </c>
      <c r="C17" s="13">
        <f>SUMIF(sigaf!$B$2:$B$470,$A17,sigaf!$F$2:$F$470)</f>
        <v>19000000</v>
      </c>
      <c r="D17" s="13">
        <f>SUMIF(sigaf!$B$2:$B$470,$A17,sigaf!$G$2:$G$470)</f>
        <v>19000000</v>
      </c>
      <c r="E17" s="13">
        <f>SUMIF(sigaf!$B$2:$B$470,$A17,sigaf!$H$2:$H$470)</f>
        <v>0</v>
      </c>
      <c r="F17" s="66">
        <f t="shared" si="1"/>
        <v>0</v>
      </c>
      <c r="G17" s="130">
        <f>SUMIF(sigaf!$B$2:$B$470,$A17,sigaf!$I$2:$I$470)</f>
        <v>0</v>
      </c>
      <c r="H17" s="66">
        <f t="shared" si="2"/>
        <v>0</v>
      </c>
      <c r="I17" s="13">
        <f>SUMIF(sigaf!$B$2:$B$470,$A17,sigaf!$J$2:$J$470)</f>
        <v>0</v>
      </c>
      <c r="J17" s="66">
        <f t="shared" si="2"/>
        <v>0</v>
      </c>
      <c r="K17" s="13">
        <f>SUMIF(sigaf!$B$2:$B$470,$A17,sigaf!$K$2:$K$470)</f>
        <v>13030495.280000001</v>
      </c>
      <c r="L17" s="139">
        <f t="shared" si="6"/>
        <v>0.68581554105263165</v>
      </c>
      <c r="M17" s="13">
        <f>SUMIF(sigaf!$B$2:$B$470,$A17,sigaf!$L$2:$L$470)</f>
        <v>13030495.280000001</v>
      </c>
      <c r="N17" s="66">
        <f t="shared" si="3"/>
        <v>0.68581554105263165</v>
      </c>
      <c r="O17" s="85">
        <f>SUMIF(sigaf!$B$2:$B$470,$A17,sigaf!$M$2:$M$470)</f>
        <v>5969504.7199999997</v>
      </c>
      <c r="P17" s="66">
        <f t="shared" si="4"/>
        <v>0.31418445894736841</v>
      </c>
      <c r="Q17" s="13">
        <f>SUMIF(sigaf!$B$2:$B$470,$A17,sigaf!$N$2:$N$470)</f>
        <v>5969504.7199999997</v>
      </c>
      <c r="R17" s="66">
        <f t="shared" si="5"/>
        <v>0.31418445894736841</v>
      </c>
    </row>
    <row r="18" spans="1:18" x14ac:dyDescent="0.25">
      <c r="A18" s="11" t="s">
        <v>348</v>
      </c>
      <c r="B18" s="11" t="s">
        <v>349</v>
      </c>
      <c r="C18" s="13">
        <f>SUMIF(sigaf!$B$2:$B$470,$A18,sigaf!$F$2:$F$470)</f>
        <v>14994000</v>
      </c>
      <c r="D18" s="13">
        <f>SUMIF(sigaf!$B$2:$B$470,$A18,sigaf!$G$2:$G$470)</f>
        <v>14994000</v>
      </c>
      <c r="E18" s="13">
        <f>SUMIF(sigaf!$B$2:$B$470,$A18,sigaf!$H$2:$H$470)</f>
        <v>0</v>
      </c>
      <c r="F18" s="66">
        <f t="shared" si="1"/>
        <v>0</v>
      </c>
      <c r="G18" s="130">
        <f>SUMIF(sigaf!$B$2:$B$470,$A18,sigaf!$I$2:$I$470)</f>
        <v>0</v>
      </c>
      <c r="H18" s="66">
        <f t="shared" si="2"/>
        <v>0</v>
      </c>
      <c r="I18" s="13">
        <f>SUMIF(sigaf!$B$2:$B$470,$A18,sigaf!$J$2:$J$470)</f>
        <v>0</v>
      </c>
      <c r="J18" s="66">
        <f t="shared" si="2"/>
        <v>0</v>
      </c>
      <c r="K18" s="13">
        <f>SUMIF(sigaf!$B$2:$B$470,$A18,sigaf!$K$2:$K$470)</f>
        <v>5854231</v>
      </c>
      <c r="L18" s="139">
        <f t="shared" si="6"/>
        <v>0.39043824196345206</v>
      </c>
      <c r="M18" s="13">
        <f>SUMIF(sigaf!$B$2:$B$470,$A18,sigaf!$L$2:$L$470)</f>
        <v>5854231</v>
      </c>
      <c r="N18" s="66">
        <f t="shared" si="3"/>
        <v>0.39043824196345206</v>
      </c>
      <c r="O18" s="85">
        <f>SUMIF(sigaf!$B$2:$B$470,$A18,sigaf!$M$2:$M$470)</f>
        <v>9139769</v>
      </c>
      <c r="P18" s="66">
        <f t="shared" si="4"/>
        <v>0.609561758036548</v>
      </c>
      <c r="Q18" s="13">
        <f>SUMIF(sigaf!$B$2:$B$470,$A18,sigaf!$N$2:$N$470)</f>
        <v>9139769</v>
      </c>
      <c r="R18" s="66">
        <f t="shared" si="5"/>
        <v>0.609561758036548</v>
      </c>
    </row>
    <row r="19" spans="1:18" x14ac:dyDescent="0.25">
      <c r="A19" s="11" t="s">
        <v>350</v>
      </c>
      <c r="B19" s="11" t="s">
        <v>409</v>
      </c>
      <c r="C19" s="13">
        <f>SUMIF(sigaf!$B$2:$B$470,$A19,sigaf!$F$2:$F$470)</f>
        <v>3673797000</v>
      </c>
      <c r="D19" s="13">
        <f>SUMIF(sigaf!$B$2:$B$470,$A19,sigaf!$G$2:$G$470)</f>
        <v>3673797000</v>
      </c>
      <c r="E19" s="13">
        <f>SUMIF(sigaf!$B$2:$B$470,$A19,sigaf!$H$2:$H$470)</f>
        <v>0</v>
      </c>
      <c r="F19" s="66">
        <f t="shared" si="1"/>
        <v>0</v>
      </c>
      <c r="G19" s="130">
        <f>SUMIF(sigaf!$B$2:$B$470,$A19,sigaf!$I$2:$I$470)</f>
        <v>0</v>
      </c>
      <c r="H19" s="66">
        <f t="shared" si="2"/>
        <v>0</v>
      </c>
      <c r="I19" s="13">
        <f>SUMIF(sigaf!$B$2:$B$470,$A19,sigaf!$J$2:$J$470)</f>
        <v>0</v>
      </c>
      <c r="J19" s="66">
        <f t="shared" si="2"/>
        <v>0</v>
      </c>
      <c r="K19" s="13">
        <f>SUMIF(sigaf!$B$2:$B$470,$A19,sigaf!$K$2:$K$470)</f>
        <v>3603316780.6500001</v>
      </c>
      <c r="L19" s="139">
        <f t="shared" si="6"/>
        <v>0.98081542900982288</v>
      </c>
      <c r="M19" s="13">
        <f>SUMIF(sigaf!$B$2:$B$470,$A19,sigaf!$L$2:$L$470)</f>
        <v>3603316780.6500001</v>
      </c>
      <c r="N19" s="66">
        <f t="shared" si="3"/>
        <v>0.98081542900982288</v>
      </c>
      <c r="O19" s="85">
        <f>SUMIF(sigaf!$B$2:$B$470,$A19,sigaf!$M$2:$M$470)</f>
        <v>70480219.349999994</v>
      </c>
      <c r="P19" s="66">
        <f t="shared" si="4"/>
        <v>1.9184570990177192E-2</v>
      </c>
      <c r="Q19" s="13">
        <f>SUMIF(sigaf!$B$2:$B$470,$A19,sigaf!$N$2:$N$470)</f>
        <v>70480219.349999994</v>
      </c>
      <c r="R19" s="66">
        <f t="shared" si="5"/>
        <v>1.9184570990177192E-2</v>
      </c>
    </row>
    <row r="20" spans="1:18" x14ac:dyDescent="0.25">
      <c r="A20" s="11" t="s">
        <v>102</v>
      </c>
      <c r="B20" s="11" t="s">
        <v>410</v>
      </c>
      <c r="C20" s="13">
        <f>SUMIF(sigaf!$B$2:$B$470,$A20,sigaf!$F$2:$F$470)</f>
        <v>41584847642</v>
      </c>
      <c r="D20" s="13">
        <f>SUMIF(sigaf!$B$2:$B$470,$A20,sigaf!$G$2:$G$470)</f>
        <v>41584647642</v>
      </c>
      <c r="E20" s="13">
        <f>SUMIF(sigaf!$B$2:$B$470,$A20,sigaf!$H$2:$H$470)</f>
        <v>0</v>
      </c>
      <c r="F20" s="66">
        <f t="shared" si="1"/>
        <v>0</v>
      </c>
      <c r="G20" s="130">
        <f>SUMIF(sigaf!$B$2:$B$470,$A20,sigaf!$I$2:$I$470)</f>
        <v>0</v>
      </c>
      <c r="H20" s="66">
        <f t="shared" si="2"/>
        <v>0</v>
      </c>
      <c r="I20" s="13">
        <f>SUMIF(sigaf!$B$2:$B$470,$A20,sigaf!$J$2:$J$470)</f>
        <v>0</v>
      </c>
      <c r="J20" s="66">
        <f t="shared" si="2"/>
        <v>0</v>
      </c>
      <c r="K20" s="13">
        <f>SUMIF(sigaf!$B$2:$B$470,$A20,sigaf!$K$2:$K$470)</f>
        <v>39827501474.610001</v>
      </c>
      <c r="L20" s="139">
        <f t="shared" si="6"/>
        <v>0.95774070924778121</v>
      </c>
      <c r="M20" s="13">
        <f>SUMIF(sigaf!$B$2:$B$470,$A20,sigaf!$L$2:$L$470)</f>
        <v>39827501474.610001</v>
      </c>
      <c r="N20" s="66">
        <f t="shared" si="3"/>
        <v>0.95774070924778121</v>
      </c>
      <c r="O20" s="85">
        <f>SUMIF(sigaf!$B$2:$B$470,$A20,sigaf!$M$2:$M$470)</f>
        <v>1757346167.3899999</v>
      </c>
      <c r="P20" s="66">
        <f t="shared" si="4"/>
        <v>4.2259290752218834E-2</v>
      </c>
      <c r="Q20" s="13">
        <f>SUMIF(sigaf!$B$2:$B$470,$A20,sigaf!$N$2:$N$470)</f>
        <v>1757146167.3899999</v>
      </c>
      <c r="R20" s="66">
        <f t="shared" si="5"/>
        <v>4.2254481308122233E-2</v>
      </c>
    </row>
    <row r="21" spans="1:18" x14ac:dyDescent="0.25">
      <c r="A21" s="11" t="s">
        <v>104</v>
      </c>
      <c r="B21" s="11" t="s">
        <v>411</v>
      </c>
      <c r="C21" s="13">
        <f>SUMIF(sigaf!$B$2:$B$470,$A21,sigaf!$F$2:$F$470)</f>
        <v>12125073994</v>
      </c>
      <c r="D21" s="13">
        <f>SUMIF(sigaf!$B$2:$B$470,$A21,sigaf!$G$2:$G$470)</f>
        <v>12125073994</v>
      </c>
      <c r="E21" s="13">
        <f>SUMIF(sigaf!$B$2:$B$470,$A21,sigaf!$H$2:$H$470)</f>
        <v>0</v>
      </c>
      <c r="F21" s="66">
        <f t="shared" si="1"/>
        <v>0</v>
      </c>
      <c r="G21" s="130">
        <f>SUMIF(sigaf!$B$2:$B$470,$A21,sigaf!$I$2:$I$470)</f>
        <v>0</v>
      </c>
      <c r="H21" s="66">
        <f t="shared" si="2"/>
        <v>0</v>
      </c>
      <c r="I21" s="13">
        <f>SUMIF(sigaf!$B$2:$B$470,$A21,sigaf!$J$2:$J$470)</f>
        <v>0</v>
      </c>
      <c r="J21" s="66">
        <f t="shared" si="2"/>
        <v>0</v>
      </c>
      <c r="K21" s="13">
        <f>SUMIF(sigaf!$B$2:$B$470,$A21,sigaf!$K$2:$K$470)</f>
        <v>11623419233.99</v>
      </c>
      <c r="L21" s="139">
        <f t="shared" si="6"/>
        <v>0.95862666403040175</v>
      </c>
      <c r="M21" s="13">
        <f>SUMIF(sigaf!$B$2:$B$470,$A21,sigaf!$L$2:$L$470)</f>
        <v>11623419233.99</v>
      </c>
      <c r="N21" s="66">
        <f t="shared" si="3"/>
        <v>0.95862666403040175</v>
      </c>
      <c r="O21" s="85">
        <f>SUMIF(sigaf!$B$2:$B$470,$A21,sigaf!$M$2:$M$470)</f>
        <v>501654760.00999999</v>
      </c>
      <c r="P21" s="66">
        <f t="shared" si="4"/>
        <v>4.1373335969598204E-2</v>
      </c>
      <c r="Q21" s="13">
        <f>SUMIF(sigaf!$B$2:$B$470,$A21,sigaf!$N$2:$N$470)</f>
        <v>501654760.00999999</v>
      </c>
      <c r="R21" s="66">
        <f t="shared" si="5"/>
        <v>4.1373335969598204E-2</v>
      </c>
    </row>
    <row r="22" spans="1:18" x14ac:dyDescent="0.25">
      <c r="A22" s="11" t="s">
        <v>106</v>
      </c>
      <c r="B22" s="11" t="s">
        <v>412</v>
      </c>
      <c r="C22" s="13">
        <f>SUMIF(sigaf!$B$2:$B$470,$A22,sigaf!$F$2:$F$470)</f>
        <v>8431886629</v>
      </c>
      <c r="D22" s="13">
        <f>SUMIF(sigaf!$B$2:$B$470,$A22,sigaf!$G$2:$G$470)</f>
        <v>8431886629</v>
      </c>
      <c r="E22" s="13">
        <f>SUMIF(sigaf!$B$2:$B$470,$A22,sigaf!$H$2:$H$470)</f>
        <v>0</v>
      </c>
      <c r="F22" s="66">
        <f t="shared" si="1"/>
        <v>0</v>
      </c>
      <c r="G22" s="130">
        <f>SUMIF(sigaf!$B$2:$B$470,$A22,sigaf!$I$2:$I$470)</f>
        <v>0</v>
      </c>
      <c r="H22" s="66">
        <f t="shared" si="2"/>
        <v>0</v>
      </c>
      <c r="I22" s="13">
        <f>SUMIF(sigaf!$B$2:$B$470,$A22,sigaf!$J$2:$J$470)</f>
        <v>0</v>
      </c>
      <c r="J22" s="66">
        <f t="shared" si="2"/>
        <v>0</v>
      </c>
      <c r="K22" s="13">
        <f>SUMIF(sigaf!$B$2:$B$470,$A22,sigaf!$K$2:$K$470)</f>
        <v>7927265350.0100002</v>
      </c>
      <c r="L22" s="139">
        <f t="shared" si="6"/>
        <v>0.94015321823061004</v>
      </c>
      <c r="M22" s="13">
        <f>SUMIF(sigaf!$B$2:$B$470,$A22,sigaf!$L$2:$L$470)</f>
        <v>7927265350.0100002</v>
      </c>
      <c r="N22" s="66">
        <f t="shared" si="3"/>
        <v>0.94015321823061004</v>
      </c>
      <c r="O22" s="85">
        <f>SUMIF(sigaf!$B$2:$B$470,$A22,sigaf!$M$2:$M$470)</f>
        <v>504621278.99000001</v>
      </c>
      <c r="P22" s="66">
        <f t="shared" si="4"/>
        <v>5.9846781769389942E-2</v>
      </c>
      <c r="Q22" s="13">
        <f>SUMIF(sigaf!$B$2:$B$470,$A22,sigaf!$N$2:$N$470)</f>
        <v>504621278.99000001</v>
      </c>
      <c r="R22" s="66">
        <f t="shared" si="5"/>
        <v>5.9846781769389942E-2</v>
      </c>
    </row>
    <row r="23" spans="1:18" x14ac:dyDescent="0.25">
      <c r="A23" s="11" t="s">
        <v>112</v>
      </c>
      <c r="B23" s="11" t="s">
        <v>113</v>
      </c>
      <c r="C23" s="13">
        <f>SUMIF(sigaf!$B$2:$B$470,$A23,sigaf!$F$2:$F$470)</f>
        <v>5965099864</v>
      </c>
      <c r="D23" s="13">
        <f>SUMIF(sigaf!$B$2:$B$470,$A23,sigaf!$G$2:$G$470)</f>
        <v>5965099864</v>
      </c>
      <c r="E23" s="13">
        <f>SUMIF(sigaf!$B$2:$B$470,$A23,sigaf!$H$2:$H$470)</f>
        <v>0</v>
      </c>
      <c r="F23" s="66">
        <f t="shared" si="1"/>
        <v>0</v>
      </c>
      <c r="G23" s="130">
        <f>SUMIF(sigaf!$B$2:$B$470,$A23,sigaf!$I$2:$I$470)</f>
        <v>0</v>
      </c>
      <c r="H23" s="66">
        <f t="shared" si="2"/>
        <v>0</v>
      </c>
      <c r="I23" s="13">
        <f>SUMIF(sigaf!$B$2:$B$470,$A23,sigaf!$J$2:$J$470)</f>
        <v>0</v>
      </c>
      <c r="J23" s="66">
        <f t="shared" si="2"/>
        <v>0</v>
      </c>
      <c r="K23" s="13">
        <f>SUMIF(sigaf!$B$2:$B$470,$A23,sigaf!$K$2:$K$470)</f>
        <v>5822303546.3600006</v>
      </c>
      <c r="L23" s="139">
        <f t="shared" si="6"/>
        <v>0.97606137015378569</v>
      </c>
      <c r="M23" s="13">
        <f>SUMIF(sigaf!$B$2:$B$470,$A23,sigaf!$L$2:$L$470)</f>
        <v>5822303546.3600006</v>
      </c>
      <c r="N23" s="66">
        <f t="shared" si="3"/>
        <v>0.97606137015378569</v>
      </c>
      <c r="O23" s="85">
        <f>SUMIF(sigaf!$B$2:$B$470,$A23,sigaf!$M$2:$M$470)</f>
        <v>142796317.64000002</v>
      </c>
      <c r="P23" s="66">
        <f t="shared" si="4"/>
        <v>2.3938629846214428E-2</v>
      </c>
      <c r="Q23" s="13">
        <f>SUMIF(sigaf!$B$2:$B$470,$A23,sigaf!$N$2:$N$470)</f>
        <v>142796317.64000002</v>
      </c>
      <c r="R23" s="66">
        <f t="shared" si="5"/>
        <v>2.3938629846214428E-2</v>
      </c>
    </row>
    <row r="24" spans="1:18" x14ac:dyDescent="0.25">
      <c r="A24" s="11" t="s">
        <v>108</v>
      </c>
      <c r="B24" s="11" t="s">
        <v>109</v>
      </c>
      <c r="C24" s="13">
        <f>SUMIF(sigaf!$B$2:$B$470,$A24,sigaf!$F$2:$F$470)</f>
        <v>5257187000</v>
      </c>
      <c r="D24" s="13">
        <f>SUMIF(sigaf!$B$2:$B$470,$A24,sigaf!$G$2:$G$470)</f>
        <v>5257187000</v>
      </c>
      <c r="E24" s="13">
        <f>SUMIF(sigaf!$B$2:$B$470,$A24,sigaf!$H$2:$H$470)</f>
        <v>0</v>
      </c>
      <c r="F24" s="66">
        <f t="shared" si="1"/>
        <v>0</v>
      </c>
      <c r="G24" s="130">
        <f>SUMIF(sigaf!$B$2:$B$470,$A24,sigaf!$I$2:$I$470)</f>
        <v>0</v>
      </c>
      <c r="H24" s="66">
        <f t="shared" si="2"/>
        <v>0</v>
      </c>
      <c r="I24" s="13">
        <f>SUMIF(sigaf!$B$2:$B$470,$A24,sigaf!$J$2:$J$470)</f>
        <v>0</v>
      </c>
      <c r="J24" s="66">
        <f t="shared" si="2"/>
        <v>0</v>
      </c>
      <c r="K24" s="13">
        <f>SUMIF(sigaf!$B$2:$B$470,$A24,sigaf!$K$2:$K$470)</f>
        <v>5193564474.46</v>
      </c>
      <c r="L24" s="139">
        <f t="shared" si="6"/>
        <v>0.98789799078100138</v>
      </c>
      <c r="M24" s="13">
        <f>SUMIF(sigaf!$B$2:$B$470,$A24,sigaf!$L$2:$L$470)</f>
        <v>5193564474.46</v>
      </c>
      <c r="N24" s="66">
        <f t="shared" si="3"/>
        <v>0.98789799078100138</v>
      </c>
      <c r="O24" s="85">
        <f>SUMIF(sigaf!$B$2:$B$470,$A24,sigaf!$M$2:$M$470)</f>
        <v>63622525.539999999</v>
      </c>
      <c r="P24" s="66">
        <f t="shared" si="4"/>
        <v>1.2102009218998677E-2</v>
      </c>
      <c r="Q24" s="13">
        <f>SUMIF(sigaf!$B$2:$B$470,$A24,sigaf!$N$2:$N$470)</f>
        <v>63622525.539999999</v>
      </c>
      <c r="R24" s="66">
        <f t="shared" si="5"/>
        <v>1.2102009218998677E-2</v>
      </c>
    </row>
    <row r="25" spans="1:18" x14ac:dyDescent="0.25">
      <c r="A25" s="11" t="s">
        <v>110</v>
      </c>
      <c r="B25" s="11" t="s">
        <v>413</v>
      </c>
      <c r="C25" s="13">
        <f>SUMIF(sigaf!$B$2:$B$470,$A25,sigaf!$F$2:$F$470)</f>
        <v>9805600155</v>
      </c>
      <c r="D25" s="13">
        <f>SUMIF(sigaf!$B$2:$B$470,$A25,sigaf!$G$2:$G$470)</f>
        <v>9805400155</v>
      </c>
      <c r="E25" s="13">
        <f>SUMIF(sigaf!$B$2:$B$470,$A25,sigaf!$H$2:$H$470)</f>
        <v>0</v>
      </c>
      <c r="F25" s="66">
        <f t="shared" si="1"/>
        <v>0</v>
      </c>
      <c r="G25" s="130">
        <f>SUMIF(sigaf!$B$2:$B$470,$A25,sigaf!$I$2:$I$470)</f>
        <v>0</v>
      </c>
      <c r="H25" s="66">
        <f t="shared" si="2"/>
        <v>0</v>
      </c>
      <c r="I25" s="13">
        <f>SUMIF(sigaf!$B$2:$B$470,$A25,sigaf!$J$2:$J$470)</f>
        <v>0</v>
      </c>
      <c r="J25" s="66">
        <f t="shared" si="2"/>
        <v>0</v>
      </c>
      <c r="K25" s="13">
        <f>SUMIF(sigaf!$B$2:$B$470,$A25,sigaf!$K$2:$K$470)</f>
        <v>9260948869.7900009</v>
      </c>
      <c r="L25" s="139">
        <f t="shared" si="6"/>
        <v>0.94445507907720727</v>
      </c>
      <c r="M25" s="13">
        <f>SUMIF(sigaf!$B$2:$B$470,$A25,sigaf!$L$2:$L$470)</f>
        <v>9260948869.7900009</v>
      </c>
      <c r="N25" s="66">
        <f t="shared" si="3"/>
        <v>0.94445507907720727</v>
      </c>
      <c r="O25" s="85">
        <f>SUMIF(sigaf!$B$2:$B$470,$A25,sigaf!$M$2:$M$470)</f>
        <v>544651285.21000004</v>
      </c>
      <c r="P25" s="66">
        <f t="shared" si="4"/>
        <v>5.5544920922792819E-2</v>
      </c>
      <c r="Q25" s="13">
        <f>SUMIF(sigaf!$B$2:$B$470,$A25,sigaf!$N$2:$N$470)</f>
        <v>544451285.21000004</v>
      </c>
      <c r="R25" s="66">
        <f t="shared" si="5"/>
        <v>5.5524524414997424E-2</v>
      </c>
    </row>
    <row r="26" spans="1:18" x14ac:dyDescent="0.25">
      <c r="A26" s="11" t="s">
        <v>114</v>
      </c>
      <c r="B26" s="11" t="s">
        <v>414</v>
      </c>
      <c r="C26" s="13">
        <f>SUMIF(sigaf!$B$2:$B$470,$A26,sigaf!$F$2:$F$470)</f>
        <v>7114180923</v>
      </c>
      <c r="D26" s="13">
        <f>SUMIF(sigaf!$B$2:$B$470,$A26,sigaf!$G$2:$G$470)</f>
        <v>7114106004</v>
      </c>
      <c r="E26" s="13">
        <f>SUMIF(sigaf!$B$2:$B$470,$A26,sigaf!$H$2:$H$470)</f>
        <v>0</v>
      </c>
      <c r="F26" s="66">
        <f t="shared" si="1"/>
        <v>0</v>
      </c>
      <c r="G26" s="130">
        <f>SUMIF(sigaf!$B$2:$B$470,$A26,sigaf!$I$2:$I$470)</f>
        <v>0</v>
      </c>
      <c r="H26" s="66">
        <f t="shared" si="2"/>
        <v>0</v>
      </c>
      <c r="I26" s="13">
        <f>SUMIF(sigaf!$B$2:$B$470,$A26,sigaf!$J$2:$J$470)</f>
        <v>0</v>
      </c>
      <c r="J26" s="66">
        <f t="shared" si="2"/>
        <v>0</v>
      </c>
      <c r="K26" s="13">
        <f>SUMIF(sigaf!$B$2:$B$470,$A26,sigaf!$K$2:$K$470)</f>
        <v>6737313265</v>
      </c>
      <c r="L26" s="139">
        <f t="shared" si="6"/>
        <v>0.94702585412445806</v>
      </c>
      <c r="M26" s="13">
        <f>SUMIF(sigaf!$B$2:$B$470,$A26,sigaf!$L$2:$L$470)</f>
        <v>6737313265</v>
      </c>
      <c r="N26" s="66">
        <f t="shared" si="3"/>
        <v>0.94702585412445806</v>
      </c>
      <c r="O26" s="85">
        <f>SUMIF(sigaf!$B$2:$B$470,$A26,sigaf!$M$2:$M$470)</f>
        <v>376867658</v>
      </c>
      <c r="P26" s="66">
        <f t="shared" si="4"/>
        <v>5.2974145875541993E-2</v>
      </c>
      <c r="Q26" s="13">
        <f>SUMIF(sigaf!$B$2:$B$470,$A26,sigaf!$N$2:$N$470)</f>
        <v>376792739</v>
      </c>
      <c r="R26" s="66">
        <f t="shared" si="5"/>
        <v>5.2963614937291917E-2</v>
      </c>
    </row>
    <row r="27" spans="1:18" s="63" customFormat="1" x14ac:dyDescent="0.25">
      <c r="A27" s="264" t="s">
        <v>392</v>
      </c>
      <c r="B27" s="264" t="s">
        <v>415</v>
      </c>
      <c r="C27" s="265">
        <f>SUM(C28:C32)</f>
        <v>6747763463</v>
      </c>
      <c r="D27" s="265">
        <f t="shared" ref="D27:G27" si="7">SUM(D28:D32)</f>
        <v>6747688544</v>
      </c>
      <c r="E27" s="265">
        <f t="shared" si="7"/>
        <v>0</v>
      </c>
      <c r="F27" s="266">
        <f t="shared" si="1"/>
        <v>0</v>
      </c>
      <c r="G27" s="265">
        <f t="shared" si="7"/>
        <v>0</v>
      </c>
      <c r="H27" s="266">
        <f t="shared" si="2"/>
        <v>0</v>
      </c>
      <c r="I27" s="265">
        <f t="shared" ref="I27" si="8">SUM(I28:I32)</f>
        <v>0</v>
      </c>
      <c r="J27" s="266">
        <f t="shared" si="2"/>
        <v>0</v>
      </c>
      <c r="K27" s="265">
        <f t="shared" ref="K27:Q27" si="9">SUM(K28:K32)</f>
        <v>6391861931</v>
      </c>
      <c r="L27" s="267">
        <f t="shared" si="6"/>
        <v>0.94725637109962224</v>
      </c>
      <c r="M27" s="265">
        <f t="shared" si="9"/>
        <v>6391861931</v>
      </c>
      <c r="N27" s="266">
        <f t="shared" si="3"/>
        <v>0.94725637109962224</v>
      </c>
      <c r="O27" s="265">
        <f t="shared" si="9"/>
        <v>355901532</v>
      </c>
      <c r="P27" s="266">
        <f t="shared" si="4"/>
        <v>5.2743628900377773E-2</v>
      </c>
      <c r="Q27" s="265">
        <f t="shared" si="9"/>
        <v>355826613</v>
      </c>
      <c r="R27" s="266">
        <f t="shared" si="5"/>
        <v>5.2732526110481417E-2</v>
      </c>
    </row>
    <row r="28" spans="1:18" x14ac:dyDescent="0.25">
      <c r="A28" s="11" t="s">
        <v>116</v>
      </c>
      <c r="B28" s="11" t="s">
        <v>416</v>
      </c>
      <c r="C28" s="13">
        <f>SUMIF(sigaf!$B$2:$B$470,$A28,sigaf!$F$2:$F$470)</f>
        <v>92354895</v>
      </c>
      <c r="D28" s="13">
        <f>SUMIF(sigaf!$B$2:$B$470,$A28,sigaf!$G$2:$G$470)</f>
        <v>92354895</v>
      </c>
      <c r="E28" s="13">
        <f>SUMIF(sigaf!$B$2:$B$470,$A28,sigaf!$H$2:$H$470)</f>
        <v>0</v>
      </c>
      <c r="F28" s="66">
        <f t="shared" si="1"/>
        <v>0</v>
      </c>
      <c r="G28" s="130">
        <f>SUMIF(sigaf!$B$2:$B$470,$A28,sigaf!$I$2:$I$470)</f>
        <v>0</v>
      </c>
      <c r="H28" s="66">
        <f t="shared" si="2"/>
        <v>0</v>
      </c>
      <c r="I28" s="13">
        <f>SUMIF(sigaf!$B$2:$B$470,$A28,sigaf!$J$2:$J$470)</f>
        <v>0</v>
      </c>
      <c r="J28" s="66">
        <f t="shared" si="2"/>
        <v>0</v>
      </c>
      <c r="K28" s="13">
        <f>SUMIF(sigaf!$B$2:$B$470,$A28,sigaf!$K$2:$K$470)</f>
        <v>81269201</v>
      </c>
      <c r="L28" s="139">
        <f t="shared" si="6"/>
        <v>0.87996636236769044</v>
      </c>
      <c r="M28" s="13">
        <f>SUMIF(sigaf!$B$2:$B$470,$A28,sigaf!$L$2:$L$470)</f>
        <v>81269201</v>
      </c>
      <c r="N28" s="66">
        <f t="shared" si="3"/>
        <v>0.87996636236769044</v>
      </c>
      <c r="O28" s="85">
        <f>SUMIF(sigaf!$B$2:$B$470,$A28,sigaf!$M$2:$M$470)</f>
        <v>11085694</v>
      </c>
      <c r="P28" s="66">
        <f t="shared" si="4"/>
        <v>0.12003363763230958</v>
      </c>
      <c r="Q28" s="13">
        <f>SUMIF(sigaf!$B$2:$B$470,$A28,sigaf!$N$2:$N$470)</f>
        <v>11085694</v>
      </c>
      <c r="R28" s="66">
        <f t="shared" si="5"/>
        <v>0.12003363763230958</v>
      </c>
    </row>
    <row r="29" spans="1:18" x14ac:dyDescent="0.25">
      <c r="A29" s="11" t="s">
        <v>301</v>
      </c>
      <c r="B29" s="11" t="s">
        <v>416</v>
      </c>
      <c r="C29" s="13">
        <f>SUMIF(sigaf!$B$2:$B$470,$A29,sigaf!$F$2:$F$470)</f>
        <v>65851400</v>
      </c>
      <c r="D29" s="13">
        <f>SUMIF(sigaf!$B$2:$B$470,$A29,sigaf!$G$2:$G$470)</f>
        <v>65851400</v>
      </c>
      <c r="E29" s="13">
        <f>SUMIF(sigaf!$B$2:$B$470,$A29,sigaf!$H$2:$H$470)</f>
        <v>0</v>
      </c>
      <c r="F29" s="66">
        <f t="shared" si="1"/>
        <v>0</v>
      </c>
      <c r="G29" s="130">
        <f>SUMIF(sigaf!$B$2:$B$470,$A29,sigaf!$I$2:$I$470)</f>
        <v>0</v>
      </c>
      <c r="H29" s="66">
        <f t="shared" si="2"/>
        <v>0</v>
      </c>
      <c r="I29" s="13">
        <f>SUMIF(sigaf!$B$2:$B$470,$A29,sigaf!$J$2:$J$470)</f>
        <v>0</v>
      </c>
      <c r="J29" s="66">
        <f t="shared" si="2"/>
        <v>0</v>
      </c>
      <c r="K29" s="13">
        <f>SUMIF(sigaf!$B$2:$B$470,$A29,sigaf!$K$2:$K$470)</f>
        <v>58930272</v>
      </c>
      <c r="L29" s="139">
        <f t="shared" si="6"/>
        <v>0.89489778501292305</v>
      </c>
      <c r="M29" s="13">
        <f>SUMIF(sigaf!$B$2:$B$470,$A29,sigaf!$L$2:$L$470)</f>
        <v>58930272</v>
      </c>
      <c r="N29" s="66">
        <f t="shared" si="3"/>
        <v>0.89489778501292305</v>
      </c>
      <c r="O29" s="85">
        <f>SUMIF(sigaf!$B$2:$B$470,$A29,sigaf!$M$2:$M$470)</f>
        <v>6921128</v>
      </c>
      <c r="P29" s="66">
        <f t="shared" si="4"/>
        <v>0.10510221498707696</v>
      </c>
      <c r="Q29" s="13">
        <f>SUMIF(sigaf!$B$2:$B$470,$A29,sigaf!$N$2:$N$470)</f>
        <v>6921128</v>
      </c>
      <c r="R29" s="66">
        <f t="shared" si="5"/>
        <v>0.10510221498707696</v>
      </c>
    </row>
    <row r="30" spans="1:18" x14ac:dyDescent="0.25">
      <c r="A30" s="11" t="s">
        <v>315</v>
      </c>
      <c r="B30" s="11" t="s">
        <v>416</v>
      </c>
      <c r="C30" s="13">
        <f>SUMIF(sigaf!$B$2:$B$470,$A30,sigaf!$F$2:$F$470)</f>
        <v>690373482</v>
      </c>
      <c r="D30" s="13">
        <f>SUMIF(sigaf!$B$2:$B$470,$A30,sigaf!$G$2:$G$470)</f>
        <v>690373482</v>
      </c>
      <c r="E30" s="13">
        <f>SUMIF(sigaf!$B$2:$B$470,$A30,sigaf!$H$2:$H$470)</f>
        <v>0</v>
      </c>
      <c r="F30" s="66">
        <f t="shared" si="1"/>
        <v>0</v>
      </c>
      <c r="G30" s="130">
        <f>SUMIF(sigaf!$B$2:$B$470,$A30,sigaf!$I$2:$I$470)</f>
        <v>0</v>
      </c>
      <c r="H30" s="66">
        <f t="shared" si="2"/>
        <v>0</v>
      </c>
      <c r="I30" s="13">
        <f>SUMIF(sigaf!$B$2:$B$470,$A30,sigaf!$J$2:$J$470)</f>
        <v>0</v>
      </c>
      <c r="J30" s="66">
        <f t="shared" si="2"/>
        <v>0</v>
      </c>
      <c r="K30" s="13">
        <f>SUMIF(sigaf!$B$2:$B$470,$A30,sigaf!$K$2:$K$470)</f>
        <v>626248651</v>
      </c>
      <c r="L30" s="139">
        <f t="shared" si="6"/>
        <v>0.90711573855034022</v>
      </c>
      <c r="M30" s="13">
        <f>SUMIF(sigaf!$B$2:$B$470,$A30,sigaf!$L$2:$L$470)</f>
        <v>626248651</v>
      </c>
      <c r="N30" s="66">
        <f t="shared" si="3"/>
        <v>0.90711573855034022</v>
      </c>
      <c r="O30" s="85">
        <f>SUMIF(sigaf!$B$2:$B$470,$A30,sigaf!$M$2:$M$470)</f>
        <v>64124831</v>
      </c>
      <c r="P30" s="66">
        <f t="shared" si="4"/>
        <v>9.2884261449659791E-2</v>
      </c>
      <c r="Q30" s="13">
        <f>SUMIF(sigaf!$B$2:$B$470,$A30,sigaf!$N$2:$N$470)</f>
        <v>64124831</v>
      </c>
      <c r="R30" s="66">
        <f t="shared" si="5"/>
        <v>9.2884261449659791E-2</v>
      </c>
    </row>
    <row r="31" spans="1:18" x14ac:dyDescent="0.25">
      <c r="A31" s="11" t="s">
        <v>352</v>
      </c>
      <c r="B31" s="11" t="s">
        <v>416</v>
      </c>
      <c r="C31" s="13">
        <f>SUMIF(sigaf!$B$2:$B$470,$A31,sigaf!$F$2:$F$470)</f>
        <v>4968507519</v>
      </c>
      <c r="D31" s="13">
        <f>SUMIF(sigaf!$B$2:$B$470,$A31,sigaf!$G$2:$G$470)</f>
        <v>4968432600</v>
      </c>
      <c r="E31" s="13">
        <f>SUMIF(sigaf!$B$2:$B$470,$A31,sigaf!$H$2:$H$470)</f>
        <v>0</v>
      </c>
      <c r="F31" s="66">
        <f t="shared" si="1"/>
        <v>0</v>
      </c>
      <c r="G31" s="130">
        <f>SUMIF(sigaf!$B$2:$B$470,$A31,sigaf!$I$2:$I$470)</f>
        <v>0</v>
      </c>
      <c r="H31" s="66">
        <f t="shared" si="2"/>
        <v>0</v>
      </c>
      <c r="I31" s="13">
        <f>SUMIF(sigaf!$B$2:$B$470,$A31,sigaf!$J$2:$J$470)</f>
        <v>0</v>
      </c>
      <c r="J31" s="66">
        <f t="shared" si="2"/>
        <v>0</v>
      </c>
      <c r="K31" s="13">
        <f>SUMIF(sigaf!$B$2:$B$470,$A31,sigaf!$K$2:$K$470)</f>
        <v>4752943891</v>
      </c>
      <c r="L31" s="139">
        <f t="shared" si="6"/>
        <v>0.95661400789358453</v>
      </c>
      <c r="M31" s="13">
        <f>SUMIF(sigaf!$B$2:$B$470,$A31,sigaf!$L$2:$L$470)</f>
        <v>4752943891</v>
      </c>
      <c r="N31" s="66">
        <f t="shared" si="3"/>
        <v>0.95661400789358453</v>
      </c>
      <c r="O31" s="85">
        <f>SUMIF(sigaf!$B$2:$B$470,$A31,sigaf!$M$2:$M$470)</f>
        <v>215563628</v>
      </c>
      <c r="P31" s="66">
        <f t="shared" si="4"/>
        <v>4.3385992106415486E-2</v>
      </c>
      <c r="Q31" s="13">
        <f>SUMIF(sigaf!$B$2:$B$470,$A31,sigaf!$N$2:$N$470)</f>
        <v>215488709</v>
      </c>
      <c r="R31" s="66">
        <f t="shared" si="5"/>
        <v>4.3370913332817278E-2</v>
      </c>
    </row>
    <row r="32" spans="1:18" x14ac:dyDescent="0.25">
      <c r="A32" s="11" t="s">
        <v>382</v>
      </c>
      <c r="B32" s="11" t="s">
        <v>416</v>
      </c>
      <c r="C32" s="13">
        <f>SUMIF(sigaf!$B$2:$B$470,$A32,sigaf!$F$2:$F$470)</f>
        <v>930676167</v>
      </c>
      <c r="D32" s="13">
        <f>SUMIF(sigaf!$B$2:$B$470,$A32,sigaf!$G$2:$G$470)</f>
        <v>930676167</v>
      </c>
      <c r="E32" s="13">
        <f>SUMIF(sigaf!$B$2:$B$470,$A32,sigaf!$H$2:$H$470)</f>
        <v>0</v>
      </c>
      <c r="F32" s="66">
        <f t="shared" si="1"/>
        <v>0</v>
      </c>
      <c r="G32" s="130">
        <f>SUMIF(sigaf!$B$2:$B$470,$A32,sigaf!$I$2:$I$470)</f>
        <v>0</v>
      </c>
      <c r="H32" s="66">
        <f t="shared" si="2"/>
        <v>0</v>
      </c>
      <c r="I32" s="13">
        <f>SUMIF(sigaf!$B$2:$B$470,$A32,sigaf!$J$2:$J$470)</f>
        <v>0</v>
      </c>
      <c r="J32" s="66">
        <f t="shared" si="2"/>
        <v>0</v>
      </c>
      <c r="K32" s="13">
        <f>SUMIF(sigaf!$B$2:$B$470,$A32,sigaf!$K$2:$K$470)</f>
        <v>872469916</v>
      </c>
      <c r="L32" s="139">
        <f t="shared" si="6"/>
        <v>0.93745810512412098</v>
      </c>
      <c r="M32" s="13">
        <f>SUMIF(sigaf!$B$2:$B$470,$A32,sigaf!$L$2:$L$470)</f>
        <v>872469916</v>
      </c>
      <c r="N32" s="66">
        <f t="shared" si="3"/>
        <v>0.93745810512412098</v>
      </c>
      <c r="O32" s="85">
        <f>SUMIF(sigaf!$B$2:$B$470,$A32,sigaf!$M$2:$M$470)</f>
        <v>58206251</v>
      </c>
      <c r="P32" s="66">
        <f t="shared" si="4"/>
        <v>6.2541894875878995E-2</v>
      </c>
      <c r="Q32" s="13">
        <f>SUMIF(sigaf!$B$2:$B$470,$A32,sigaf!$N$2:$N$470)</f>
        <v>58206251</v>
      </c>
      <c r="R32" s="66">
        <f t="shared" si="5"/>
        <v>6.2541894875878995E-2</v>
      </c>
    </row>
    <row r="33" spans="1:18" s="63" customFormat="1" x14ac:dyDescent="0.25">
      <c r="A33" s="264" t="s">
        <v>393</v>
      </c>
      <c r="B33" s="264" t="s">
        <v>417</v>
      </c>
      <c r="C33" s="265">
        <f>SUM(C34:C38)</f>
        <v>366417460</v>
      </c>
      <c r="D33" s="265">
        <f t="shared" ref="D33:G33" si="10">SUM(D34:D38)</f>
        <v>366417460</v>
      </c>
      <c r="E33" s="265">
        <f t="shared" si="10"/>
        <v>0</v>
      </c>
      <c r="F33" s="266">
        <f t="shared" si="1"/>
        <v>0</v>
      </c>
      <c r="G33" s="265">
        <f t="shared" si="10"/>
        <v>0</v>
      </c>
      <c r="H33" s="266">
        <f t="shared" si="2"/>
        <v>0</v>
      </c>
      <c r="I33" s="265">
        <f t="shared" ref="I33" si="11">SUM(I34:I38)</f>
        <v>0</v>
      </c>
      <c r="J33" s="266">
        <f t="shared" si="2"/>
        <v>0</v>
      </c>
      <c r="K33" s="265">
        <f t="shared" ref="K33:Q33" si="12">SUM(K34:K38)</f>
        <v>345451334</v>
      </c>
      <c r="L33" s="267">
        <f t="shared" si="6"/>
        <v>0.94278076705187575</v>
      </c>
      <c r="M33" s="265">
        <f t="shared" si="12"/>
        <v>345451334</v>
      </c>
      <c r="N33" s="266">
        <f t="shared" si="3"/>
        <v>0.94278076705187575</v>
      </c>
      <c r="O33" s="265">
        <f t="shared" si="12"/>
        <v>20966126</v>
      </c>
      <c r="P33" s="266">
        <f t="shared" si="4"/>
        <v>5.7219232948124255E-2</v>
      </c>
      <c r="Q33" s="265">
        <f t="shared" si="12"/>
        <v>20966126</v>
      </c>
      <c r="R33" s="266">
        <f t="shared" si="5"/>
        <v>5.7219232948124255E-2</v>
      </c>
    </row>
    <row r="34" spans="1:18" x14ac:dyDescent="0.25">
      <c r="A34" s="11" t="s">
        <v>117</v>
      </c>
      <c r="B34" s="11" t="s">
        <v>418</v>
      </c>
      <c r="C34" s="13">
        <f>SUMIF(sigaf!$B$2:$B$470,$A34,sigaf!$F$2:$F$470)</f>
        <v>5045700</v>
      </c>
      <c r="D34" s="13">
        <f>SUMIF(sigaf!$B$2:$B$470,$A34,sigaf!$G$2:$G$470)</f>
        <v>5045700</v>
      </c>
      <c r="E34" s="13">
        <f>SUMIF(sigaf!$B$2:$B$470,$A34,sigaf!$H$2:$H$470)</f>
        <v>0</v>
      </c>
      <c r="F34" s="66">
        <f t="shared" si="1"/>
        <v>0</v>
      </c>
      <c r="G34" s="130">
        <f>SUMIF(sigaf!$B$2:$B$470,$A34,sigaf!$I$2:$I$470)</f>
        <v>0</v>
      </c>
      <c r="H34" s="66">
        <f t="shared" si="2"/>
        <v>0</v>
      </c>
      <c r="I34" s="13">
        <f>SUMIF(sigaf!$B$2:$B$470,$A34,sigaf!$J$2:$J$470)</f>
        <v>0</v>
      </c>
      <c r="J34" s="66">
        <f t="shared" si="2"/>
        <v>0</v>
      </c>
      <c r="K34" s="13">
        <f>SUMIF(sigaf!$B$2:$B$470,$A34,sigaf!$K$2:$K$470)</f>
        <v>4392375</v>
      </c>
      <c r="L34" s="139">
        <f t="shared" si="6"/>
        <v>0.87051846126404664</v>
      </c>
      <c r="M34" s="13">
        <f>SUMIF(sigaf!$B$2:$B$470,$A34,sigaf!$L$2:$L$470)</f>
        <v>4392375</v>
      </c>
      <c r="N34" s="66">
        <f t="shared" si="3"/>
        <v>0.87051846126404664</v>
      </c>
      <c r="O34" s="85">
        <f>SUMIF(sigaf!$B$2:$B$470,$A34,sigaf!$M$2:$M$470)</f>
        <v>653325</v>
      </c>
      <c r="P34" s="66">
        <f t="shared" si="4"/>
        <v>0.12948153873595339</v>
      </c>
      <c r="Q34" s="13">
        <f>SUMIF(sigaf!$B$2:$B$470,$A34,sigaf!$N$2:$N$470)</f>
        <v>653325</v>
      </c>
      <c r="R34" s="66">
        <f t="shared" si="5"/>
        <v>0.12948153873595339</v>
      </c>
    </row>
    <row r="35" spans="1:18" x14ac:dyDescent="0.25">
      <c r="A35" s="11" t="s">
        <v>302</v>
      </c>
      <c r="B35" s="11" t="s">
        <v>418</v>
      </c>
      <c r="C35" s="13">
        <f>SUMIF(sigaf!$B$2:$B$470,$A35,sigaf!$F$2:$F$470)</f>
        <v>3559400</v>
      </c>
      <c r="D35" s="13">
        <f>SUMIF(sigaf!$B$2:$B$470,$A35,sigaf!$G$2:$G$470)</f>
        <v>3559400</v>
      </c>
      <c r="E35" s="13">
        <f>SUMIF(sigaf!$B$2:$B$470,$A35,sigaf!$H$2:$H$470)</f>
        <v>0</v>
      </c>
      <c r="F35" s="66">
        <f t="shared" si="1"/>
        <v>0</v>
      </c>
      <c r="G35" s="130">
        <f>SUMIF(sigaf!$B$2:$B$470,$A35,sigaf!$I$2:$I$470)</f>
        <v>0</v>
      </c>
      <c r="H35" s="66">
        <f t="shared" si="2"/>
        <v>0</v>
      </c>
      <c r="I35" s="13">
        <f>SUMIF(sigaf!$B$2:$B$470,$A35,sigaf!$J$2:$J$470)</f>
        <v>0</v>
      </c>
      <c r="J35" s="66">
        <f t="shared" si="2"/>
        <v>0</v>
      </c>
      <c r="K35" s="13">
        <f>SUMIF(sigaf!$B$2:$B$470,$A35,sigaf!$K$2:$K$470)</f>
        <v>3184999</v>
      </c>
      <c r="L35" s="139">
        <f t="shared" si="6"/>
        <v>0.89481345170534354</v>
      </c>
      <c r="M35" s="13">
        <f>SUMIF(sigaf!$B$2:$B$470,$A35,sigaf!$L$2:$L$470)</f>
        <v>3184999</v>
      </c>
      <c r="N35" s="66">
        <f t="shared" si="3"/>
        <v>0.89481345170534354</v>
      </c>
      <c r="O35" s="85">
        <f>SUMIF(sigaf!$B$2:$B$470,$A35,sigaf!$M$2:$M$470)</f>
        <v>374401</v>
      </c>
      <c r="P35" s="66">
        <f t="shared" si="4"/>
        <v>0.1051865482946564</v>
      </c>
      <c r="Q35" s="13">
        <f>SUMIF(sigaf!$B$2:$B$470,$A35,sigaf!$N$2:$N$470)</f>
        <v>374401</v>
      </c>
      <c r="R35" s="66">
        <f t="shared" si="5"/>
        <v>0.1051865482946564</v>
      </c>
    </row>
    <row r="36" spans="1:18" x14ac:dyDescent="0.25">
      <c r="A36" s="11" t="s">
        <v>316</v>
      </c>
      <c r="B36" s="11" t="s">
        <v>418</v>
      </c>
      <c r="C36" s="13">
        <f>SUMIF(sigaf!$B$2:$B$470,$A36,sigaf!$F$2:$F$470)</f>
        <v>37316945</v>
      </c>
      <c r="D36" s="13">
        <f>SUMIF(sigaf!$B$2:$B$470,$A36,sigaf!$G$2:$G$470)</f>
        <v>37316945</v>
      </c>
      <c r="E36" s="13">
        <f>SUMIF(sigaf!$B$2:$B$470,$A36,sigaf!$H$2:$H$470)</f>
        <v>0</v>
      </c>
      <c r="F36" s="66">
        <f t="shared" si="1"/>
        <v>0</v>
      </c>
      <c r="G36" s="130">
        <f>SUMIF(sigaf!$B$2:$B$470,$A36,sigaf!$I$2:$I$470)</f>
        <v>0</v>
      </c>
      <c r="H36" s="66">
        <f t="shared" si="2"/>
        <v>0</v>
      </c>
      <c r="I36" s="13">
        <f>SUMIF(sigaf!$B$2:$B$470,$A36,sigaf!$J$2:$J$470)</f>
        <v>0</v>
      </c>
      <c r="J36" s="66">
        <f t="shared" si="2"/>
        <v>0</v>
      </c>
      <c r="K36" s="13">
        <f>SUMIF(sigaf!$B$2:$B$470,$A36,sigaf!$K$2:$K$470)</f>
        <v>33847234</v>
      </c>
      <c r="L36" s="139">
        <f t="shared" si="6"/>
        <v>0.90702049698870046</v>
      </c>
      <c r="M36" s="13">
        <f>SUMIF(sigaf!$B$2:$B$470,$A36,sigaf!$L$2:$L$470)</f>
        <v>33847234</v>
      </c>
      <c r="N36" s="66">
        <f t="shared" si="3"/>
        <v>0.90702049698870046</v>
      </c>
      <c r="O36" s="85">
        <f>SUMIF(sigaf!$B$2:$B$470,$A36,sigaf!$M$2:$M$470)</f>
        <v>3469711</v>
      </c>
      <c r="P36" s="66">
        <f t="shared" si="4"/>
        <v>9.2979503011299564E-2</v>
      </c>
      <c r="Q36" s="13">
        <f>SUMIF(sigaf!$B$2:$B$470,$A36,sigaf!$N$2:$N$470)</f>
        <v>3469711</v>
      </c>
      <c r="R36" s="66">
        <f t="shared" si="5"/>
        <v>9.2979503011299564E-2</v>
      </c>
    </row>
    <row r="37" spans="1:18" x14ac:dyDescent="0.25">
      <c r="A37" s="11" t="s">
        <v>353</v>
      </c>
      <c r="B37" s="11" t="s">
        <v>418</v>
      </c>
      <c r="C37" s="13">
        <f>SUMIF(sigaf!$B$2:$B$470,$A37,sigaf!$F$2:$F$470)</f>
        <v>270189244</v>
      </c>
      <c r="D37" s="13">
        <f>SUMIF(sigaf!$B$2:$B$470,$A37,sigaf!$G$2:$G$470)</f>
        <v>270189244</v>
      </c>
      <c r="E37" s="13">
        <f>SUMIF(sigaf!$B$2:$B$470,$A37,sigaf!$H$2:$H$470)</f>
        <v>0</v>
      </c>
      <c r="F37" s="66">
        <f t="shared" si="1"/>
        <v>0</v>
      </c>
      <c r="G37" s="130">
        <f>SUMIF(sigaf!$B$2:$B$470,$A37,sigaf!$I$2:$I$470)</f>
        <v>0</v>
      </c>
      <c r="H37" s="66">
        <f t="shared" si="2"/>
        <v>0</v>
      </c>
      <c r="I37" s="13">
        <f>SUMIF(sigaf!$B$2:$B$470,$A37,sigaf!$J$2:$J$470)</f>
        <v>0</v>
      </c>
      <c r="J37" s="66">
        <f t="shared" si="2"/>
        <v>0</v>
      </c>
      <c r="K37" s="13">
        <f>SUMIF(sigaf!$B$2:$B$470,$A37,sigaf!$K$2:$K$470)</f>
        <v>256868628</v>
      </c>
      <c r="L37" s="139">
        <f t="shared" si="6"/>
        <v>0.95069894048039894</v>
      </c>
      <c r="M37" s="13">
        <f>SUMIF(sigaf!$B$2:$B$470,$A37,sigaf!$L$2:$L$470)</f>
        <v>256868628</v>
      </c>
      <c r="N37" s="66">
        <f t="shared" si="3"/>
        <v>0.95069894048039894</v>
      </c>
      <c r="O37" s="85">
        <f>SUMIF(sigaf!$B$2:$B$470,$A37,sigaf!$M$2:$M$470)</f>
        <v>13320616</v>
      </c>
      <c r="P37" s="66">
        <f t="shared" si="4"/>
        <v>4.9301059519601009E-2</v>
      </c>
      <c r="Q37" s="13">
        <f>SUMIF(sigaf!$B$2:$B$470,$A37,sigaf!$N$2:$N$470)</f>
        <v>13320616</v>
      </c>
      <c r="R37" s="66">
        <f t="shared" si="5"/>
        <v>4.9301059519601009E-2</v>
      </c>
    </row>
    <row r="38" spans="1:18" x14ac:dyDescent="0.25">
      <c r="A38" s="11" t="s">
        <v>383</v>
      </c>
      <c r="B38" s="11" t="s">
        <v>418</v>
      </c>
      <c r="C38" s="13">
        <f>SUMIF(sigaf!$B$2:$B$470,$A38,sigaf!$F$2:$F$470)</f>
        <v>50306171</v>
      </c>
      <c r="D38" s="13">
        <f>SUMIF(sigaf!$B$2:$B$470,$A38,sigaf!$G$2:$G$470)</f>
        <v>50306171</v>
      </c>
      <c r="E38" s="13">
        <f>SUMIF(sigaf!$B$2:$B$470,$A38,sigaf!$H$2:$H$470)</f>
        <v>0</v>
      </c>
      <c r="F38" s="66">
        <f t="shared" si="1"/>
        <v>0</v>
      </c>
      <c r="G38" s="130">
        <f>SUMIF(sigaf!$B$2:$B$470,$A38,sigaf!$I$2:$I$470)</f>
        <v>0</v>
      </c>
      <c r="H38" s="66">
        <f t="shared" si="2"/>
        <v>0</v>
      </c>
      <c r="I38" s="13">
        <f>SUMIF(sigaf!$B$2:$B$470,$A38,sigaf!$J$2:$J$470)</f>
        <v>0</v>
      </c>
      <c r="J38" s="66">
        <f t="shared" si="2"/>
        <v>0</v>
      </c>
      <c r="K38" s="13">
        <f>SUMIF(sigaf!$B$2:$B$470,$A38,sigaf!$K$2:$K$470)</f>
        <v>47158098</v>
      </c>
      <c r="L38" s="139">
        <f t="shared" si="6"/>
        <v>0.93742173301164189</v>
      </c>
      <c r="M38" s="13">
        <f>SUMIF(sigaf!$B$2:$B$470,$A38,sigaf!$L$2:$L$470)</f>
        <v>47158098</v>
      </c>
      <c r="N38" s="66">
        <f t="shared" si="3"/>
        <v>0.93742173301164189</v>
      </c>
      <c r="O38" s="85">
        <f>SUMIF(sigaf!$B$2:$B$470,$A38,sigaf!$M$2:$M$470)</f>
        <v>3148073</v>
      </c>
      <c r="P38" s="66">
        <f t="shared" si="4"/>
        <v>6.2578266988358153E-2</v>
      </c>
      <c r="Q38" s="13">
        <f>SUMIF(sigaf!$B$2:$B$470,$A38,sigaf!$N$2:$N$470)</f>
        <v>3148073</v>
      </c>
      <c r="R38" s="66">
        <f t="shared" si="5"/>
        <v>6.2578266988358153E-2</v>
      </c>
    </row>
    <row r="39" spans="1:18" x14ac:dyDescent="0.25">
      <c r="A39" s="11" t="s">
        <v>118</v>
      </c>
      <c r="B39" s="11" t="s">
        <v>419</v>
      </c>
      <c r="C39" s="13">
        <f>SUMIF(sigaf!$B$2:$B$470,$A39,sigaf!$F$2:$F$470)</f>
        <v>7106942302</v>
      </c>
      <c r="D39" s="13">
        <f>SUMIF(sigaf!$B$2:$B$470,$A39,sigaf!$G$2:$G$470)</f>
        <v>7105221137</v>
      </c>
      <c r="E39" s="13">
        <f>SUMIF(sigaf!$B$2:$B$470,$A39,sigaf!$H$2:$H$470)</f>
        <v>0</v>
      </c>
      <c r="F39" s="66">
        <f t="shared" si="1"/>
        <v>0</v>
      </c>
      <c r="G39" s="130">
        <f>SUMIF(sigaf!$B$2:$B$470,$A39,sigaf!$I$2:$I$470)</f>
        <v>0</v>
      </c>
      <c r="H39" s="66">
        <f t="shared" si="2"/>
        <v>0</v>
      </c>
      <c r="I39" s="13">
        <f>SUMIF(sigaf!$B$2:$B$470,$A39,sigaf!$J$2:$J$470)</f>
        <v>0</v>
      </c>
      <c r="J39" s="66">
        <f t="shared" si="2"/>
        <v>0</v>
      </c>
      <c r="K39" s="13">
        <f>SUMIF(sigaf!$B$2:$B$470,$A39,sigaf!$K$2:$K$470)</f>
        <v>6637364041.1400003</v>
      </c>
      <c r="L39" s="139">
        <f t="shared" si="6"/>
        <v>0.93392682240745739</v>
      </c>
      <c r="M39" s="13">
        <f>SUMIF(sigaf!$B$2:$B$470,$A39,sigaf!$L$2:$L$470)</f>
        <v>6637364041.1400003</v>
      </c>
      <c r="N39" s="66">
        <f t="shared" si="3"/>
        <v>0.93392682240745739</v>
      </c>
      <c r="O39" s="85">
        <f>SUMIF(sigaf!$B$2:$B$470,$A39,sigaf!$M$2:$M$470)</f>
        <v>469578260.86000001</v>
      </c>
      <c r="P39" s="66">
        <f t="shared" si="4"/>
        <v>6.6073177592542665E-2</v>
      </c>
      <c r="Q39" s="13">
        <f>SUMIF(sigaf!$B$2:$B$470,$A39,sigaf!$N$2:$N$470)</f>
        <v>467857095.86000001</v>
      </c>
      <c r="R39" s="66">
        <f t="shared" si="5"/>
        <v>6.5830996788638352E-2</v>
      </c>
    </row>
    <row r="40" spans="1:18" s="63" customFormat="1" x14ac:dyDescent="0.25">
      <c r="A40" s="264" t="s">
        <v>394</v>
      </c>
      <c r="B40" s="264" t="s">
        <v>420</v>
      </c>
      <c r="C40" s="265">
        <f>SUM(C41:C45)</f>
        <v>3722822168</v>
      </c>
      <c r="D40" s="265">
        <f t="shared" ref="D40:G40" si="13">SUM(D41:D45)</f>
        <v>3722361468</v>
      </c>
      <c r="E40" s="265">
        <f t="shared" si="13"/>
        <v>0</v>
      </c>
      <c r="F40" s="266">
        <f t="shared" si="1"/>
        <v>0</v>
      </c>
      <c r="G40" s="265">
        <f t="shared" si="13"/>
        <v>0</v>
      </c>
      <c r="H40" s="266">
        <f t="shared" si="2"/>
        <v>0</v>
      </c>
      <c r="I40" s="265">
        <f t="shared" ref="I40" si="14">SUM(I41:I45)</f>
        <v>0</v>
      </c>
      <c r="J40" s="266">
        <f t="shared" si="2"/>
        <v>0</v>
      </c>
      <c r="K40" s="265">
        <f t="shared" ref="K40:Q40" si="15">SUM(K41:K45)</f>
        <v>3445423100</v>
      </c>
      <c r="L40" s="267">
        <f t="shared" si="6"/>
        <v>0.92548688723720951</v>
      </c>
      <c r="M40" s="265">
        <f t="shared" si="15"/>
        <v>3445423100</v>
      </c>
      <c r="N40" s="266">
        <f t="shared" si="3"/>
        <v>0.92548688723720951</v>
      </c>
      <c r="O40" s="265">
        <f t="shared" si="15"/>
        <v>277399068</v>
      </c>
      <c r="P40" s="266">
        <f t="shared" si="4"/>
        <v>7.4513112762790448E-2</v>
      </c>
      <c r="Q40" s="265">
        <f t="shared" si="15"/>
        <v>276938368</v>
      </c>
      <c r="R40" s="266">
        <f t="shared" si="5"/>
        <v>7.438936255952798E-2</v>
      </c>
    </row>
    <row r="41" spans="1:18" x14ac:dyDescent="0.25">
      <c r="A41" s="11" t="s">
        <v>120</v>
      </c>
      <c r="B41" s="11" t="s">
        <v>421</v>
      </c>
      <c r="C41" s="13">
        <f>SUMIF(sigaf!$B$2:$B$470,$A41,sigaf!$F$2:$F$470)</f>
        <v>51269325</v>
      </c>
      <c r="D41" s="13">
        <f>SUMIF(sigaf!$B$2:$B$470,$A41,sigaf!$G$2:$G$470)</f>
        <v>51269325</v>
      </c>
      <c r="E41" s="13">
        <f>SUMIF(sigaf!$B$2:$B$470,$A41,sigaf!$H$2:$H$470)</f>
        <v>0</v>
      </c>
      <c r="F41" s="66">
        <f t="shared" si="1"/>
        <v>0</v>
      </c>
      <c r="G41" s="130">
        <f>SUMIF(sigaf!$B$2:$B$470,$A41,sigaf!$I$2:$I$470)</f>
        <v>0</v>
      </c>
      <c r="H41" s="66">
        <f t="shared" si="2"/>
        <v>0</v>
      </c>
      <c r="I41" s="13">
        <f>SUMIF(sigaf!$B$2:$B$470,$A41,sigaf!$J$2:$J$470)</f>
        <v>0</v>
      </c>
      <c r="J41" s="66">
        <f t="shared" si="2"/>
        <v>0</v>
      </c>
      <c r="K41" s="13">
        <f>SUMIF(sigaf!$B$2:$B$470,$A41,sigaf!$K$2:$K$470)</f>
        <v>44631232</v>
      </c>
      <c r="L41" s="139">
        <f t="shared" si="6"/>
        <v>0.87052505567412874</v>
      </c>
      <c r="M41" s="13">
        <f>SUMIF(sigaf!$B$2:$B$470,$A41,sigaf!$L$2:$L$470)</f>
        <v>44631232</v>
      </c>
      <c r="N41" s="66">
        <f t="shared" si="3"/>
        <v>0.87052505567412874</v>
      </c>
      <c r="O41" s="85">
        <f>SUMIF(sigaf!$B$2:$B$470,$A41,sigaf!$M$2:$M$470)</f>
        <v>6638093</v>
      </c>
      <c r="P41" s="66">
        <f t="shared" si="4"/>
        <v>0.12947494432587128</v>
      </c>
      <c r="Q41" s="13">
        <f>SUMIF(sigaf!$B$2:$B$470,$A41,sigaf!$N$2:$N$470)</f>
        <v>6638093</v>
      </c>
      <c r="R41" s="66">
        <f t="shared" si="5"/>
        <v>0.12947494432587128</v>
      </c>
    </row>
    <row r="42" spans="1:18" x14ac:dyDescent="0.25">
      <c r="A42" s="11" t="s">
        <v>303</v>
      </c>
      <c r="B42" s="11" t="s">
        <v>421</v>
      </c>
      <c r="C42" s="13">
        <f>SUMIF(sigaf!$B$2:$B$470,$A42,sigaf!$F$2:$F$470)</f>
        <v>36165300</v>
      </c>
      <c r="D42" s="13">
        <f>SUMIF(sigaf!$B$2:$B$470,$A42,sigaf!$G$2:$G$470)</f>
        <v>36165300</v>
      </c>
      <c r="E42" s="13">
        <f>SUMIF(sigaf!$B$2:$B$470,$A42,sigaf!$H$2:$H$470)</f>
        <v>0</v>
      </c>
      <c r="F42" s="66">
        <f t="shared" si="1"/>
        <v>0</v>
      </c>
      <c r="G42" s="130">
        <f>SUMIF(sigaf!$B$2:$B$470,$A42,sigaf!$I$2:$I$470)</f>
        <v>0</v>
      </c>
      <c r="H42" s="66">
        <f t="shared" si="2"/>
        <v>0</v>
      </c>
      <c r="I42" s="13">
        <f>SUMIF(sigaf!$B$2:$B$470,$A42,sigaf!$J$2:$J$470)</f>
        <v>0</v>
      </c>
      <c r="J42" s="66">
        <f t="shared" si="2"/>
        <v>0</v>
      </c>
      <c r="K42" s="13">
        <f>SUMIF(sigaf!$B$2:$B$470,$A42,sigaf!$K$2:$K$470)</f>
        <v>32361949</v>
      </c>
      <c r="L42" s="139">
        <f t="shared" si="6"/>
        <v>0.89483424719275106</v>
      </c>
      <c r="M42" s="13">
        <f>SUMIF(sigaf!$B$2:$B$470,$A42,sigaf!$L$2:$L$470)</f>
        <v>32361949</v>
      </c>
      <c r="N42" s="66">
        <f t="shared" si="3"/>
        <v>0.89483424719275106</v>
      </c>
      <c r="O42" s="85">
        <f>SUMIF(sigaf!$B$2:$B$470,$A42,sigaf!$M$2:$M$470)</f>
        <v>3803351</v>
      </c>
      <c r="P42" s="66">
        <f t="shared" si="4"/>
        <v>0.10516575280724894</v>
      </c>
      <c r="Q42" s="13">
        <f>SUMIF(sigaf!$B$2:$B$470,$A42,sigaf!$N$2:$N$470)</f>
        <v>3803351</v>
      </c>
      <c r="R42" s="66">
        <f t="shared" si="5"/>
        <v>0.10516575280724894</v>
      </c>
    </row>
    <row r="43" spans="1:18" x14ac:dyDescent="0.25">
      <c r="A43" s="11" t="s">
        <v>317</v>
      </c>
      <c r="B43" s="11" t="s">
        <v>421</v>
      </c>
      <c r="C43" s="13">
        <f>SUMIF(sigaf!$B$2:$B$470,$A43,sigaf!$F$2:$F$470)</f>
        <v>379144921</v>
      </c>
      <c r="D43" s="13">
        <f>SUMIF(sigaf!$B$2:$B$470,$A43,sigaf!$G$2:$G$470)</f>
        <v>379144921</v>
      </c>
      <c r="E43" s="13">
        <f>SUMIF(sigaf!$B$2:$B$470,$A43,sigaf!$H$2:$H$470)</f>
        <v>0</v>
      </c>
      <c r="F43" s="66">
        <f t="shared" si="1"/>
        <v>0</v>
      </c>
      <c r="G43" s="130">
        <f>SUMIF(sigaf!$B$2:$B$470,$A43,sigaf!$I$2:$I$470)</f>
        <v>0</v>
      </c>
      <c r="H43" s="66">
        <f t="shared" si="2"/>
        <v>0</v>
      </c>
      <c r="I43" s="13">
        <f>SUMIF(sigaf!$B$2:$B$470,$A43,sigaf!$J$2:$J$470)</f>
        <v>0</v>
      </c>
      <c r="J43" s="66">
        <f t="shared" si="2"/>
        <v>0</v>
      </c>
      <c r="K43" s="13">
        <f>SUMIF(sigaf!$B$2:$B$470,$A43,sigaf!$K$2:$K$470)</f>
        <v>335287263</v>
      </c>
      <c r="L43" s="139">
        <f t="shared" si="6"/>
        <v>0.8843248173170174</v>
      </c>
      <c r="M43" s="13">
        <f>SUMIF(sigaf!$B$2:$B$470,$A43,sigaf!$L$2:$L$470)</f>
        <v>335287263</v>
      </c>
      <c r="N43" s="66">
        <f t="shared" si="3"/>
        <v>0.8843248173170174</v>
      </c>
      <c r="O43" s="85">
        <f>SUMIF(sigaf!$B$2:$B$470,$A43,sigaf!$M$2:$M$470)</f>
        <v>43857658</v>
      </c>
      <c r="P43" s="66">
        <f t="shared" si="4"/>
        <v>0.11567518268298259</v>
      </c>
      <c r="Q43" s="13">
        <f>SUMIF(sigaf!$B$2:$B$470,$A43,sigaf!$N$2:$N$470)</f>
        <v>43857658</v>
      </c>
      <c r="R43" s="66">
        <f t="shared" si="5"/>
        <v>0.11567518268298259</v>
      </c>
    </row>
    <row r="44" spans="1:18" x14ac:dyDescent="0.25">
      <c r="A44" s="11" t="s">
        <v>354</v>
      </c>
      <c r="B44" s="11" t="s">
        <v>421</v>
      </c>
      <c r="C44" s="13">
        <f>SUMIF(sigaf!$B$2:$B$470,$A44,sigaf!$F$2:$F$470)</f>
        <v>2745125642</v>
      </c>
      <c r="D44" s="13">
        <f>SUMIF(sigaf!$B$2:$B$470,$A44,sigaf!$G$2:$G$470)</f>
        <v>2745125642</v>
      </c>
      <c r="E44" s="13">
        <f>SUMIF(sigaf!$B$2:$B$470,$A44,sigaf!$H$2:$H$470)</f>
        <v>0</v>
      </c>
      <c r="F44" s="66">
        <f t="shared" si="1"/>
        <v>0</v>
      </c>
      <c r="G44" s="130">
        <f>SUMIF(sigaf!$B$2:$B$470,$A44,sigaf!$I$2:$I$470)</f>
        <v>0</v>
      </c>
      <c r="H44" s="66">
        <f t="shared" si="2"/>
        <v>0</v>
      </c>
      <c r="I44" s="13">
        <f>SUMIF(sigaf!$B$2:$B$470,$A44,sigaf!$J$2:$J$470)</f>
        <v>0</v>
      </c>
      <c r="J44" s="66">
        <f t="shared" si="2"/>
        <v>0</v>
      </c>
      <c r="K44" s="13">
        <f>SUMIF(sigaf!$B$2:$B$470,$A44,sigaf!$K$2:$K$470)</f>
        <v>2609838356</v>
      </c>
      <c r="L44" s="139">
        <f t="shared" si="6"/>
        <v>0.95071726993834993</v>
      </c>
      <c r="M44" s="13">
        <f>SUMIF(sigaf!$B$2:$B$470,$A44,sigaf!$L$2:$L$470)</f>
        <v>2609838356</v>
      </c>
      <c r="N44" s="66">
        <f t="shared" si="3"/>
        <v>0.95071726993834993</v>
      </c>
      <c r="O44" s="85">
        <f>SUMIF(sigaf!$B$2:$B$470,$A44,sigaf!$M$2:$M$470)</f>
        <v>135287286</v>
      </c>
      <c r="P44" s="66">
        <f t="shared" si="4"/>
        <v>4.9282730061650126E-2</v>
      </c>
      <c r="Q44" s="13">
        <f>SUMIF(sigaf!$B$2:$B$470,$A44,sigaf!$N$2:$N$470)</f>
        <v>135287286</v>
      </c>
      <c r="R44" s="66">
        <f t="shared" si="5"/>
        <v>4.9282730061650126E-2</v>
      </c>
    </row>
    <row r="45" spans="1:18" x14ac:dyDescent="0.25">
      <c r="A45" s="11" t="s">
        <v>384</v>
      </c>
      <c r="B45" s="11" t="s">
        <v>421</v>
      </c>
      <c r="C45" s="13">
        <f>SUMIF(sigaf!$B$2:$B$470,$A45,sigaf!$F$2:$F$470)</f>
        <v>511116980</v>
      </c>
      <c r="D45" s="13">
        <f>SUMIF(sigaf!$B$2:$B$470,$A45,sigaf!$G$2:$G$470)</f>
        <v>510656280</v>
      </c>
      <c r="E45" s="13">
        <f>SUMIF(sigaf!$B$2:$B$470,$A45,sigaf!$H$2:$H$470)</f>
        <v>0</v>
      </c>
      <c r="F45" s="66">
        <f t="shared" si="1"/>
        <v>0</v>
      </c>
      <c r="G45" s="130">
        <f>SUMIF(sigaf!$B$2:$B$470,$A45,sigaf!$I$2:$I$470)</f>
        <v>0</v>
      </c>
      <c r="H45" s="66">
        <f t="shared" si="2"/>
        <v>0</v>
      </c>
      <c r="I45" s="13">
        <f>SUMIF(sigaf!$B$2:$B$470,$A45,sigaf!$J$2:$J$470)</f>
        <v>0</v>
      </c>
      <c r="J45" s="66">
        <f t="shared" si="2"/>
        <v>0</v>
      </c>
      <c r="K45" s="13">
        <f>SUMIF(sigaf!$B$2:$B$470,$A45,sigaf!$K$2:$K$470)</f>
        <v>423304300</v>
      </c>
      <c r="L45" s="139">
        <f t="shared" si="6"/>
        <v>0.82819455538338793</v>
      </c>
      <c r="M45" s="13">
        <f>SUMIF(sigaf!$B$2:$B$470,$A45,sigaf!$L$2:$L$470)</f>
        <v>423304300</v>
      </c>
      <c r="N45" s="66">
        <f t="shared" si="3"/>
        <v>0.82819455538338793</v>
      </c>
      <c r="O45" s="85">
        <f>SUMIF(sigaf!$B$2:$B$470,$A45,sigaf!$M$2:$M$470)</f>
        <v>87812680</v>
      </c>
      <c r="P45" s="66">
        <f t="shared" si="4"/>
        <v>0.17180544461661204</v>
      </c>
      <c r="Q45" s="13">
        <f>SUMIF(sigaf!$B$2:$B$470,$A45,sigaf!$N$2:$N$470)</f>
        <v>87351980</v>
      </c>
      <c r="R45" s="66">
        <f t="shared" si="5"/>
        <v>0.1709040854013498</v>
      </c>
    </row>
    <row r="46" spans="1:18" s="63" customFormat="1" x14ac:dyDescent="0.25">
      <c r="A46" s="264" t="s">
        <v>395</v>
      </c>
      <c r="B46" s="264" t="s">
        <v>422</v>
      </c>
      <c r="C46" s="265">
        <f>SUM(C47:C51)</f>
        <v>1099257382</v>
      </c>
      <c r="D46" s="265">
        <f t="shared" ref="D46:G46" si="16">SUM(D47:D51)</f>
        <v>1099257382</v>
      </c>
      <c r="E46" s="265">
        <f t="shared" si="16"/>
        <v>0</v>
      </c>
      <c r="F46" s="266">
        <f t="shared" si="1"/>
        <v>0</v>
      </c>
      <c r="G46" s="265">
        <f t="shared" si="16"/>
        <v>0</v>
      </c>
      <c r="H46" s="266">
        <f t="shared" si="2"/>
        <v>0</v>
      </c>
      <c r="I46" s="265">
        <f t="shared" ref="I46" si="17">SUM(I47:I51)</f>
        <v>0</v>
      </c>
      <c r="J46" s="266">
        <f t="shared" si="2"/>
        <v>0</v>
      </c>
      <c r="K46" s="265">
        <f t="shared" ref="K46:Q46" si="18">SUM(K47:K51)</f>
        <v>1036355936</v>
      </c>
      <c r="L46" s="267">
        <f t="shared" si="6"/>
        <v>0.94277823644399228</v>
      </c>
      <c r="M46" s="265">
        <f t="shared" si="18"/>
        <v>1036355936</v>
      </c>
      <c r="N46" s="266">
        <f t="shared" si="3"/>
        <v>0.94277823644399228</v>
      </c>
      <c r="O46" s="265">
        <f t="shared" si="18"/>
        <v>62901446</v>
      </c>
      <c r="P46" s="266">
        <f t="shared" si="4"/>
        <v>5.7221763556007665E-2</v>
      </c>
      <c r="Q46" s="265">
        <f t="shared" si="18"/>
        <v>62901446</v>
      </c>
      <c r="R46" s="266">
        <f t="shared" si="5"/>
        <v>5.7221763556007665E-2</v>
      </c>
    </row>
    <row r="47" spans="1:18" x14ac:dyDescent="0.25">
      <c r="A47" s="11" t="s">
        <v>121</v>
      </c>
      <c r="B47" s="11" t="s">
        <v>423</v>
      </c>
      <c r="C47" s="13">
        <f>SUMIF(sigaf!$B$2:$B$470,$A47,sigaf!$F$2:$F$470)</f>
        <v>15138100</v>
      </c>
      <c r="D47" s="13">
        <f>SUMIF(sigaf!$B$2:$B$470,$A47,sigaf!$G$2:$G$470)</f>
        <v>15138100</v>
      </c>
      <c r="E47" s="13">
        <f>SUMIF(sigaf!$B$2:$B$470,$A47,sigaf!$H$2:$H$470)</f>
        <v>0</v>
      </c>
      <c r="F47" s="66">
        <f t="shared" si="1"/>
        <v>0</v>
      </c>
      <c r="G47" s="130">
        <f>SUMIF(sigaf!$B$2:$B$470,$A47,sigaf!$I$2:$I$470)</f>
        <v>0</v>
      </c>
      <c r="H47" s="66">
        <f t="shared" si="2"/>
        <v>0</v>
      </c>
      <c r="I47" s="13">
        <f>SUMIF(sigaf!$B$2:$B$470,$A47,sigaf!$J$2:$J$470)</f>
        <v>0</v>
      </c>
      <c r="J47" s="66">
        <f t="shared" si="2"/>
        <v>0</v>
      </c>
      <c r="K47" s="13">
        <f>SUMIF(sigaf!$B$2:$B$470,$A47,sigaf!$K$2:$K$470)</f>
        <v>13177091</v>
      </c>
      <c r="L47" s="139">
        <f t="shared" si="6"/>
        <v>0.87045871014195975</v>
      </c>
      <c r="M47" s="13">
        <f>SUMIF(sigaf!$B$2:$B$470,$A47,sigaf!$L$2:$L$470)</f>
        <v>13177091</v>
      </c>
      <c r="N47" s="66">
        <f t="shared" si="3"/>
        <v>0.87045871014195975</v>
      </c>
      <c r="O47" s="85">
        <f>SUMIF(sigaf!$B$2:$B$470,$A47,sigaf!$M$2:$M$470)</f>
        <v>1961009</v>
      </c>
      <c r="P47" s="66">
        <f t="shared" si="4"/>
        <v>0.12954128985804031</v>
      </c>
      <c r="Q47" s="13">
        <f>SUMIF(sigaf!$B$2:$B$470,$A47,sigaf!$N$2:$N$470)</f>
        <v>1961009</v>
      </c>
      <c r="R47" s="66">
        <f t="shared" si="5"/>
        <v>0.12954128985804031</v>
      </c>
    </row>
    <row r="48" spans="1:18" x14ac:dyDescent="0.25">
      <c r="A48" s="11" t="s">
        <v>304</v>
      </c>
      <c r="B48" s="11" t="s">
        <v>423</v>
      </c>
      <c r="C48" s="13">
        <f>SUMIF(sigaf!$B$2:$B$470,$A48,sigaf!$F$2:$F$470)</f>
        <v>10678200</v>
      </c>
      <c r="D48" s="13">
        <f>SUMIF(sigaf!$B$2:$B$470,$A48,sigaf!$G$2:$G$470)</f>
        <v>10678200</v>
      </c>
      <c r="E48" s="13">
        <f>SUMIF(sigaf!$B$2:$B$470,$A48,sigaf!$H$2:$H$470)</f>
        <v>0</v>
      </c>
      <c r="F48" s="66">
        <f t="shared" si="1"/>
        <v>0</v>
      </c>
      <c r="G48" s="130">
        <f>SUMIF(sigaf!$B$2:$B$470,$A48,sigaf!$I$2:$I$470)</f>
        <v>0</v>
      </c>
      <c r="H48" s="66">
        <f t="shared" si="2"/>
        <v>0</v>
      </c>
      <c r="I48" s="13">
        <f>SUMIF(sigaf!$B$2:$B$470,$A48,sigaf!$J$2:$J$470)</f>
        <v>0</v>
      </c>
      <c r="J48" s="66">
        <f t="shared" si="2"/>
        <v>0</v>
      </c>
      <c r="K48" s="13">
        <f>SUMIF(sigaf!$B$2:$B$470,$A48,sigaf!$K$2:$K$470)</f>
        <v>9554975</v>
      </c>
      <c r="L48" s="139">
        <f t="shared" si="6"/>
        <v>0.89481139143301303</v>
      </c>
      <c r="M48" s="13">
        <f>SUMIF(sigaf!$B$2:$B$470,$A48,sigaf!$L$2:$L$470)</f>
        <v>9554975</v>
      </c>
      <c r="N48" s="66">
        <f t="shared" si="3"/>
        <v>0.89481139143301303</v>
      </c>
      <c r="O48" s="85">
        <f>SUMIF(sigaf!$B$2:$B$470,$A48,sigaf!$M$2:$M$470)</f>
        <v>1123225</v>
      </c>
      <c r="P48" s="66">
        <f t="shared" si="4"/>
        <v>0.10518860856698695</v>
      </c>
      <c r="Q48" s="13">
        <f>SUMIF(sigaf!$B$2:$B$470,$A48,sigaf!$N$2:$N$470)</f>
        <v>1123225</v>
      </c>
      <c r="R48" s="66">
        <f t="shared" si="5"/>
        <v>0.10518860856698695</v>
      </c>
    </row>
    <row r="49" spans="1:18" x14ac:dyDescent="0.25">
      <c r="A49" s="11" t="s">
        <v>318</v>
      </c>
      <c r="B49" s="11" t="s">
        <v>423</v>
      </c>
      <c r="C49" s="13">
        <f>SUMIF(sigaf!$B$2:$B$470,$A49,sigaf!$F$2:$F$470)</f>
        <v>111951835</v>
      </c>
      <c r="D49" s="13">
        <f>SUMIF(sigaf!$B$2:$B$470,$A49,sigaf!$G$2:$G$470)</f>
        <v>111951835</v>
      </c>
      <c r="E49" s="13">
        <f>SUMIF(sigaf!$B$2:$B$470,$A49,sigaf!$H$2:$H$470)</f>
        <v>0</v>
      </c>
      <c r="F49" s="66">
        <f t="shared" si="1"/>
        <v>0</v>
      </c>
      <c r="G49" s="130">
        <f>SUMIF(sigaf!$B$2:$B$470,$A49,sigaf!$I$2:$I$470)</f>
        <v>0</v>
      </c>
      <c r="H49" s="66">
        <f t="shared" si="2"/>
        <v>0</v>
      </c>
      <c r="I49" s="13">
        <f>SUMIF(sigaf!$B$2:$B$470,$A49,sigaf!$J$2:$J$470)</f>
        <v>0</v>
      </c>
      <c r="J49" s="66">
        <f t="shared" si="2"/>
        <v>0</v>
      </c>
      <c r="K49" s="13">
        <f>SUMIF(sigaf!$B$2:$B$470,$A49,sigaf!$K$2:$K$470)</f>
        <v>101541553</v>
      </c>
      <c r="L49" s="139">
        <f t="shared" si="6"/>
        <v>0.90701106417773325</v>
      </c>
      <c r="M49" s="13">
        <f>SUMIF(sigaf!$B$2:$B$470,$A49,sigaf!$L$2:$L$470)</f>
        <v>101541553</v>
      </c>
      <c r="N49" s="66">
        <f t="shared" si="3"/>
        <v>0.90701106417773325</v>
      </c>
      <c r="O49" s="85">
        <f>SUMIF(sigaf!$B$2:$B$470,$A49,sigaf!$M$2:$M$470)</f>
        <v>10410282</v>
      </c>
      <c r="P49" s="66">
        <f t="shared" si="4"/>
        <v>9.2988935822266777E-2</v>
      </c>
      <c r="Q49" s="13">
        <f>SUMIF(sigaf!$B$2:$B$470,$A49,sigaf!$N$2:$N$470)</f>
        <v>10410282</v>
      </c>
      <c r="R49" s="66">
        <f t="shared" si="5"/>
        <v>9.2988935822266777E-2</v>
      </c>
    </row>
    <row r="50" spans="1:18" x14ac:dyDescent="0.25">
      <c r="A50" s="11" t="s">
        <v>355</v>
      </c>
      <c r="B50" s="11" t="s">
        <v>423</v>
      </c>
      <c r="C50" s="13">
        <f>SUMIF(sigaf!$B$2:$B$470,$A50,sigaf!$F$2:$F$470)</f>
        <v>810568733</v>
      </c>
      <c r="D50" s="13">
        <f>SUMIF(sigaf!$B$2:$B$470,$A50,sigaf!$G$2:$G$470)</f>
        <v>810568733</v>
      </c>
      <c r="E50" s="13">
        <f>SUMIF(sigaf!$B$2:$B$470,$A50,sigaf!$H$2:$H$470)</f>
        <v>0</v>
      </c>
      <c r="F50" s="66">
        <f t="shared" si="1"/>
        <v>0</v>
      </c>
      <c r="G50" s="130">
        <f>SUMIF(sigaf!$B$2:$B$470,$A50,sigaf!$I$2:$I$470)</f>
        <v>0</v>
      </c>
      <c r="H50" s="66">
        <f t="shared" si="2"/>
        <v>0</v>
      </c>
      <c r="I50" s="13">
        <f>SUMIF(sigaf!$B$2:$B$470,$A50,sigaf!$J$2:$J$470)</f>
        <v>0</v>
      </c>
      <c r="J50" s="66">
        <f t="shared" si="2"/>
        <v>0</v>
      </c>
      <c r="K50" s="13">
        <f>SUMIF(sigaf!$B$2:$B$470,$A50,sigaf!$K$2:$K$470)</f>
        <v>770607980</v>
      </c>
      <c r="L50" s="139">
        <f t="shared" si="6"/>
        <v>0.9507003522673505</v>
      </c>
      <c r="M50" s="13">
        <f>SUMIF(sigaf!$B$2:$B$470,$A50,sigaf!$L$2:$L$470)</f>
        <v>770607980</v>
      </c>
      <c r="N50" s="66">
        <f t="shared" si="3"/>
        <v>0.9507003522673505</v>
      </c>
      <c r="O50" s="85">
        <f>SUMIF(sigaf!$B$2:$B$470,$A50,sigaf!$M$2:$M$470)</f>
        <v>39960753</v>
      </c>
      <c r="P50" s="66">
        <f t="shared" si="4"/>
        <v>4.9299647732649464E-2</v>
      </c>
      <c r="Q50" s="13">
        <f>SUMIF(sigaf!$B$2:$B$470,$A50,sigaf!$N$2:$N$470)</f>
        <v>39960753</v>
      </c>
      <c r="R50" s="66">
        <f t="shared" si="5"/>
        <v>4.9299647732649464E-2</v>
      </c>
    </row>
    <row r="51" spans="1:18" x14ac:dyDescent="0.25">
      <c r="A51" s="11" t="s">
        <v>385</v>
      </c>
      <c r="B51" s="11" t="s">
        <v>423</v>
      </c>
      <c r="C51" s="13">
        <f>SUMIF(sigaf!$B$2:$B$470,$A51,sigaf!$F$2:$F$470)</f>
        <v>150920514</v>
      </c>
      <c r="D51" s="13">
        <f>SUMIF(sigaf!$B$2:$B$470,$A51,sigaf!$G$2:$G$470)</f>
        <v>150920514</v>
      </c>
      <c r="E51" s="13">
        <f>SUMIF(sigaf!$B$2:$B$470,$A51,sigaf!$H$2:$H$470)</f>
        <v>0</v>
      </c>
      <c r="F51" s="66">
        <f t="shared" si="1"/>
        <v>0</v>
      </c>
      <c r="G51" s="130">
        <f>SUMIF(sigaf!$B$2:$B$470,$A51,sigaf!$I$2:$I$470)</f>
        <v>0</v>
      </c>
      <c r="H51" s="66">
        <f t="shared" si="2"/>
        <v>0</v>
      </c>
      <c r="I51" s="13">
        <f>SUMIF(sigaf!$B$2:$B$470,$A51,sigaf!$J$2:$J$470)</f>
        <v>0</v>
      </c>
      <c r="J51" s="66">
        <f t="shared" si="2"/>
        <v>0</v>
      </c>
      <c r="K51" s="13">
        <f>SUMIF(sigaf!$B$2:$B$470,$A51,sigaf!$K$2:$K$470)</f>
        <v>141474337</v>
      </c>
      <c r="L51" s="139">
        <f t="shared" si="6"/>
        <v>0.93740958899729165</v>
      </c>
      <c r="M51" s="13">
        <f>SUMIF(sigaf!$B$2:$B$470,$A51,sigaf!$L$2:$L$470)</f>
        <v>141474337</v>
      </c>
      <c r="N51" s="66">
        <f t="shared" si="3"/>
        <v>0.93740958899729165</v>
      </c>
      <c r="O51" s="85">
        <f>SUMIF(sigaf!$B$2:$B$470,$A51,sigaf!$M$2:$M$470)</f>
        <v>9446177</v>
      </c>
      <c r="P51" s="66">
        <f t="shared" si="4"/>
        <v>6.2590411002708346E-2</v>
      </c>
      <c r="Q51" s="13">
        <f>SUMIF(sigaf!$B$2:$B$470,$A51,sigaf!$N$2:$N$470)</f>
        <v>9446177</v>
      </c>
      <c r="R51" s="66">
        <f t="shared" si="5"/>
        <v>6.2590411002708346E-2</v>
      </c>
    </row>
    <row r="52" spans="1:18" s="63" customFormat="1" x14ac:dyDescent="0.25">
      <c r="A52" s="264" t="s">
        <v>396</v>
      </c>
      <c r="B52" s="264" t="s">
        <v>424</v>
      </c>
      <c r="C52" s="265">
        <f>SUM(C53:C57)</f>
        <v>2198517752</v>
      </c>
      <c r="D52" s="265">
        <f t="shared" ref="D52:G52" si="19">SUM(D53:D57)</f>
        <v>2197257287</v>
      </c>
      <c r="E52" s="265">
        <f t="shared" si="19"/>
        <v>0</v>
      </c>
      <c r="F52" s="266">
        <f t="shared" si="1"/>
        <v>0</v>
      </c>
      <c r="G52" s="265">
        <f t="shared" si="19"/>
        <v>0</v>
      </c>
      <c r="H52" s="266">
        <f t="shared" si="2"/>
        <v>0</v>
      </c>
      <c r="I52" s="265">
        <f t="shared" ref="I52" si="20">SUM(I53:I57)</f>
        <v>0</v>
      </c>
      <c r="J52" s="266">
        <f t="shared" si="2"/>
        <v>0</v>
      </c>
      <c r="K52" s="265">
        <f t="shared" ref="K52:Q52" si="21">SUM(K53:K57)</f>
        <v>2072709990</v>
      </c>
      <c r="L52" s="267">
        <f t="shared" si="6"/>
        <v>0.94277609908514393</v>
      </c>
      <c r="M52" s="265">
        <f t="shared" si="21"/>
        <v>2072709990</v>
      </c>
      <c r="N52" s="266">
        <f t="shared" si="3"/>
        <v>0.94277609908514393</v>
      </c>
      <c r="O52" s="265">
        <f t="shared" si="21"/>
        <v>125807762</v>
      </c>
      <c r="P52" s="266">
        <f t="shared" si="4"/>
        <v>5.7223900914856018E-2</v>
      </c>
      <c r="Q52" s="265">
        <f t="shared" si="21"/>
        <v>124547297</v>
      </c>
      <c r="R52" s="266">
        <f t="shared" si="5"/>
        <v>5.6650576001353113E-2</v>
      </c>
    </row>
    <row r="53" spans="1:18" x14ac:dyDescent="0.25">
      <c r="A53" s="11" t="s">
        <v>122</v>
      </c>
      <c r="B53" s="11" t="s">
        <v>425</v>
      </c>
      <c r="C53" s="13">
        <f>SUMIF(sigaf!$B$2:$B$470,$A53,sigaf!$F$2:$F$470)</f>
        <v>30277190</v>
      </c>
      <c r="D53" s="13">
        <f>SUMIF(sigaf!$B$2:$B$470,$A53,sigaf!$G$2:$G$470)</f>
        <v>30277190</v>
      </c>
      <c r="E53" s="13">
        <f>SUMIF(sigaf!$B$2:$B$470,$A53,sigaf!$H$2:$H$470)</f>
        <v>0</v>
      </c>
      <c r="F53" s="66">
        <f t="shared" si="1"/>
        <v>0</v>
      </c>
      <c r="G53" s="130">
        <f>SUMIF(sigaf!$B$2:$B$470,$A53,sigaf!$I$2:$I$470)</f>
        <v>0</v>
      </c>
      <c r="H53" s="66">
        <f t="shared" si="2"/>
        <v>0</v>
      </c>
      <c r="I53" s="13">
        <f>SUMIF(sigaf!$B$2:$B$470,$A53,sigaf!$J$2:$J$470)</f>
        <v>0</v>
      </c>
      <c r="J53" s="66">
        <f t="shared" si="2"/>
        <v>0</v>
      </c>
      <c r="K53" s="13">
        <f>SUMIF(sigaf!$B$2:$B$470,$A53,sigaf!$K$2:$K$470)</f>
        <v>26354176</v>
      </c>
      <c r="L53" s="139">
        <f t="shared" si="6"/>
        <v>0.87043004981637995</v>
      </c>
      <c r="M53" s="13">
        <f>SUMIF(sigaf!$B$2:$B$470,$A53,sigaf!$L$2:$L$470)</f>
        <v>26354176</v>
      </c>
      <c r="N53" s="66">
        <f t="shared" si="3"/>
        <v>0.87043004981637995</v>
      </c>
      <c r="O53" s="85">
        <f>SUMIF(sigaf!$B$2:$B$470,$A53,sigaf!$M$2:$M$470)</f>
        <v>3923014</v>
      </c>
      <c r="P53" s="66">
        <f t="shared" si="4"/>
        <v>0.12956995018362008</v>
      </c>
      <c r="Q53" s="13">
        <f>SUMIF(sigaf!$B$2:$B$470,$A53,sigaf!$N$2:$N$470)</f>
        <v>3923014</v>
      </c>
      <c r="R53" s="66">
        <f t="shared" si="5"/>
        <v>0.12956995018362008</v>
      </c>
    </row>
    <row r="54" spans="1:18" x14ac:dyDescent="0.25">
      <c r="A54" s="11" t="s">
        <v>305</v>
      </c>
      <c r="B54" s="11" t="s">
        <v>425</v>
      </c>
      <c r="C54" s="13">
        <f>SUMIF(sigaf!$B$2:$B$470,$A54,sigaf!$F$2:$F$470)</f>
        <v>21357400</v>
      </c>
      <c r="D54" s="13">
        <f>SUMIF(sigaf!$B$2:$B$470,$A54,sigaf!$G$2:$G$470)</f>
        <v>21357400</v>
      </c>
      <c r="E54" s="13">
        <f>SUMIF(sigaf!$B$2:$B$470,$A54,sigaf!$H$2:$H$470)</f>
        <v>0</v>
      </c>
      <c r="F54" s="66">
        <f t="shared" si="1"/>
        <v>0</v>
      </c>
      <c r="G54" s="130">
        <f>SUMIF(sigaf!$B$2:$B$470,$A54,sigaf!$I$2:$I$470)</f>
        <v>0</v>
      </c>
      <c r="H54" s="66">
        <f t="shared" si="2"/>
        <v>0</v>
      </c>
      <c r="I54" s="13">
        <f>SUMIF(sigaf!$B$2:$B$470,$A54,sigaf!$J$2:$J$470)</f>
        <v>0</v>
      </c>
      <c r="J54" s="66">
        <f t="shared" si="2"/>
        <v>0</v>
      </c>
      <c r="K54" s="13">
        <f>SUMIF(sigaf!$B$2:$B$470,$A54,sigaf!$K$2:$K$470)</f>
        <v>19109960</v>
      </c>
      <c r="L54" s="139">
        <f t="shared" si="6"/>
        <v>0.89476996263590136</v>
      </c>
      <c r="M54" s="13">
        <f>SUMIF(sigaf!$B$2:$B$470,$A54,sigaf!$L$2:$L$470)</f>
        <v>19109960</v>
      </c>
      <c r="N54" s="66">
        <f t="shared" si="3"/>
        <v>0.89476996263590136</v>
      </c>
      <c r="O54" s="85">
        <f>SUMIF(sigaf!$B$2:$B$470,$A54,sigaf!$M$2:$M$470)</f>
        <v>2247440</v>
      </c>
      <c r="P54" s="66">
        <f t="shared" si="4"/>
        <v>0.10523003736409862</v>
      </c>
      <c r="Q54" s="13">
        <f>SUMIF(sigaf!$B$2:$B$470,$A54,sigaf!$N$2:$N$470)</f>
        <v>2247440</v>
      </c>
      <c r="R54" s="66">
        <f t="shared" si="5"/>
        <v>0.10523003736409862</v>
      </c>
    </row>
    <row r="55" spans="1:18" x14ac:dyDescent="0.25">
      <c r="A55" s="11" t="s">
        <v>319</v>
      </c>
      <c r="B55" s="11" t="s">
        <v>425</v>
      </c>
      <c r="C55" s="13">
        <f>SUMIF(sigaf!$B$2:$B$470,$A55,sigaf!$F$2:$F$470)</f>
        <v>223904670</v>
      </c>
      <c r="D55" s="13">
        <f>SUMIF(sigaf!$B$2:$B$470,$A55,sigaf!$G$2:$G$470)</f>
        <v>223904670</v>
      </c>
      <c r="E55" s="13">
        <f>SUMIF(sigaf!$B$2:$B$470,$A55,sigaf!$H$2:$H$470)</f>
        <v>0</v>
      </c>
      <c r="F55" s="66">
        <f t="shared" si="1"/>
        <v>0</v>
      </c>
      <c r="G55" s="130">
        <f>SUMIF(sigaf!$B$2:$B$470,$A55,sigaf!$I$2:$I$470)</f>
        <v>0</v>
      </c>
      <c r="H55" s="66">
        <f t="shared" si="2"/>
        <v>0</v>
      </c>
      <c r="I55" s="13">
        <f>SUMIF(sigaf!$B$2:$B$470,$A55,sigaf!$J$2:$J$470)</f>
        <v>0</v>
      </c>
      <c r="J55" s="66">
        <f t="shared" si="2"/>
        <v>0</v>
      </c>
      <c r="K55" s="13">
        <f>SUMIF(sigaf!$B$2:$B$470,$A55,sigaf!$K$2:$K$470)</f>
        <v>203083247</v>
      </c>
      <c r="L55" s="139">
        <f t="shared" si="6"/>
        <v>0.90700764302950898</v>
      </c>
      <c r="M55" s="13">
        <f>SUMIF(sigaf!$B$2:$B$470,$A55,sigaf!$L$2:$L$470)</f>
        <v>203083247</v>
      </c>
      <c r="N55" s="66">
        <f t="shared" si="3"/>
        <v>0.90700764302950898</v>
      </c>
      <c r="O55" s="85">
        <f>SUMIF(sigaf!$B$2:$B$470,$A55,sigaf!$M$2:$M$470)</f>
        <v>20821423</v>
      </c>
      <c r="P55" s="66">
        <f t="shared" si="4"/>
        <v>9.2992356970491061E-2</v>
      </c>
      <c r="Q55" s="13">
        <f>SUMIF(sigaf!$B$2:$B$470,$A55,sigaf!$N$2:$N$470)</f>
        <v>20821423</v>
      </c>
      <c r="R55" s="66">
        <f t="shared" si="5"/>
        <v>9.2992356970491061E-2</v>
      </c>
    </row>
    <row r="56" spans="1:18" x14ac:dyDescent="0.25">
      <c r="A56" s="11" t="s">
        <v>356</v>
      </c>
      <c r="B56" s="11" t="s">
        <v>425</v>
      </c>
      <c r="C56" s="13">
        <f>SUMIF(sigaf!$B$2:$B$470,$A56,sigaf!$F$2:$F$470)</f>
        <v>1621137465</v>
      </c>
      <c r="D56" s="13">
        <f>SUMIF(sigaf!$B$2:$B$470,$A56,sigaf!$G$2:$G$470)</f>
        <v>1619877000</v>
      </c>
      <c r="E56" s="13">
        <f>SUMIF(sigaf!$B$2:$B$470,$A56,sigaf!$H$2:$H$470)</f>
        <v>0</v>
      </c>
      <c r="F56" s="66">
        <f t="shared" si="1"/>
        <v>0</v>
      </c>
      <c r="G56" s="130">
        <f>SUMIF(sigaf!$B$2:$B$470,$A56,sigaf!$I$2:$I$470)</f>
        <v>0</v>
      </c>
      <c r="H56" s="66">
        <f t="shared" si="2"/>
        <v>0</v>
      </c>
      <c r="I56" s="13">
        <f>SUMIF(sigaf!$B$2:$B$470,$A56,sigaf!$J$2:$J$470)</f>
        <v>0</v>
      </c>
      <c r="J56" s="66">
        <f t="shared" si="2"/>
        <v>0</v>
      </c>
      <c r="K56" s="13">
        <f>SUMIF(sigaf!$B$2:$B$470,$A56,sigaf!$K$2:$K$470)</f>
        <v>1541214083</v>
      </c>
      <c r="L56" s="139">
        <f t="shared" si="6"/>
        <v>0.95069919502477229</v>
      </c>
      <c r="M56" s="13">
        <f>SUMIF(sigaf!$B$2:$B$470,$A56,sigaf!$L$2:$L$470)</f>
        <v>1541214083</v>
      </c>
      <c r="N56" s="66">
        <f t="shared" si="3"/>
        <v>0.95069919502477229</v>
      </c>
      <c r="O56" s="85">
        <f>SUMIF(sigaf!$B$2:$B$470,$A56,sigaf!$M$2:$M$470)</f>
        <v>79923382</v>
      </c>
      <c r="P56" s="66">
        <f t="shared" si="4"/>
        <v>4.9300804975227687E-2</v>
      </c>
      <c r="Q56" s="13">
        <f>SUMIF(sigaf!$B$2:$B$470,$A56,sigaf!$N$2:$N$470)</f>
        <v>78662917</v>
      </c>
      <c r="R56" s="66">
        <f t="shared" si="5"/>
        <v>4.8523286086661378E-2</v>
      </c>
    </row>
    <row r="57" spans="1:18" x14ac:dyDescent="0.25">
      <c r="A57" s="11" t="s">
        <v>386</v>
      </c>
      <c r="B57" s="11" t="s">
        <v>425</v>
      </c>
      <c r="C57" s="13">
        <f>SUMIF(sigaf!$B$2:$B$470,$A57,sigaf!$F$2:$F$470)</f>
        <v>301841027</v>
      </c>
      <c r="D57" s="13">
        <f>SUMIF(sigaf!$B$2:$B$470,$A57,sigaf!$G$2:$G$470)</f>
        <v>301841027</v>
      </c>
      <c r="E57" s="13">
        <f>SUMIF(sigaf!$B$2:$B$470,$A57,sigaf!$H$2:$H$470)</f>
        <v>0</v>
      </c>
      <c r="F57" s="66">
        <f t="shared" si="1"/>
        <v>0</v>
      </c>
      <c r="G57" s="130">
        <f>SUMIF(sigaf!$B$2:$B$470,$A57,sigaf!$I$2:$I$470)</f>
        <v>0</v>
      </c>
      <c r="H57" s="66">
        <f t="shared" si="2"/>
        <v>0</v>
      </c>
      <c r="I57" s="13">
        <f>SUMIF(sigaf!$B$2:$B$470,$A57,sigaf!$J$2:$J$470)</f>
        <v>0</v>
      </c>
      <c r="J57" s="66">
        <f t="shared" si="2"/>
        <v>0</v>
      </c>
      <c r="K57" s="13">
        <f>SUMIF(sigaf!$B$2:$B$470,$A57,sigaf!$K$2:$K$470)</f>
        <v>282948524</v>
      </c>
      <c r="L57" s="139">
        <f t="shared" si="6"/>
        <v>0.93740909515259496</v>
      </c>
      <c r="M57" s="13">
        <f>SUMIF(sigaf!$B$2:$B$470,$A57,sigaf!$L$2:$L$470)</f>
        <v>282948524</v>
      </c>
      <c r="N57" s="66">
        <f t="shared" si="3"/>
        <v>0.93740909515259496</v>
      </c>
      <c r="O57" s="85">
        <f>SUMIF(sigaf!$B$2:$B$470,$A57,sigaf!$M$2:$M$470)</f>
        <v>18892503</v>
      </c>
      <c r="P57" s="66">
        <f t="shared" si="4"/>
        <v>6.2590904847404982E-2</v>
      </c>
      <c r="Q57" s="13">
        <f>SUMIF(sigaf!$B$2:$B$470,$A57,sigaf!$N$2:$N$470)</f>
        <v>18892503</v>
      </c>
      <c r="R57" s="66">
        <f t="shared" si="5"/>
        <v>6.2590904847404982E-2</v>
      </c>
    </row>
    <row r="58" spans="1:18" s="63" customFormat="1" x14ac:dyDescent="0.25">
      <c r="A58" s="264" t="s">
        <v>397</v>
      </c>
      <c r="B58" s="264" t="s">
        <v>426</v>
      </c>
      <c r="C58" s="265">
        <f>+C59</f>
        <v>86345000</v>
      </c>
      <c r="D58" s="265">
        <f>+D59</f>
        <v>86345000</v>
      </c>
      <c r="E58" s="265">
        <f>+E59</f>
        <v>0</v>
      </c>
      <c r="F58" s="266">
        <f t="shared" si="1"/>
        <v>0</v>
      </c>
      <c r="G58" s="265">
        <f>+G59</f>
        <v>0</v>
      </c>
      <c r="H58" s="266">
        <f t="shared" si="2"/>
        <v>0</v>
      </c>
      <c r="I58" s="265">
        <f>+I59</f>
        <v>0</v>
      </c>
      <c r="J58" s="266">
        <f t="shared" si="2"/>
        <v>0</v>
      </c>
      <c r="K58" s="265">
        <f>+K59</f>
        <v>82875015.140000001</v>
      </c>
      <c r="L58" s="267">
        <f t="shared" si="6"/>
        <v>0.95981255590943304</v>
      </c>
      <c r="M58" s="265">
        <f>+M59</f>
        <v>82875015.140000001</v>
      </c>
      <c r="N58" s="266">
        <f t="shared" si="3"/>
        <v>0.95981255590943304</v>
      </c>
      <c r="O58" s="265">
        <f>+O59</f>
        <v>3469984.86</v>
      </c>
      <c r="P58" s="266">
        <f t="shared" si="4"/>
        <v>4.0187444090566911E-2</v>
      </c>
      <c r="Q58" s="265">
        <f>+Q59</f>
        <v>3469984.86</v>
      </c>
      <c r="R58" s="266">
        <f t="shared" si="5"/>
        <v>4.0187444090566911E-2</v>
      </c>
    </row>
    <row r="59" spans="1:18" x14ac:dyDescent="0.25">
      <c r="A59" s="11" t="s">
        <v>387</v>
      </c>
      <c r="B59" s="11" t="s">
        <v>427</v>
      </c>
      <c r="C59" s="13">
        <f>SUMIF(sigaf!$B$2:$B$470,$A59,sigaf!$F$2:$F$470)</f>
        <v>86345000</v>
      </c>
      <c r="D59" s="13">
        <f>SUMIF(sigaf!$B$2:$B$470,$A59,sigaf!$G$2:$G$470)</f>
        <v>86345000</v>
      </c>
      <c r="E59" s="13">
        <f>SUMIF(sigaf!$B$2:$B$470,$A59,sigaf!$H$2:$H$470)</f>
        <v>0</v>
      </c>
      <c r="F59" s="66">
        <f t="shared" si="1"/>
        <v>0</v>
      </c>
      <c r="G59" s="130">
        <f>SUMIF(sigaf!$B$2:$B$470,$A59,sigaf!$I$2:$I$470)</f>
        <v>0</v>
      </c>
      <c r="H59" s="66">
        <f t="shared" si="2"/>
        <v>0</v>
      </c>
      <c r="I59" s="13">
        <f>SUMIF(sigaf!$B$2:$B$470,$A59,sigaf!$J$2:$J$470)</f>
        <v>0</v>
      </c>
      <c r="J59" s="66">
        <f t="shared" si="2"/>
        <v>0</v>
      </c>
      <c r="K59" s="13">
        <f>SUMIF(sigaf!$B$2:$B$470,$A59,sigaf!$K$2:$K$470)</f>
        <v>82875015.140000001</v>
      </c>
      <c r="L59" s="139">
        <f t="shared" si="6"/>
        <v>0.95981255590943304</v>
      </c>
      <c r="M59" s="13">
        <f>SUMIF(sigaf!$B$2:$B$470,$A59,sigaf!$L$2:$L$470)</f>
        <v>82875015.140000001</v>
      </c>
      <c r="N59" s="66">
        <f t="shared" si="3"/>
        <v>0.95981255590943304</v>
      </c>
      <c r="O59" s="85">
        <f>SUMIF(sigaf!$B$2:$B$470,$A59,sigaf!$M$2:$M$470)</f>
        <v>3469984.86</v>
      </c>
      <c r="P59" s="66">
        <f t="shared" si="4"/>
        <v>4.0187444090566911E-2</v>
      </c>
      <c r="Q59" s="13">
        <f>SUMIF(sigaf!$B$2:$B$470,$A59,sigaf!$N$2:$N$470)</f>
        <v>3469984.86</v>
      </c>
      <c r="R59" s="66">
        <f t="shared" si="5"/>
        <v>4.0187444090566911E-2</v>
      </c>
    </row>
    <row r="60" spans="1:18" x14ac:dyDescent="0.25">
      <c r="A60" s="11" t="s">
        <v>357</v>
      </c>
      <c r="B60" s="11" t="s">
        <v>428</v>
      </c>
      <c r="C60" s="13">
        <f>SUMIF(sigaf!$B$2:$B$470,$A60,sigaf!$F$2:$F$470)</f>
        <v>0</v>
      </c>
      <c r="D60" s="13">
        <f>SUMIF(sigaf!$B$2:$B$470,$A60,sigaf!$G$2:$G$470)</f>
        <v>0</v>
      </c>
      <c r="E60" s="13">
        <f>SUMIF(sigaf!$B$2:$B$470,$A60,sigaf!$H$2:$H$470)</f>
        <v>0</v>
      </c>
      <c r="F60" s="66">
        <f t="shared" si="1"/>
        <v>0</v>
      </c>
      <c r="G60" s="130">
        <f>SUMIF(sigaf!$B$2:$B$470,$A60,sigaf!$I$2:$I$470)</f>
        <v>0</v>
      </c>
      <c r="H60" s="66">
        <f t="shared" si="2"/>
        <v>0</v>
      </c>
      <c r="I60" s="13">
        <f>SUMIF(sigaf!$B$2:$B$470,$A60,sigaf!$J$2:$J$470)</f>
        <v>0</v>
      </c>
      <c r="J60" s="66">
        <f t="shared" si="2"/>
        <v>0</v>
      </c>
      <c r="K60" s="13">
        <f>SUMIF(sigaf!$B$2:$B$470,$A60,sigaf!$K$2:$K$470)</f>
        <v>0</v>
      </c>
      <c r="L60" s="139">
        <f t="shared" si="6"/>
        <v>0</v>
      </c>
      <c r="M60" s="13">
        <f>SUMIF(sigaf!$B$2:$B$470,$A60,sigaf!$L$2:$L$470)</f>
        <v>0</v>
      </c>
      <c r="N60" s="66">
        <f t="shared" si="3"/>
        <v>0</v>
      </c>
      <c r="O60" s="85">
        <f>SUMIF(sigaf!$B$2:$B$470,$A60,sigaf!$M$2:$M$470)</f>
        <v>0</v>
      </c>
      <c r="P60" s="66">
        <f t="shared" si="4"/>
        <v>0</v>
      </c>
      <c r="Q60" s="13">
        <f>SUMIF(sigaf!$B$2:$B$470,$A60,sigaf!$N$2:$N$470)</f>
        <v>0</v>
      </c>
      <c r="R60" s="66">
        <f t="shared" si="5"/>
        <v>0</v>
      </c>
    </row>
    <row r="61" spans="1:18" x14ac:dyDescent="0.25">
      <c r="A61" s="11" t="s">
        <v>358</v>
      </c>
      <c r="B61" s="11" t="s">
        <v>429</v>
      </c>
      <c r="C61" s="13">
        <f>SUMIF(sigaf!$B$2:$B$470,$A61,sigaf!$F$2:$F$470)</f>
        <v>0</v>
      </c>
      <c r="D61" s="13">
        <f>SUMIF(sigaf!$B$2:$B$470,$A61,sigaf!$G$2:$G$470)</f>
        <v>0</v>
      </c>
      <c r="E61" s="13">
        <f>SUMIF(sigaf!$B$2:$B$470,$A61,sigaf!$H$2:$H$470)</f>
        <v>0</v>
      </c>
      <c r="F61" s="66">
        <f t="shared" si="1"/>
        <v>0</v>
      </c>
      <c r="G61" s="130">
        <f>SUMIF(sigaf!$B$2:$B$470,$A61,sigaf!$I$2:$I$470)</f>
        <v>0</v>
      </c>
      <c r="H61" s="66">
        <f t="shared" si="2"/>
        <v>0</v>
      </c>
      <c r="I61" s="13">
        <f>SUMIF(sigaf!$B$2:$B$470,$A61,sigaf!$J$2:$J$470)</f>
        <v>0</v>
      </c>
      <c r="J61" s="66">
        <f t="shared" si="2"/>
        <v>0</v>
      </c>
      <c r="K61" s="13">
        <f>SUMIF(sigaf!$B$2:$B$470,$A61,sigaf!$K$2:$K$470)</f>
        <v>0</v>
      </c>
      <c r="L61" s="139">
        <f t="shared" si="6"/>
        <v>0</v>
      </c>
      <c r="M61" s="13">
        <f>SUMIF(sigaf!$B$2:$B$470,$A61,sigaf!$L$2:$L$470)</f>
        <v>0</v>
      </c>
      <c r="N61" s="66">
        <f t="shared" si="3"/>
        <v>0</v>
      </c>
      <c r="O61" s="85">
        <f>SUMIF(sigaf!$B$2:$B$470,$A61,sigaf!$M$2:$M$470)</f>
        <v>0</v>
      </c>
      <c r="P61" s="66">
        <f t="shared" si="4"/>
        <v>0</v>
      </c>
      <c r="Q61" s="13">
        <f>SUMIF(sigaf!$B$2:$B$470,$A61,sigaf!$N$2:$N$470)</f>
        <v>0</v>
      </c>
      <c r="R61" s="66">
        <f t="shared" si="5"/>
        <v>0</v>
      </c>
    </row>
    <row r="62" spans="1:18" s="23" customFormat="1" x14ac:dyDescent="0.25">
      <c r="A62" s="21" t="s">
        <v>123</v>
      </c>
      <c r="B62" s="21" t="s">
        <v>124</v>
      </c>
      <c r="C62" s="35">
        <f>SUMIF(sigaf!$B$2:$B$470,$A62,sigaf!$F$2:$F$470)</f>
        <v>18447657734</v>
      </c>
      <c r="D62" s="13">
        <f>SUMIF(sigaf!$B$2:$B$470,$A62,sigaf!$G$2:$G$470)</f>
        <v>18442857734</v>
      </c>
      <c r="E62" s="13">
        <f>SUMIF(sigaf!$B$2:$B$470,$A62,sigaf!$H$2:$H$470)</f>
        <v>0</v>
      </c>
      <c r="F62" s="65">
        <f t="shared" si="1"/>
        <v>0</v>
      </c>
      <c r="G62" s="130">
        <f>SUMIF(sigaf!$B$2:$B$470,$A62,sigaf!$I$2:$I$470)</f>
        <v>0</v>
      </c>
      <c r="H62" s="65">
        <f t="shared" si="2"/>
        <v>0</v>
      </c>
      <c r="I62" s="13">
        <f>SUMIF(sigaf!$B$2:$B$470,$A62,sigaf!$J$2:$J$470)</f>
        <v>0</v>
      </c>
      <c r="J62" s="65">
        <f t="shared" si="2"/>
        <v>0</v>
      </c>
      <c r="K62" s="13">
        <f>SUMIF(sigaf!$B$2:$B$470,$A62,sigaf!$K$2:$K$470)</f>
        <v>16055373084.190001</v>
      </c>
      <c r="L62" s="138">
        <f t="shared" si="6"/>
        <v>0.87032041225478218</v>
      </c>
      <c r="M62" s="13">
        <f>SUMIF(sigaf!$B$2:$B$470,$A62,sigaf!$L$2:$L$470)</f>
        <v>14467259544.280001</v>
      </c>
      <c r="N62" s="65">
        <f t="shared" si="3"/>
        <v>0.78423286863221031</v>
      </c>
      <c r="O62" s="85">
        <f>SUMIF(sigaf!$B$2:$B$470,$A62,sigaf!$M$2:$M$470)</f>
        <v>2392284649.8099999</v>
      </c>
      <c r="P62" s="65">
        <f t="shared" si="4"/>
        <v>0.12967958774521787</v>
      </c>
      <c r="Q62" s="13">
        <f>SUMIF(sigaf!$B$2:$B$470,$A62,sigaf!$N$2:$N$470)</f>
        <v>2387484649.8099999</v>
      </c>
      <c r="R62" s="65">
        <f t="shared" si="5"/>
        <v>0.12941939211121314</v>
      </c>
    </row>
    <row r="63" spans="1:18" x14ac:dyDescent="0.25">
      <c r="A63" s="11" t="s">
        <v>125</v>
      </c>
      <c r="B63" s="11" t="s">
        <v>126</v>
      </c>
      <c r="C63" s="13">
        <f>SUMIF(sigaf!$B$2:$B$470,$A63,sigaf!$F$2:$F$470)</f>
        <v>9461348648</v>
      </c>
      <c r="D63" s="13">
        <f>SUMIF(sigaf!$B$2:$B$470,$A63,sigaf!$G$2:$G$470)</f>
        <v>9461348648</v>
      </c>
      <c r="E63" s="13">
        <f>SUMIF(sigaf!$B$2:$B$470,$A63,sigaf!$H$2:$H$470)</f>
        <v>0</v>
      </c>
      <c r="F63" s="66">
        <f t="shared" si="1"/>
        <v>0</v>
      </c>
      <c r="G63" s="130">
        <f>SUMIF(sigaf!$B$2:$B$470,$A63,sigaf!$I$2:$I$470)</f>
        <v>0</v>
      </c>
      <c r="H63" s="66">
        <f t="shared" si="2"/>
        <v>0</v>
      </c>
      <c r="I63" s="13">
        <f>SUMIF(sigaf!$B$2:$B$470,$A63,sigaf!$J$2:$J$470)</f>
        <v>0</v>
      </c>
      <c r="J63" s="66">
        <f t="shared" si="2"/>
        <v>0</v>
      </c>
      <c r="K63" s="13">
        <f>SUMIF(sigaf!$B$2:$B$470,$A63,sigaf!$K$2:$K$470)</f>
        <v>8367995006.2200003</v>
      </c>
      <c r="L63" s="139">
        <f t="shared" si="6"/>
        <v>0.88443997970510058</v>
      </c>
      <c r="M63" s="13">
        <f>SUMIF(sigaf!$B$2:$B$470,$A63,sigaf!$L$2:$L$470)</f>
        <v>7195172051.6599998</v>
      </c>
      <c r="N63" s="66">
        <f t="shared" si="3"/>
        <v>0.76048059524589673</v>
      </c>
      <c r="O63" s="85">
        <f>SUMIF(sigaf!$B$2:$B$470,$A63,sigaf!$M$2:$M$470)</f>
        <v>1093353641.78</v>
      </c>
      <c r="P63" s="66">
        <f t="shared" si="4"/>
        <v>0.11556002029489951</v>
      </c>
      <c r="Q63" s="13">
        <f>SUMIF(sigaf!$B$2:$B$470,$A63,sigaf!$N$2:$N$470)</f>
        <v>1093353641.78</v>
      </c>
      <c r="R63" s="66">
        <f t="shared" si="5"/>
        <v>0.11556002029489951</v>
      </c>
    </row>
    <row r="64" spans="1:18" x14ac:dyDescent="0.25">
      <c r="A64" s="11" t="s">
        <v>306</v>
      </c>
      <c r="B64" s="11" t="s">
        <v>430</v>
      </c>
      <c r="C64" s="13">
        <f>SUMIF(sigaf!$B$2:$B$470,$A64,sigaf!$F$2:$F$470)</f>
        <v>657216874</v>
      </c>
      <c r="D64" s="13">
        <f>SUMIF(sigaf!$B$2:$B$470,$A64,sigaf!$G$2:$G$470)</f>
        <v>657216874</v>
      </c>
      <c r="E64" s="13">
        <f>SUMIF(sigaf!$B$2:$B$470,$A64,sigaf!$H$2:$H$470)</f>
        <v>0</v>
      </c>
      <c r="F64" s="66">
        <f t="shared" si="1"/>
        <v>0</v>
      </c>
      <c r="G64" s="130">
        <f>SUMIF(sigaf!$B$2:$B$470,$A64,sigaf!$I$2:$I$470)</f>
        <v>0</v>
      </c>
      <c r="H64" s="66">
        <f t="shared" si="2"/>
        <v>0</v>
      </c>
      <c r="I64" s="13">
        <f>SUMIF(sigaf!$B$2:$B$470,$A64,sigaf!$J$2:$J$470)</f>
        <v>0</v>
      </c>
      <c r="J64" s="66">
        <f t="shared" si="2"/>
        <v>0</v>
      </c>
      <c r="K64" s="13">
        <f>SUMIF(sigaf!$B$2:$B$470,$A64,sigaf!$K$2:$K$470)</f>
        <v>634300711.47000003</v>
      </c>
      <c r="L64" s="139">
        <f t="shared" si="6"/>
        <v>0.96513150614876031</v>
      </c>
      <c r="M64" s="13">
        <f>SUMIF(sigaf!$B$2:$B$470,$A64,sigaf!$L$2:$L$470)</f>
        <v>596006672.74000001</v>
      </c>
      <c r="N64" s="66">
        <f t="shared" si="3"/>
        <v>0.90686453181358828</v>
      </c>
      <c r="O64" s="85">
        <f>SUMIF(sigaf!$B$2:$B$470,$A64,sigaf!$M$2:$M$470)</f>
        <v>22916162.530000001</v>
      </c>
      <c r="P64" s="66">
        <f t="shared" si="4"/>
        <v>3.4868493851239739E-2</v>
      </c>
      <c r="Q64" s="13">
        <f>SUMIF(sigaf!$B$2:$B$470,$A64,sigaf!$N$2:$N$470)</f>
        <v>22916162.530000001</v>
      </c>
      <c r="R64" s="66">
        <f t="shared" si="5"/>
        <v>3.4868493851239739E-2</v>
      </c>
    </row>
    <row r="65" spans="1:18" x14ac:dyDescent="0.25">
      <c r="A65" s="11" t="s">
        <v>320</v>
      </c>
      <c r="B65" s="11" t="s">
        <v>431</v>
      </c>
      <c r="C65" s="13">
        <f>SUMIF(sigaf!$B$2:$B$470,$A65,sigaf!$F$2:$F$470)</f>
        <v>3333000</v>
      </c>
      <c r="D65" s="13">
        <f>SUMIF(sigaf!$B$2:$B$470,$A65,sigaf!$G$2:$G$470)</f>
        <v>3333000</v>
      </c>
      <c r="E65" s="13">
        <f>SUMIF(sigaf!$B$2:$B$470,$A65,sigaf!$H$2:$H$470)</f>
        <v>0</v>
      </c>
      <c r="F65" s="66">
        <f t="shared" si="1"/>
        <v>0</v>
      </c>
      <c r="G65" s="130">
        <f>SUMIF(sigaf!$B$2:$B$470,$A65,sigaf!$I$2:$I$470)</f>
        <v>0</v>
      </c>
      <c r="H65" s="66">
        <f t="shared" si="2"/>
        <v>0</v>
      </c>
      <c r="I65" s="13">
        <f>SUMIF(sigaf!$B$2:$B$470,$A65,sigaf!$J$2:$J$470)</f>
        <v>0</v>
      </c>
      <c r="J65" s="66">
        <f t="shared" si="2"/>
        <v>0</v>
      </c>
      <c r="K65" s="13">
        <f>SUMIF(sigaf!$B$2:$B$470,$A65,sigaf!$K$2:$K$470)</f>
        <v>2632259.4700000002</v>
      </c>
      <c r="L65" s="139">
        <f t="shared" si="6"/>
        <v>0.78975681668166819</v>
      </c>
      <c r="M65" s="13">
        <f>SUMIF(sigaf!$B$2:$B$470,$A65,sigaf!$L$2:$L$470)</f>
        <v>2229349.9500000002</v>
      </c>
      <c r="N65" s="66">
        <f t="shared" si="3"/>
        <v>0.66887187218721877</v>
      </c>
      <c r="O65" s="85">
        <f>SUMIF(sigaf!$B$2:$B$470,$A65,sigaf!$M$2:$M$470)</f>
        <v>700740.53</v>
      </c>
      <c r="P65" s="66">
        <f t="shared" si="4"/>
        <v>0.21024318331833183</v>
      </c>
      <c r="Q65" s="13">
        <f>SUMIF(sigaf!$B$2:$B$470,$A65,sigaf!$N$2:$N$470)</f>
        <v>700740.53</v>
      </c>
      <c r="R65" s="66">
        <f t="shared" si="5"/>
        <v>0.21024318331833183</v>
      </c>
    </row>
    <row r="66" spans="1:18" x14ac:dyDescent="0.25">
      <c r="A66" s="11" t="s">
        <v>127</v>
      </c>
      <c r="B66" s="11" t="s">
        <v>432</v>
      </c>
      <c r="C66" s="13">
        <f>SUMIF(sigaf!$B$2:$B$470,$A66,sigaf!$F$2:$F$470)</f>
        <v>1111197211</v>
      </c>
      <c r="D66" s="13">
        <f>SUMIF(sigaf!$B$2:$B$470,$A66,sigaf!$G$2:$G$470)</f>
        <v>1111197211</v>
      </c>
      <c r="E66" s="13">
        <f>SUMIF(sigaf!$B$2:$B$470,$A66,sigaf!$H$2:$H$470)</f>
        <v>0</v>
      </c>
      <c r="F66" s="66">
        <f t="shared" si="1"/>
        <v>0</v>
      </c>
      <c r="G66" s="130">
        <f>SUMIF(sigaf!$B$2:$B$470,$A66,sigaf!$I$2:$I$470)</f>
        <v>0</v>
      </c>
      <c r="H66" s="66">
        <f t="shared" si="2"/>
        <v>0</v>
      </c>
      <c r="I66" s="13">
        <f>SUMIF(sigaf!$B$2:$B$470,$A66,sigaf!$J$2:$J$470)</f>
        <v>0</v>
      </c>
      <c r="J66" s="66">
        <f t="shared" si="2"/>
        <v>0</v>
      </c>
      <c r="K66" s="13">
        <f>SUMIF(sigaf!$B$2:$B$470,$A66,sigaf!$K$2:$K$470)</f>
        <v>837571389.48000002</v>
      </c>
      <c r="L66" s="139">
        <f t="shared" si="6"/>
        <v>0.75375584206717383</v>
      </c>
      <c r="M66" s="13">
        <f>SUMIF(sigaf!$B$2:$B$470,$A66,sigaf!$L$2:$L$470)</f>
        <v>685000318.38999999</v>
      </c>
      <c r="N66" s="66">
        <f t="shared" si="3"/>
        <v>0.61645251770704812</v>
      </c>
      <c r="O66" s="85">
        <f>SUMIF(sigaf!$B$2:$B$470,$A66,sigaf!$M$2:$M$470)</f>
        <v>273625821.51999998</v>
      </c>
      <c r="P66" s="66">
        <f t="shared" si="4"/>
        <v>0.2462441579328262</v>
      </c>
      <c r="Q66" s="13">
        <f>SUMIF(sigaf!$B$2:$B$470,$A66,sigaf!$N$2:$N$470)</f>
        <v>273625821.51999998</v>
      </c>
      <c r="R66" s="66">
        <f t="shared" si="5"/>
        <v>0.2462441579328262</v>
      </c>
    </row>
    <row r="67" spans="1:18" x14ac:dyDescent="0.25">
      <c r="A67" s="11" t="s">
        <v>322</v>
      </c>
      <c r="B67" s="11" t="s">
        <v>433</v>
      </c>
      <c r="C67" s="13">
        <f>SUMIF(sigaf!$B$2:$B$470,$A67,sigaf!$F$2:$F$470)</f>
        <v>44246000</v>
      </c>
      <c r="D67" s="13">
        <f>SUMIF(sigaf!$B$2:$B$470,$A67,sigaf!$G$2:$G$470)</f>
        <v>44246000</v>
      </c>
      <c r="E67" s="13">
        <f>SUMIF(sigaf!$B$2:$B$470,$A67,sigaf!$H$2:$H$470)</f>
        <v>0</v>
      </c>
      <c r="F67" s="66">
        <f t="shared" si="1"/>
        <v>0</v>
      </c>
      <c r="G67" s="130">
        <f>SUMIF(sigaf!$B$2:$B$470,$A67,sigaf!$I$2:$I$470)</f>
        <v>0</v>
      </c>
      <c r="H67" s="66">
        <f t="shared" si="2"/>
        <v>0</v>
      </c>
      <c r="I67" s="13">
        <f>SUMIF(sigaf!$B$2:$B$470,$A67,sigaf!$J$2:$J$470)</f>
        <v>0</v>
      </c>
      <c r="J67" s="66">
        <f t="shared" si="2"/>
        <v>0</v>
      </c>
      <c r="K67" s="13">
        <f>SUMIF(sigaf!$B$2:$B$470,$A67,sigaf!$K$2:$K$470)</f>
        <v>33968078.469999999</v>
      </c>
      <c r="L67" s="139">
        <f t="shared" si="6"/>
        <v>0.76770958888939111</v>
      </c>
      <c r="M67" s="13">
        <f>SUMIF(sigaf!$B$2:$B$470,$A67,sigaf!$L$2:$L$470)</f>
        <v>33968078.469999999</v>
      </c>
      <c r="N67" s="66">
        <f t="shared" si="3"/>
        <v>0.76770958888939111</v>
      </c>
      <c r="O67" s="85">
        <f>SUMIF(sigaf!$B$2:$B$470,$A67,sigaf!$M$2:$M$470)</f>
        <v>10277921.530000001</v>
      </c>
      <c r="P67" s="66">
        <f t="shared" si="4"/>
        <v>0.23229041111060889</v>
      </c>
      <c r="Q67" s="13">
        <f>SUMIF(sigaf!$B$2:$B$470,$A67,sigaf!$N$2:$N$470)</f>
        <v>10277921.530000001</v>
      </c>
      <c r="R67" s="66">
        <f t="shared" si="5"/>
        <v>0.23229041111060889</v>
      </c>
    </row>
    <row r="68" spans="1:18" x14ac:dyDescent="0.25">
      <c r="A68" s="11" t="s">
        <v>129</v>
      </c>
      <c r="B68" s="11" t="s">
        <v>130</v>
      </c>
      <c r="C68" s="13">
        <f>SUMIF(sigaf!$B$2:$B$470,$A68,sigaf!$F$2:$F$470)</f>
        <v>7645355563</v>
      </c>
      <c r="D68" s="13">
        <f>SUMIF(sigaf!$B$2:$B$470,$A68,sigaf!$G$2:$G$470)</f>
        <v>7645355563</v>
      </c>
      <c r="E68" s="13">
        <f>SUMIF(sigaf!$B$2:$B$470,$A68,sigaf!$H$2:$H$470)</f>
        <v>0</v>
      </c>
      <c r="F68" s="66">
        <f t="shared" si="1"/>
        <v>0</v>
      </c>
      <c r="G68" s="130">
        <f>SUMIF(sigaf!$B$2:$B$470,$A68,sigaf!$I$2:$I$470)</f>
        <v>0</v>
      </c>
      <c r="H68" s="66">
        <f t="shared" si="2"/>
        <v>0</v>
      </c>
      <c r="I68" s="13">
        <f>SUMIF(sigaf!$B$2:$B$470,$A68,sigaf!$J$2:$J$470)</f>
        <v>0</v>
      </c>
      <c r="J68" s="66">
        <f t="shared" si="2"/>
        <v>0</v>
      </c>
      <c r="K68" s="13">
        <f>SUMIF(sigaf!$B$2:$B$470,$A68,sigaf!$K$2:$K$470)</f>
        <v>6859522567.3299999</v>
      </c>
      <c r="L68" s="139">
        <f t="shared" si="6"/>
        <v>0.89721432977256543</v>
      </c>
      <c r="M68" s="13">
        <f>SUMIF(sigaf!$B$2:$B$470,$A68,sigaf!$L$2:$L$470)</f>
        <v>5877967632.1100006</v>
      </c>
      <c r="N68" s="66">
        <f t="shared" si="3"/>
        <v>0.76882855004895478</v>
      </c>
      <c r="O68" s="85">
        <f>SUMIF(sigaf!$B$2:$B$470,$A68,sigaf!$M$2:$M$470)</f>
        <v>785832995.67000008</v>
      </c>
      <c r="P68" s="66">
        <f t="shared" si="4"/>
        <v>0.10278567022743454</v>
      </c>
      <c r="Q68" s="13">
        <f>SUMIF(sigaf!$B$2:$B$470,$A68,sigaf!$N$2:$N$470)</f>
        <v>785832995.67000008</v>
      </c>
      <c r="R68" s="66">
        <f t="shared" si="5"/>
        <v>0.10278567022743454</v>
      </c>
    </row>
    <row r="69" spans="1:18" x14ac:dyDescent="0.25">
      <c r="A69" s="11" t="s">
        <v>131</v>
      </c>
      <c r="B69" s="11" t="s">
        <v>434</v>
      </c>
      <c r="C69" s="13">
        <f>SUMIF(sigaf!$B$2:$B$470,$A69,sigaf!$F$2:$F$470)</f>
        <v>5730565046</v>
      </c>
      <c r="D69" s="13">
        <f>SUMIF(sigaf!$B$2:$B$470,$A69,sigaf!$G$2:$G$470)</f>
        <v>5730565046</v>
      </c>
      <c r="E69" s="13">
        <f>SUMIF(sigaf!$B$2:$B$470,$A69,sigaf!$H$2:$H$470)</f>
        <v>0</v>
      </c>
      <c r="F69" s="66">
        <f t="shared" si="1"/>
        <v>0</v>
      </c>
      <c r="G69" s="130">
        <f>SUMIF(sigaf!$B$2:$B$470,$A69,sigaf!$I$2:$I$470)</f>
        <v>0</v>
      </c>
      <c r="H69" s="66">
        <f t="shared" si="2"/>
        <v>0</v>
      </c>
      <c r="I69" s="13">
        <f>SUMIF(sigaf!$B$2:$B$470,$A69,sigaf!$J$2:$J$470)</f>
        <v>0</v>
      </c>
      <c r="J69" s="66">
        <f t="shared" si="2"/>
        <v>0</v>
      </c>
      <c r="K69" s="13">
        <f>SUMIF(sigaf!$B$2:$B$470,$A69,sigaf!$K$2:$K$470)</f>
        <v>4932366913.4500008</v>
      </c>
      <c r="L69" s="139">
        <f t="shared" si="6"/>
        <v>0.8607121416225525</v>
      </c>
      <c r="M69" s="13">
        <f>SUMIF(sigaf!$B$2:$B$470,$A69,sigaf!$L$2:$L$470)</f>
        <v>4805187039.0099993</v>
      </c>
      <c r="N69" s="66">
        <f t="shared" si="3"/>
        <v>0.83851888957513443</v>
      </c>
      <c r="O69" s="85">
        <f>SUMIF(sigaf!$B$2:$B$470,$A69,sigaf!$M$2:$M$470)</f>
        <v>798198132.55000007</v>
      </c>
      <c r="P69" s="66">
        <f t="shared" si="4"/>
        <v>0.1392878583774477</v>
      </c>
      <c r="Q69" s="13">
        <f>SUMIF(sigaf!$B$2:$B$470,$A69,sigaf!$N$2:$N$470)</f>
        <v>798198132.55000007</v>
      </c>
      <c r="R69" s="66">
        <f t="shared" si="5"/>
        <v>0.1392878583774477</v>
      </c>
    </row>
    <row r="70" spans="1:18" x14ac:dyDescent="0.25">
      <c r="A70" s="11" t="s">
        <v>133</v>
      </c>
      <c r="B70" s="11" t="s">
        <v>435</v>
      </c>
      <c r="C70" s="13">
        <f>SUMIF(sigaf!$B$2:$B$470,$A70,sigaf!$F$2:$F$470)</f>
        <v>3081909325</v>
      </c>
      <c r="D70" s="13">
        <f>SUMIF(sigaf!$B$2:$B$470,$A70,sigaf!$G$2:$G$470)</f>
        <v>3081909325</v>
      </c>
      <c r="E70" s="13">
        <f>SUMIF(sigaf!$B$2:$B$470,$A70,sigaf!$H$2:$H$470)</f>
        <v>0</v>
      </c>
      <c r="F70" s="66">
        <f t="shared" si="1"/>
        <v>0</v>
      </c>
      <c r="G70" s="130">
        <f>SUMIF(sigaf!$B$2:$B$470,$A70,sigaf!$I$2:$I$470)</f>
        <v>0</v>
      </c>
      <c r="H70" s="66">
        <f t="shared" si="2"/>
        <v>0</v>
      </c>
      <c r="I70" s="13">
        <f>SUMIF(sigaf!$B$2:$B$470,$A70,sigaf!$J$2:$J$470)</f>
        <v>0</v>
      </c>
      <c r="J70" s="66">
        <f t="shared" si="2"/>
        <v>0</v>
      </c>
      <c r="K70" s="13">
        <f>SUMIF(sigaf!$B$2:$B$470,$A70,sigaf!$K$2:$K$470)</f>
        <v>2693889571.3599997</v>
      </c>
      <c r="L70" s="139">
        <f t="shared" si="6"/>
        <v>0.87409760874778486</v>
      </c>
      <c r="M70" s="13">
        <f>SUMIF(sigaf!$B$2:$B$470,$A70,sigaf!$L$2:$L$470)</f>
        <v>2623072870.3599997</v>
      </c>
      <c r="N70" s="66">
        <f t="shared" si="3"/>
        <v>0.85111941778494726</v>
      </c>
      <c r="O70" s="85">
        <f>SUMIF(sigaf!$B$2:$B$470,$A70,sigaf!$M$2:$M$470)</f>
        <v>388019753.63999999</v>
      </c>
      <c r="P70" s="66">
        <f t="shared" si="4"/>
        <v>0.12590239125221506</v>
      </c>
      <c r="Q70" s="13">
        <f>SUMIF(sigaf!$B$2:$B$470,$A70,sigaf!$N$2:$N$470)</f>
        <v>388019753.63999999</v>
      </c>
      <c r="R70" s="66">
        <f t="shared" si="5"/>
        <v>0.12590239125221506</v>
      </c>
    </row>
    <row r="71" spans="1:18" x14ac:dyDescent="0.25">
      <c r="A71" s="11" t="s">
        <v>135</v>
      </c>
      <c r="B71" s="11" t="s">
        <v>436</v>
      </c>
      <c r="C71" s="13">
        <f>SUMIF(sigaf!$B$2:$B$470,$A71,sigaf!$F$2:$F$470)</f>
        <v>1655378189</v>
      </c>
      <c r="D71" s="13">
        <f>SUMIF(sigaf!$B$2:$B$470,$A71,sigaf!$G$2:$G$470)</f>
        <v>1655378189</v>
      </c>
      <c r="E71" s="13">
        <f>SUMIF(sigaf!$B$2:$B$470,$A71,sigaf!$H$2:$H$470)</f>
        <v>0</v>
      </c>
      <c r="F71" s="66">
        <f t="shared" si="1"/>
        <v>0</v>
      </c>
      <c r="G71" s="130">
        <f>SUMIF(sigaf!$B$2:$B$470,$A71,sigaf!$I$2:$I$470)</f>
        <v>0</v>
      </c>
      <c r="H71" s="66">
        <f t="shared" si="2"/>
        <v>0</v>
      </c>
      <c r="I71" s="13">
        <f>SUMIF(sigaf!$B$2:$B$470,$A71,sigaf!$J$2:$J$470)</f>
        <v>0</v>
      </c>
      <c r="J71" s="66">
        <f t="shared" si="2"/>
        <v>0</v>
      </c>
      <c r="K71" s="13">
        <f>SUMIF(sigaf!$B$2:$B$470,$A71,sigaf!$K$2:$K$470)</f>
        <v>1489738053.6800001</v>
      </c>
      <c r="L71" s="139">
        <f t="shared" si="6"/>
        <v>0.89993819151377019</v>
      </c>
      <c r="M71" s="13">
        <f>SUMIF(sigaf!$B$2:$B$470,$A71,sigaf!$L$2:$L$470)</f>
        <v>1468915118.6799998</v>
      </c>
      <c r="N71" s="66">
        <f t="shared" si="3"/>
        <v>0.88735923213254309</v>
      </c>
      <c r="O71" s="85">
        <f>SUMIF(sigaf!$B$2:$B$470,$A71,sigaf!$M$2:$M$470)</f>
        <v>165640135.31999999</v>
      </c>
      <c r="P71" s="66">
        <f t="shared" si="4"/>
        <v>0.10006180848622985</v>
      </c>
      <c r="Q71" s="13">
        <f>SUMIF(sigaf!$B$2:$B$470,$A71,sigaf!$N$2:$N$470)</f>
        <v>165640135.31999999</v>
      </c>
      <c r="R71" s="66">
        <f t="shared" si="5"/>
        <v>0.10006180848622985</v>
      </c>
    </row>
    <row r="72" spans="1:18" x14ac:dyDescent="0.25">
      <c r="A72" s="11" t="s">
        <v>137</v>
      </c>
      <c r="B72" s="11" t="s">
        <v>138</v>
      </c>
      <c r="C72" s="13">
        <f>SUMIF(sigaf!$B$2:$B$470,$A72,sigaf!$F$2:$F$470)</f>
        <v>10962858</v>
      </c>
      <c r="D72" s="13">
        <f>SUMIF(sigaf!$B$2:$B$470,$A72,sigaf!$G$2:$G$470)</f>
        <v>10962858</v>
      </c>
      <c r="E72" s="13">
        <f>SUMIF(sigaf!$B$2:$B$470,$A72,sigaf!$H$2:$H$470)</f>
        <v>0</v>
      </c>
      <c r="F72" s="66">
        <f t="shared" si="1"/>
        <v>0</v>
      </c>
      <c r="G72" s="130">
        <f>SUMIF(sigaf!$B$2:$B$470,$A72,sigaf!$I$2:$I$470)</f>
        <v>0</v>
      </c>
      <c r="H72" s="66">
        <f t="shared" si="2"/>
        <v>0</v>
      </c>
      <c r="I72" s="13">
        <f>SUMIF(sigaf!$B$2:$B$470,$A72,sigaf!$J$2:$J$470)</f>
        <v>0</v>
      </c>
      <c r="J72" s="66">
        <f t="shared" si="2"/>
        <v>0</v>
      </c>
      <c r="K72" s="13">
        <f>SUMIF(sigaf!$B$2:$B$470,$A72,sigaf!$K$2:$K$470)</f>
        <v>4813185</v>
      </c>
      <c r="L72" s="139">
        <f t="shared" si="6"/>
        <v>0.43904472720525978</v>
      </c>
      <c r="M72" s="13">
        <f>SUMIF(sigaf!$B$2:$B$470,$A72,sigaf!$L$2:$L$470)</f>
        <v>4686515</v>
      </c>
      <c r="N72" s="66">
        <f t="shared" si="3"/>
        <v>0.42749025847092065</v>
      </c>
      <c r="O72" s="85">
        <f>SUMIF(sigaf!$B$2:$B$470,$A72,sigaf!$M$2:$M$470)</f>
        <v>6149673</v>
      </c>
      <c r="P72" s="66">
        <f t="shared" si="4"/>
        <v>0.56095527279474022</v>
      </c>
      <c r="Q72" s="13">
        <f>SUMIF(sigaf!$B$2:$B$470,$A72,sigaf!$N$2:$N$470)</f>
        <v>6149673</v>
      </c>
      <c r="R72" s="66">
        <f t="shared" si="5"/>
        <v>0.56095527279474022</v>
      </c>
    </row>
    <row r="73" spans="1:18" x14ac:dyDescent="0.25">
      <c r="A73" s="11" t="s">
        <v>139</v>
      </c>
      <c r="B73" s="11" t="s">
        <v>437</v>
      </c>
      <c r="C73" s="13">
        <f>SUMIF(sigaf!$B$2:$B$470,$A73,sigaf!$F$2:$F$470)</f>
        <v>858112866</v>
      </c>
      <c r="D73" s="13">
        <f>SUMIF(sigaf!$B$2:$B$470,$A73,sigaf!$G$2:$G$470)</f>
        <v>858112866</v>
      </c>
      <c r="E73" s="13">
        <f>SUMIF(sigaf!$B$2:$B$470,$A73,sigaf!$H$2:$H$470)</f>
        <v>0</v>
      </c>
      <c r="F73" s="66">
        <f t="shared" si="1"/>
        <v>0</v>
      </c>
      <c r="G73" s="130">
        <f>SUMIF(sigaf!$B$2:$B$470,$A73,sigaf!$I$2:$I$470)</f>
        <v>0</v>
      </c>
      <c r="H73" s="66">
        <f t="shared" si="2"/>
        <v>0</v>
      </c>
      <c r="I73" s="13">
        <f>SUMIF(sigaf!$B$2:$B$470,$A73,sigaf!$J$2:$J$470)</f>
        <v>0</v>
      </c>
      <c r="J73" s="66">
        <f t="shared" si="2"/>
        <v>0</v>
      </c>
      <c r="K73" s="13">
        <f>SUMIF(sigaf!$B$2:$B$470,$A73,sigaf!$K$2:$K$470)</f>
        <v>641713685.32000005</v>
      </c>
      <c r="L73" s="139">
        <f t="shared" si="6"/>
        <v>0.74781967587932663</v>
      </c>
      <c r="M73" s="13">
        <f>SUMIF(sigaf!$B$2:$B$470,$A73,sigaf!$L$2:$L$470)</f>
        <v>609492466.88</v>
      </c>
      <c r="N73" s="66">
        <f t="shared" si="3"/>
        <v>0.71027074762447395</v>
      </c>
      <c r="O73" s="85">
        <f>SUMIF(sigaf!$B$2:$B$470,$A73,sigaf!$M$2:$M$470)</f>
        <v>216399180.68000001</v>
      </c>
      <c r="P73" s="66">
        <f t="shared" si="4"/>
        <v>0.25218032412067343</v>
      </c>
      <c r="Q73" s="13">
        <f>SUMIF(sigaf!$B$2:$B$470,$A73,sigaf!$N$2:$N$470)</f>
        <v>216399180.68000001</v>
      </c>
      <c r="R73" s="66">
        <f t="shared" si="5"/>
        <v>0.25218032412067343</v>
      </c>
    </row>
    <row r="74" spans="1:18" x14ac:dyDescent="0.25">
      <c r="A74" s="11" t="s">
        <v>141</v>
      </c>
      <c r="B74" s="11" t="s">
        <v>438</v>
      </c>
      <c r="C74" s="13">
        <f>SUMIF(sigaf!$B$2:$B$470,$A74,sigaf!$F$2:$F$470)</f>
        <v>124201808</v>
      </c>
      <c r="D74" s="13">
        <f>SUMIF(sigaf!$B$2:$B$470,$A74,sigaf!$G$2:$G$470)</f>
        <v>124201808</v>
      </c>
      <c r="E74" s="13">
        <f>SUMIF(sigaf!$B$2:$B$470,$A74,sigaf!$H$2:$H$470)</f>
        <v>0</v>
      </c>
      <c r="F74" s="66">
        <f t="shared" si="1"/>
        <v>0</v>
      </c>
      <c r="G74" s="130">
        <f>SUMIF(sigaf!$B$2:$B$470,$A74,sigaf!$I$2:$I$470)</f>
        <v>0</v>
      </c>
      <c r="H74" s="66">
        <f t="shared" si="2"/>
        <v>0</v>
      </c>
      <c r="I74" s="13">
        <f>SUMIF(sigaf!$B$2:$B$470,$A74,sigaf!$J$2:$J$470)</f>
        <v>0</v>
      </c>
      <c r="J74" s="66">
        <f t="shared" si="2"/>
        <v>0</v>
      </c>
      <c r="K74" s="13">
        <f>SUMIF(sigaf!$B$2:$B$470,$A74,sigaf!$K$2:$K$470)</f>
        <v>102212418.09</v>
      </c>
      <c r="L74" s="139">
        <f t="shared" si="6"/>
        <v>0.82295434934409328</v>
      </c>
      <c r="M74" s="13">
        <f>SUMIF(sigaf!$B$2:$B$470,$A74,sigaf!$L$2:$L$470)</f>
        <v>99020068.090000004</v>
      </c>
      <c r="N74" s="66">
        <f t="shared" si="3"/>
        <v>0.7972514223786501</v>
      </c>
      <c r="O74" s="85">
        <f>SUMIF(sigaf!$B$2:$B$470,$A74,sigaf!$M$2:$M$470)</f>
        <v>21989389.91</v>
      </c>
      <c r="P74" s="66">
        <f t="shared" si="4"/>
        <v>0.17704565065590672</v>
      </c>
      <c r="Q74" s="13">
        <f>SUMIF(sigaf!$B$2:$B$470,$A74,sigaf!$N$2:$N$470)</f>
        <v>21989389.91</v>
      </c>
      <c r="R74" s="66">
        <f t="shared" si="5"/>
        <v>0.17704565065590672</v>
      </c>
    </row>
    <row r="75" spans="1:18" x14ac:dyDescent="0.25">
      <c r="A75" s="11" t="s">
        <v>143</v>
      </c>
      <c r="B75" s="11" t="s">
        <v>439</v>
      </c>
      <c r="C75" s="13">
        <f>SUMIF(sigaf!$B$2:$B$470,$A75,sigaf!$F$2:$F$470)</f>
        <v>30788091</v>
      </c>
      <c r="D75" s="13">
        <f>SUMIF(sigaf!$B$2:$B$470,$A75,sigaf!$G$2:$G$470)</f>
        <v>30788091</v>
      </c>
      <c r="E75" s="13">
        <f>SUMIF(sigaf!$B$2:$B$470,$A75,sigaf!$H$2:$H$470)</f>
        <v>0</v>
      </c>
      <c r="F75" s="66">
        <f t="shared" ref="F75:F141" si="22">+IFERROR(+E75/$C75,0)</f>
        <v>0</v>
      </c>
      <c r="G75" s="130">
        <f>SUMIF(sigaf!$B$2:$B$470,$A75,sigaf!$I$2:$I$470)</f>
        <v>0</v>
      </c>
      <c r="H75" s="66">
        <f t="shared" ref="H75:J141" si="23">+IFERROR(+G75/$C75,0)</f>
        <v>0</v>
      </c>
      <c r="I75" s="13">
        <f>SUMIF(sigaf!$B$2:$B$470,$A75,sigaf!$J$2:$J$470)</f>
        <v>0</v>
      </c>
      <c r="J75" s="66">
        <f t="shared" si="23"/>
        <v>0</v>
      </c>
      <c r="K75" s="13">
        <f>SUMIF(sigaf!$B$2:$B$470,$A75,sigaf!$K$2:$K$470)</f>
        <v>18577098.98</v>
      </c>
      <c r="L75" s="139">
        <f t="shared" si="6"/>
        <v>0.60338586695745444</v>
      </c>
      <c r="M75" s="13">
        <f>SUMIF(sigaf!$B$2:$B$470,$A75,sigaf!$L$2:$L$470)</f>
        <v>9954122.7800000012</v>
      </c>
      <c r="N75" s="66">
        <f t="shared" ref="N75:N141" si="24">+IFERROR(+M75/$C75,0)</f>
        <v>0.32331081456138355</v>
      </c>
      <c r="O75" s="85">
        <f>SUMIF(sigaf!$B$2:$B$470,$A75,sigaf!$M$2:$M$470)</f>
        <v>12210992.02</v>
      </c>
      <c r="P75" s="66">
        <f t="shared" ref="P75:P141" si="25">+IFERROR(+O75/$C75,0)</f>
        <v>0.39661413304254556</v>
      </c>
      <c r="Q75" s="13">
        <f>SUMIF(sigaf!$B$2:$B$470,$A75,sigaf!$N$2:$N$470)</f>
        <v>12210992.02</v>
      </c>
      <c r="R75" s="66">
        <f t="shared" ref="R75:R141" si="26">+IFERROR(+Q75/$C75,0)</f>
        <v>0.39661413304254556</v>
      </c>
    </row>
    <row r="76" spans="1:18" x14ac:dyDescent="0.25">
      <c r="A76" s="11" t="s">
        <v>145</v>
      </c>
      <c r="B76" s="11" t="s">
        <v>440</v>
      </c>
      <c r="C76" s="13">
        <f>SUMIF(sigaf!$B$2:$B$470,$A76,sigaf!$F$2:$F$470)</f>
        <v>11550091</v>
      </c>
      <c r="D76" s="13">
        <f>SUMIF(sigaf!$B$2:$B$470,$A76,sigaf!$G$2:$G$470)</f>
        <v>11550091</v>
      </c>
      <c r="E76" s="13">
        <f>SUMIF(sigaf!$B$2:$B$470,$A76,sigaf!$H$2:$H$470)</f>
        <v>0</v>
      </c>
      <c r="F76" s="66">
        <f t="shared" si="22"/>
        <v>0</v>
      </c>
      <c r="G76" s="130">
        <f>SUMIF(sigaf!$B$2:$B$470,$A76,sigaf!$I$2:$I$470)</f>
        <v>0</v>
      </c>
      <c r="H76" s="66">
        <f t="shared" si="23"/>
        <v>0</v>
      </c>
      <c r="I76" s="13">
        <f>SUMIF(sigaf!$B$2:$B$470,$A76,sigaf!$J$2:$J$470)</f>
        <v>0</v>
      </c>
      <c r="J76" s="66">
        <f t="shared" si="23"/>
        <v>0</v>
      </c>
      <c r="K76" s="13">
        <f>SUMIF(sigaf!$B$2:$B$470,$A76,sigaf!$K$2:$K$470)</f>
        <v>11101804.129999999</v>
      </c>
      <c r="L76" s="139">
        <f t="shared" si="6"/>
        <v>0.96118758977743113</v>
      </c>
      <c r="M76" s="13">
        <f>SUMIF(sigaf!$B$2:$B$470,$A76,sigaf!$L$2:$L$470)</f>
        <v>8887244.129999999</v>
      </c>
      <c r="N76" s="66">
        <f t="shared" si="24"/>
        <v>0.76945230388228103</v>
      </c>
      <c r="O76" s="85">
        <f>SUMIF(sigaf!$B$2:$B$470,$A76,sigaf!$M$2:$M$470)</f>
        <v>448286.87</v>
      </c>
      <c r="P76" s="66">
        <f t="shared" si="25"/>
        <v>3.8812410222568809E-2</v>
      </c>
      <c r="Q76" s="13">
        <f>SUMIF(sigaf!$B$2:$B$470,$A76,sigaf!$N$2:$N$470)</f>
        <v>448286.87</v>
      </c>
      <c r="R76" s="66">
        <f t="shared" si="26"/>
        <v>3.8812410222568809E-2</v>
      </c>
    </row>
    <row r="77" spans="1:18" x14ac:dyDescent="0.25">
      <c r="A77" s="11" t="s">
        <v>308</v>
      </c>
      <c r="B77" s="11" t="s">
        <v>533</v>
      </c>
      <c r="C77" s="13">
        <f>SUMIF(sigaf!$B$2:$B$470,$A77,sigaf!$F$2:$F$470)</f>
        <v>0</v>
      </c>
      <c r="D77" s="13">
        <f>SUMIF(sigaf!$B$2:$B$470,$A77,sigaf!$G$2:$G$470)</f>
        <v>0</v>
      </c>
      <c r="E77" s="13">
        <f>SUMIF(sigaf!$B$2:$B$470,$A77,sigaf!$H$2:$H$470)</f>
        <v>0</v>
      </c>
      <c r="F77" s="66">
        <f t="shared" si="22"/>
        <v>0</v>
      </c>
      <c r="G77" s="130">
        <f>SUMIF(sigaf!$B$2:$B$470,$A77,sigaf!$I$2:$I$470)</f>
        <v>0</v>
      </c>
      <c r="H77" s="66">
        <f t="shared" si="23"/>
        <v>0</v>
      </c>
      <c r="I77" s="13">
        <f>SUMIF(sigaf!$B$2:$B$470,$A77,sigaf!$J$2:$J$470)</f>
        <v>0</v>
      </c>
      <c r="J77" s="66">
        <f t="shared" si="23"/>
        <v>0</v>
      </c>
      <c r="K77" s="13">
        <f>SUMIF(sigaf!$B$2:$B$470,$A77,sigaf!$K$2:$K$470)</f>
        <v>0</v>
      </c>
      <c r="L77" s="139">
        <f t="shared" ref="L77:L143" si="27">+IFERROR(+K77/$C77,0)</f>
        <v>0</v>
      </c>
      <c r="M77" s="13">
        <f>SUMIF(sigaf!$B$2:$B$470,$A77,sigaf!$L$2:$L$470)</f>
        <v>0</v>
      </c>
      <c r="N77" s="66">
        <f t="shared" si="24"/>
        <v>0</v>
      </c>
      <c r="O77" s="85">
        <f>SUMIF(sigaf!$B$2:$B$470,$A77,sigaf!$M$2:$M$470)</f>
        <v>0</v>
      </c>
      <c r="P77" s="66">
        <f t="shared" si="25"/>
        <v>0</v>
      </c>
      <c r="Q77" s="13">
        <f>SUMIF(sigaf!$B$2:$B$470,$A77,sigaf!$N$2:$N$470)</f>
        <v>0</v>
      </c>
      <c r="R77" s="66">
        <f t="shared" si="26"/>
        <v>0</v>
      </c>
    </row>
    <row r="78" spans="1:18" x14ac:dyDescent="0.25">
      <c r="A78" s="11" t="s">
        <v>147</v>
      </c>
      <c r="B78" s="11" t="s">
        <v>441</v>
      </c>
      <c r="C78" s="13">
        <f>SUMIF(sigaf!$B$2:$B$470,$A78,sigaf!$F$2:$F$470)</f>
        <v>17442000</v>
      </c>
      <c r="D78" s="13">
        <f>SUMIF(sigaf!$B$2:$B$470,$A78,sigaf!$G$2:$G$470)</f>
        <v>17442000</v>
      </c>
      <c r="E78" s="13">
        <f>SUMIF(sigaf!$B$2:$B$470,$A78,sigaf!$H$2:$H$470)</f>
        <v>0</v>
      </c>
      <c r="F78" s="66">
        <f t="shared" si="22"/>
        <v>0</v>
      </c>
      <c r="G78" s="130">
        <f>SUMIF(sigaf!$B$2:$B$470,$A78,sigaf!$I$2:$I$470)</f>
        <v>0</v>
      </c>
      <c r="H78" s="66">
        <f t="shared" si="23"/>
        <v>0</v>
      </c>
      <c r="I78" s="13">
        <f>SUMIF(sigaf!$B$2:$B$470,$A78,sigaf!$J$2:$J$470)</f>
        <v>0</v>
      </c>
      <c r="J78" s="66">
        <f t="shared" si="23"/>
        <v>0</v>
      </c>
      <c r="K78" s="13">
        <f>SUMIF(sigaf!$B$2:$B$470,$A78,sigaf!$K$2:$K$470)</f>
        <v>7090010.4199999999</v>
      </c>
      <c r="L78" s="139">
        <f t="shared" si="27"/>
        <v>0.40649067882123607</v>
      </c>
      <c r="M78" s="13">
        <f>SUMIF(sigaf!$B$2:$B$470,$A78,sigaf!$L$2:$L$470)</f>
        <v>697131.75</v>
      </c>
      <c r="N78" s="66">
        <f t="shared" si="24"/>
        <v>3.9968567251461987E-2</v>
      </c>
      <c r="O78" s="85">
        <f>SUMIF(sigaf!$B$2:$B$470,$A78,sigaf!$M$2:$M$470)</f>
        <v>10351989.58</v>
      </c>
      <c r="P78" s="66">
        <f t="shared" si="25"/>
        <v>0.59350932117876387</v>
      </c>
      <c r="Q78" s="13">
        <f>SUMIF(sigaf!$B$2:$B$470,$A78,sigaf!$N$2:$N$470)</f>
        <v>10351989.58</v>
      </c>
      <c r="R78" s="66">
        <f t="shared" si="26"/>
        <v>0.59350932117876387</v>
      </c>
    </row>
    <row r="79" spans="1:18" x14ac:dyDescent="0.25">
      <c r="A79" s="11" t="s">
        <v>324</v>
      </c>
      <c r="B79" s="11" t="s">
        <v>325</v>
      </c>
      <c r="C79" s="13">
        <f>SUMIF(sigaf!$B$2:$B$470,$A79,sigaf!$F$2:$F$470)</f>
        <v>0</v>
      </c>
      <c r="D79" s="13">
        <f>SUMIF(sigaf!$B$2:$B$470,$A79,sigaf!$G$2:$G$470)</f>
        <v>0</v>
      </c>
      <c r="E79" s="13">
        <f>SUMIF(sigaf!$B$2:$B$470,$A79,sigaf!$H$2:$H$470)</f>
        <v>0</v>
      </c>
      <c r="F79" s="66">
        <f t="shared" si="22"/>
        <v>0</v>
      </c>
      <c r="G79" s="130">
        <f>SUMIF(sigaf!$B$2:$B$470,$A79,sigaf!$I$2:$I$470)</f>
        <v>0</v>
      </c>
      <c r="H79" s="66">
        <f t="shared" si="23"/>
        <v>0</v>
      </c>
      <c r="I79" s="13">
        <f>SUMIF(sigaf!$B$2:$B$470,$A79,sigaf!$J$2:$J$470)</f>
        <v>0</v>
      </c>
      <c r="J79" s="66">
        <f t="shared" si="23"/>
        <v>0</v>
      </c>
      <c r="K79" s="13">
        <f>SUMIF(sigaf!$B$2:$B$470,$A79,sigaf!$K$2:$K$470)</f>
        <v>0</v>
      </c>
      <c r="L79" s="139">
        <f t="shared" si="27"/>
        <v>0</v>
      </c>
      <c r="M79" s="13">
        <f>SUMIF(sigaf!$B$2:$B$470,$A79,sigaf!$L$2:$L$470)</f>
        <v>0</v>
      </c>
      <c r="N79" s="66">
        <f t="shared" si="24"/>
        <v>0</v>
      </c>
      <c r="O79" s="85">
        <f>SUMIF(sigaf!$B$2:$B$470,$A79,sigaf!$M$2:$M$470)</f>
        <v>0</v>
      </c>
      <c r="P79" s="66">
        <f t="shared" si="25"/>
        <v>0</v>
      </c>
      <c r="Q79" s="13">
        <f>SUMIF(sigaf!$B$2:$B$470,$A79,sigaf!$N$2:$N$470)</f>
        <v>0</v>
      </c>
      <c r="R79" s="66">
        <f t="shared" si="26"/>
        <v>0</v>
      </c>
    </row>
    <row r="80" spans="1:18" x14ac:dyDescent="0.25">
      <c r="A80" s="11" t="s">
        <v>149</v>
      </c>
      <c r="B80" s="11" t="s">
        <v>442</v>
      </c>
      <c r="C80" s="13">
        <f>SUMIF(sigaf!$B$2:$B$470,$A80,sigaf!$F$2:$F$470)</f>
        <v>200000</v>
      </c>
      <c r="D80" s="13">
        <f>SUMIF(sigaf!$B$2:$B$470,$A80,sigaf!$G$2:$G$470)</f>
        <v>200000</v>
      </c>
      <c r="E80" s="13">
        <f>SUMIF(sigaf!$B$2:$B$470,$A80,sigaf!$H$2:$H$470)</f>
        <v>0</v>
      </c>
      <c r="F80" s="66">
        <f t="shared" si="22"/>
        <v>0</v>
      </c>
      <c r="G80" s="130">
        <f>SUMIF(sigaf!$B$2:$B$470,$A80,sigaf!$I$2:$I$470)</f>
        <v>0</v>
      </c>
      <c r="H80" s="66">
        <f t="shared" si="23"/>
        <v>0</v>
      </c>
      <c r="I80" s="13">
        <f>SUMIF(sigaf!$B$2:$B$470,$A80,sigaf!$J$2:$J$470)</f>
        <v>0</v>
      </c>
      <c r="J80" s="66">
        <f t="shared" si="23"/>
        <v>0</v>
      </c>
      <c r="K80" s="13">
        <f>SUMIF(sigaf!$B$2:$B$470,$A80,sigaf!$K$2:$K$470)</f>
        <v>90716.66</v>
      </c>
      <c r="L80" s="139">
        <f t="shared" si="27"/>
        <v>0.45358330000000002</v>
      </c>
      <c r="M80" s="13">
        <f>SUMIF(sigaf!$B$2:$B$470,$A80,sigaf!$L$2:$L$470)</f>
        <v>90064.65</v>
      </c>
      <c r="N80" s="66">
        <f t="shared" si="24"/>
        <v>0.45032324999999995</v>
      </c>
      <c r="O80" s="85">
        <f>SUMIF(sigaf!$B$2:$B$470,$A80,sigaf!$M$2:$M$470)</f>
        <v>109283.34</v>
      </c>
      <c r="P80" s="66">
        <f t="shared" si="25"/>
        <v>0.54641669999999998</v>
      </c>
      <c r="Q80" s="13">
        <f>SUMIF(sigaf!$B$2:$B$470,$A80,sigaf!$N$2:$N$470)</f>
        <v>109283.34</v>
      </c>
      <c r="R80" s="66">
        <f t="shared" si="26"/>
        <v>0.54641669999999998</v>
      </c>
    </row>
    <row r="81" spans="1:18" x14ac:dyDescent="0.25">
      <c r="A81" s="11" t="s">
        <v>326</v>
      </c>
      <c r="B81" s="11" t="s">
        <v>443</v>
      </c>
      <c r="C81" s="13">
        <f>SUMIF(sigaf!$B$2:$B$470,$A81,sigaf!$F$2:$F$470)</f>
        <v>1596000</v>
      </c>
      <c r="D81" s="13">
        <f>SUMIF(sigaf!$B$2:$B$470,$A81,sigaf!$G$2:$G$470)</f>
        <v>1596000</v>
      </c>
      <c r="E81" s="13">
        <f>SUMIF(sigaf!$B$2:$B$470,$A81,sigaf!$H$2:$H$470)</f>
        <v>0</v>
      </c>
      <c r="F81" s="66">
        <f t="shared" si="22"/>
        <v>0</v>
      </c>
      <c r="G81" s="130">
        <f>SUMIF(sigaf!$B$2:$B$470,$A81,sigaf!$I$2:$I$470)</f>
        <v>0</v>
      </c>
      <c r="H81" s="66">
        <f t="shared" si="23"/>
        <v>0</v>
      </c>
      <c r="I81" s="13">
        <f>SUMIF(sigaf!$B$2:$B$470,$A81,sigaf!$J$2:$J$470)</f>
        <v>0</v>
      </c>
      <c r="J81" s="66">
        <f t="shared" si="23"/>
        <v>0</v>
      </c>
      <c r="K81" s="13">
        <f>SUMIF(sigaf!$B$2:$B$470,$A81,sigaf!$K$2:$K$470)</f>
        <v>294567.77</v>
      </c>
      <c r="L81" s="139">
        <f t="shared" si="27"/>
        <v>0.18456627192982458</v>
      </c>
      <c r="M81" s="13">
        <f>SUMIF(sigaf!$B$2:$B$470,$A81,sigaf!$L$2:$L$470)</f>
        <v>279682.25</v>
      </c>
      <c r="N81" s="66">
        <f t="shared" si="24"/>
        <v>0.17523950501253133</v>
      </c>
      <c r="O81" s="85">
        <f>SUMIF(sigaf!$B$2:$B$470,$A81,sigaf!$M$2:$M$470)</f>
        <v>1301432.23</v>
      </c>
      <c r="P81" s="66">
        <f t="shared" si="25"/>
        <v>0.81543372807017545</v>
      </c>
      <c r="Q81" s="13">
        <f>SUMIF(sigaf!$B$2:$B$470,$A81,sigaf!$N$2:$N$470)</f>
        <v>1301432.23</v>
      </c>
      <c r="R81" s="66">
        <f t="shared" si="26"/>
        <v>0.81543372807017545</v>
      </c>
    </row>
    <row r="82" spans="1:18" x14ac:dyDescent="0.25">
      <c r="A82" s="11" t="s">
        <v>151</v>
      </c>
      <c r="B82" s="11" t="s">
        <v>444</v>
      </c>
      <c r="C82" s="13">
        <f>SUMIF(sigaf!$B$2:$B$470,$A82,sigaf!$F$2:$F$470)</f>
        <v>670556903</v>
      </c>
      <c r="D82" s="13">
        <f>SUMIF(sigaf!$B$2:$B$470,$A82,sigaf!$G$2:$G$470)</f>
        <v>670556903</v>
      </c>
      <c r="E82" s="13">
        <f>SUMIF(sigaf!$B$2:$B$470,$A82,sigaf!$H$2:$H$470)</f>
        <v>0</v>
      </c>
      <c r="F82" s="66">
        <f t="shared" si="22"/>
        <v>0</v>
      </c>
      <c r="G82" s="130">
        <f>SUMIF(sigaf!$B$2:$B$470,$A82,sigaf!$I$2:$I$470)</f>
        <v>0</v>
      </c>
      <c r="H82" s="66">
        <f t="shared" si="23"/>
        <v>0</v>
      </c>
      <c r="I82" s="13">
        <f>SUMIF(sigaf!$B$2:$B$470,$A82,sigaf!$J$2:$J$470)</f>
        <v>0</v>
      </c>
      <c r="J82" s="66">
        <f t="shared" si="23"/>
        <v>0</v>
      </c>
      <c r="K82" s="13">
        <f>SUMIF(sigaf!$B$2:$B$470,$A82,sigaf!$K$2:$K$470)</f>
        <v>590643834.03999996</v>
      </c>
      <c r="L82" s="139">
        <f t="shared" si="27"/>
        <v>0.88082582014669075</v>
      </c>
      <c r="M82" s="13">
        <f>SUMIF(sigaf!$B$2:$B$470,$A82,sigaf!$L$2:$L$470)</f>
        <v>520392285.92999995</v>
      </c>
      <c r="N82" s="66">
        <f t="shared" si="24"/>
        <v>0.77605984458861044</v>
      </c>
      <c r="O82" s="85">
        <f>SUMIF(sigaf!$B$2:$B$470,$A82,sigaf!$M$2:$M$470)</f>
        <v>79913068.960000008</v>
      </c>
      <c r="P82" s="66">
        <f t="shared" si="25"/>
        <v>0.11917417985330919</v>
      </c>
      <c r="Q82" s="13">
        <f>SUMIF(sigaf!$B$2:$B$470,$A82,sigaf!$N$2:$N$470)</f>
        <v>79913068.960000008</v>
      </c>
      <c r="R82" s="66">
        <f t="shared" si="26"/>
        <v>0.11917417985330919</v>
      </c>
    </row>
    <row r="83" spans="1:18" x14ac:dyDescent="0.25">
      <c r="A83" s="11" t="s">
        <v>359</v>
      </c>
      <c r="B83" s="11" t="s">
        <v>445</v>
      </c>
      <c r="C83" s="13">
        <f>SUMIF(sigaf!$B$2:$B$470,$A83,sigaf!$F$2:$F$470)</f>
        <v>21381819</v>
      </c>
      <c r="D83" s="13">
        <f>SUMIF(sigaf!$B$2:$B$470,$A83,sigaf!$G$2:$G$470)</f>
        <v>21381819</v>
      </c>
      <c r="E83" s="13">
        <f>SUMIF(sigaf!$B$2:$B$470,$A83,sigaf!$H$2:$H$470)</f>
        <v>0</v>
      </c>
      <c r="F83" s="66">
        <f t="shared" si="22"/>
        <v>0</v>
      </c>
      <c r="G83" s="130">
        <f>SUMIF(sigaf!$B$2:$B$470,$A83,sigaf!$I$2:$I$470)</f>
        <v>0</v>
      </c>
      <c r="H83" s="66">
        <f t="shared" si="23"/>
        <v>0</v>
      </c>
      <c r="I83" s="13">
        <f>SUMIF(sigaf!$B$2:$B$470,$A83,sigaf!$J$2:$J$470)</f>
        <v>0</v>
      </c>
      <c r="J83" s="66">
        <f t="shared" si="23"/>
        <v>0</v>
      </c>
      <c r="K83" s="13">
        <f>SUMIF(sigaf!$B$2:$B$470,$A83,sigaf!$K$2:$K$470)</f>
        <v>21114352</v>
      </c>
      <c r="L83" s="139">
        <f t="shared" si="27"/>
        <v>0.98749091459431027</v>
      </c>
      <c r="M83" s="13">
        <f>SUMIF(sigaf!$B$2:$B$470,$A83,sigaf!$L$2:$L$470)</f>
        <v>19964352</v>
      </c>
      <c r="N83" s="66">
        <f t="shared" si="24"/>
        <v>0.93370690304692971</v>
      </c>
      <c r="O83" s="85">
        <f>SUMIF(sigaf!$B$2:$B$470,$A83,sigaf!$M$2:$M$470)</f>
        <v>267467</v>
      </c>
      <c r="P83" s="66">
        <f t="shared" si="25"/>
        <v>1.2509085405689759E-2</v>
      </c>
      <c r="Q83" s="13">
        <f>SUMIF(sigaf!$B$2:$B$470,$A83,sigaf!$N$2:$N$470)</f>
        <v>267467</v>
      </c>
      <c r="R83" s="66">
        <f t="shared" si="26"/>
        <v>1.2509085405689759E-2</v>
      </c>
    </row>
    <row r="84" spans="1:18" x14ac:dyDescent="0.25">
      <c r="A84" s="11" t="s">
        <v>328</v>
      </c>
      <c r="B84" s="11" t="s">
        <v>534</v>
      </c>
      <c r="C84" s="13">
        <f>SUMIF(sigaf!$B$2:$B$470,$A84,sigaf!$F$2:$F$470)</f>
        <v>2000000</v>
      </c>
      <c r="D84" s="13">
        <f>SUMIF(sigaf!$B$2:$B$470,$A84,sigaf!$G$2:$G$470)</f>
        <v>2000000</v>
      </c>
      <c r="E84" s="13">
        <f>SUMIF(sigaf!$B$2:$B$470,$A84,sigaf!$H$2:$H$470)</f>
        <v>0</v>
      </c>
      <c r="F84" s="66">
        <f t="shared" si="22"/>
        <v>0</v>
      </c>
      <c r="G84" s="130">
        <f>SUMIF(sigaf!$B$2:$B$470,$A84,sigaf!$I$2:$I$470)</f>
        <v>0</v>
      </c>
      <c r="H84" s="66">
        <f t="shared" si="23"/>
        <v>0</v>
      </c>
      <c r="I84" s="13">
        <f>SUMIF(sigaf!$B$2:$B$470,$A84,sigaf!$J$2:$J$470)</f>
        <v>0</v>
      </c>
      <c r="J84" s="66">
        <f t="shared" si="23"/>
        <v>0</v>
      </c>
      <c r="K84" s="13">
        <f>SUMIF(sigaf!$B$2:$B$470,$A84,sigaf!$K$2:$K$470)</f>
        <v>0</v>
      </c>
      <c r="L84" s="139">
        <f t="shared" si="27"/>
        <v>0</v>
      </c>
      <c r="M84" s="13">
        <f>SUMIF(sigaf!$B$2:$B$470,$A84,sigaf!$L$2:$L$470)</f>
        <v>0</v>
      </c>
      <c r="N84" s="66">
        <f t="shared" si="24"/>
        <v>0</v>
      </c>
      <c r="O84" s="85">
        <f>SUMIF(sigaf!$B$2:$B$470,$A84,sigaf!$M$2:$M$470)</f>
        <v>2000000</v>
      </c>
      <c r="P84" s="66">
        <f t="shared" si="25"/>
        <v>1</v>
      </c>
      <c r="Q84" s="13">
        <f>SUMIF(sigaf!$B$2:$B$470,$A84,sigaf!$N$2:$N$470)</f>
        <v>2000000</v>
      </c>
      <c r="R84" s="66">
        <f t="shared" si="26"/>
        <v>1</v>
      </c>
    </row>
    <row r="85" spans="1:18" x14ac:dyDescent="0.25">
      <c r="A85" s="11" t="s">
        <v>330</v>
      </c>
      <c r="B85" s="11" t="s">
        <v>446</v>
      </c>
      <c r="C85" s="13">
        <f>SUMIF(sigaf!$B$2:$B$470,$A85,sigaf!$F$2:$F$470)</f>
        <v>101242333</v>
      </c>
      <c r="D85" s="13">
        <f>SUMIF(sigaf!$B$2:$B$470,$A85,sigaf!$G$2:$G$470)</f>
        <v>101242333</v>
      </c>
      <c r="E85" s="13">
        <f>SUMIF(sigaf!$B$2:$B$470,$A85,sigaf!$H$2:$H$470)</f>
        <v>0</v>
      </c>
      <c r="F85" s="66">
        <f t="shared" si="22"/>
        <v>0</v>
      </c>
      <c r="G85" s="130">
        <f>SUMIF(sigaf!$B$2:$B$470,$A85,sigaf!$I$2:$I$470)</f>
        <v>0</v>
      </c>
      <c r="H85" s="66">
        <f t="shared" si="23"/>
        <v>0</v>
      </c>
      <c r="I85" s="13">
        <f>SUMIF(sigaf!$B$2:$B$470,$A85,sigaf!$J$2:$J$470)</f>
        <v>0</v>
      </c>
      <c r="J85" s="66">
        <f t="shared" si="23"/>
        <v>0</v>
      </c>
      <c r="K85" s="13">
        <f>SUMIF(sigaf!$B$2:$B$470,$A85,sigaf!$K$2:$K$470)</f>
        <v>63144258.32</v>
      </c>
      <c r="L85" s="139">
        <f t="shared" si="27"/>
        <v>0.6236942240357104</v>
      </c>
      <c r="M85" s="13">
        <f>SUMIF(sigaf!$B$2:$B$470,$A85,sigaf!$L$2:$L$470)</f>
        <v>57811424.990000002</v>
      </c>
      <c r="N85" s="66">
        <f t="shared" si="24"/>
        <v>0.57102027656751053</v>
      </c>
      <c r="O85" s="85">
        <f>SUMIF(sigaf!$B$2:$B$470,$A85,sigaf!$M$2:$M$470)</f>
        <v>38098074.68</v>
      </c>
      <c r="P85" s="66">
        <f t="shared" si="25"/>
        <v>0.37630577596428955</v>
      </c>
      <c r="Q85" s="13">
        <f>SUMIF(sigaf!$B$2:$B$470,$A85,sigaf!$N$2:$N$470)</f>
        <v>38098074.68</v>
      </c>
      <c r="R85" s="66">
        <f t="shared" si="26"/>
        <v>0.37630577596428955</v>
      </c>
    </row>
    <row r="86" spans="1:18" x14ac:dyDescent="0.25">
      <c r="A86" s="11" t="s">
        <v>153</v>
      </c>
      <c r="B86" s="11" t="s">
        <v>447</v>
      </c>
      <c r="C86" s="13">
        <f>SUMIF(sigaf!$B$2:$B$470,$A86,sigaf!$F$2:$F$470)</f>
        <v>0</v>
      </c>
      <c r="D86" s="13">
        <f>SUMIF(sigaf!$B$2:$B$470,$A86,sigaf!$G$2:$G$470)</f>
        <v>0</v>
      </c>
      <c r="E86" s="13">
        <f>SUMIF(sigaf!$B$2:$B$470,$A86,sigaf!$H$2:$H$470)</f>
        <v>0</v>
      </c>
      <c r="F86" s="66">
        <f t="shared" si="22"/>
        <v>0</v>
      </c>
      <c r="G86" s="130">
        <f>SUMIF(sigaf!$B$2:$B$470,$A86,sigaf!$I$2:$I$470)</f>
        <v>0</v>
      </c>
      <c r="H86" s="66">
        <f t="shared" si="23"/>
        <v>0</v>
      </c>
      <c r="I86" s="13">
        <f>SUMIF(sigaf!$B$2:$B$470,$A86,sigaf!$J$2:$J$470)</f>
        <v>0</v>
      </c>
      <c r="J86" s="66">
        <f t="shared" si="23"/>
        <v>0</v>
      </c>
      <c r="K86" s="13">
        <f>SUMIF(sigaf!$B$2:$B$470,$A86,sigaf!$K$2:$K$470)</f>
        <v>0</v>
      </c>
      <c r="L86" s="139">
        <f t="shared" si="27"/>
        <v>0</v>
      </c>
      <c r="M86" s="13">
        <f>SUMIF(sigaf!$B$2:$B$470,$A86,sigaf!$L$2:$L$470)</f>
        <v>0</v>
      </c>
      <c r="N86" s="66">
        <f t="shared" si="24"/>
        <v>0</v>
      </c>
      <c r="O86" s="85">
        <f>SUMIF(sigaf!$B$2:$B$470,$A86,sigaf!$M$2:$M$470)</f>
        <v>0</v>
      </c>
      <c r="P86" s="66">
        <f t="shared" si="25"/>
        <v>0</v>
      </c>
      <c r="Q86" s="13">
        <f>SUMIF(sigaf!$B$2:$B$470,$A86,sigaf!$N$2:$N$470)</f>
        <v>0</v>
      </c>
      <c r="R86" s="66">
        <f t="shared" si="26"/>
        <v>0</v>
      </c>
    </row>
    <row r="87" spans="1:18" x14ac:dyDescent="0.25">
      <c r="A87" s="11" t="s">
        <v>331</v>
      </c>
      <c r="B87" s="11" t="s">
        <v>448</v>
      </c>
      <c r="C87" s="13">
        <f>SUMIF(sigaf!$B$2:$B$470,$A87,sigaf!$F$2:$F$470)</f>
        <v>0</v>
      </c>
      <c r="D87" s="13">
        <f>SUMIF(sigaf!$B$2:$B$470,$A87,sigaf!$G$2:$G$470)</f>
        <v>0</v>
      </c>
      <c r="E87" s="13">
        <f>SUMIF(sigaf!$B$2:$B$470,$A87,sigaf!$H$2:$H$470)</f>
        <v>0</v>
      </c>
      <c r="F87" s="66">
        <f t="shared" si="22"/>
        <v>0</v>
      </c>
      <c r="G87" s="130">
        <f>SUMIF(sigaf!$B$2:$B$470,$A87,sigaf!$I$2:$I$470)</f>
        <v>0</v>
      </c>
      <c r="H87" s="66">
        <f t="shared" si="23"/>
        <v>0</v>
      </c>
      <c r="I87" s="13">
        <f>SUMIF(sigaf!$B$2:$B$470,$A87,sigaf!$J$2:$J$470)</f>
        <v>0</v>
      </c>
      <c r="J87" s="66">
        <f t="shared" si="23"/>
        <v>0</v>
      </c>
      <c r="K87" s="13">
        <f>SUMIF(sigaf!$B$2:$B$470,$A87,sigaf!$K$2:$K$470)</f>
        <v>0</v>
      </c>
      <c r="L87" s="139">
        <f t="shared" si="27"/>
        <v>0</v>
      </c>
      <c r="M87" s="13">
        <f>SUMIF(sigaf!$B$2:$B$470,$A87,sigaf!$L$2:$L$470)</f>
        <v>0</v>
      </c>
      <c r="N87" s="66">
        <f t="shared" si="24"/>
        <v>0</v>
      </c>
      <c r="O87" s="85">
        <f>SUMIF(sigaf!$B$2:$B$470,$A87,sigaf!$M$2:$M$470)</f>
        <v>0</v>
      </c>
      <c r="P87" s="66">
        <f t="shared" si="25"/>
        <v>0</v>
      </c>
      <c r="Q87" s="13">
        <f>SUMIF(sigaf!$B$2:$B$470,$A87,sigaf!$N$2:$N$470)</f>
        <v>0</v>
      </c>
      <c r="R87" s="66">
        <f t="shared" si="26"/>
        <v>0</v>
      </c>
    </row>
    <row r="88" spans="1:18" x14ac:dyDescent="0.25">
      <c r="A88" s="11" t="s">
        <v>154</v>
      </c>
      <c r="B88" s="11" t="s">
        <v>155</v>
      </c>
      <c r="C88" s="13">
        <f>SUMIF(sigaf!$B$2:$B$470,$A88,sigaf!$F$2:$F$470)</f>
        <v>467969179</v>
      </c>
      <c r="D88" s="13">
        <f>SUMIF(sigaf!$B$2:$B$470,$A88,sigaf!$G$2:$G$470)</f>
        <v>467969179</v>
      </c>
      <c r="E88" s="13">
        <f>SUMIF(sigaf!$B$2:$B$470,$A88,sigaf!$H$2:$H$470)</f>
        <v>0</v>
      </c>
      <c r="F88" s="66">
        <f t="shared" si="22"/>
        <v>0</v>
      </c>
      <c r="G88" s="130">
        <f>SUMIF(sigaf!$B$2:$B$470,$A88,sigaf!$I$2:$I$470)</f>
        <v>0</v>
      </c>
      <c r="H88" s="66">
        <f t="shared" si="23"/>
        <v>0</v>
      </c>
      <c r="I88" s="13">
        <f>SUMIF(sigaf!$B$2:$B$470,$A88,sigaf!$J$2:$J$470)</f>
        <v>0</v>
      </c>
      <c r="J88" s="66">
        <f t="shared" si="23"/>
        <v>0</v>
      </c>
      <c r="K88" s="13">
        <f>SUMIF(sigaf!$B$2:$B$470,$A88,sigaf!$K$2:$K$470)</f>
        <v>434201617.30000001</v>
      </c>
      <c r="L88" s="139">
        <f t="shared" si="27"/>
        <v>0.92784233830920737</v>
      </c>
      <c r="M88" s="13">
        <f>SUMIF(sigaf!$B$2:$B$470,$A88,sigaf!$L$2:$L$470)</f>
        <v>381182264.47000003</v>
      </c>
      <c r="N88" s="66">
        <f t="shared" si="24"/>
        <v>0.81454566149964336</v>
      </c>
      <c r="O88" s="85">
        <f>SUMIF(sigaf!$B$2:$B$470,$A88,sigaf!$M$2:$M$470)</f>
        <v>33767561.700000003</v>
      </c>
      <c r="P88" s="66">
        <f t="shared" si="25"/>
        <v>7.2157661690792685E-2</v>
      </c>
      <c r="Q88" s="13">
        <f>SUMIF(sigaf!$B$2:$B$470,$A88,sigaf!$N$2:$N$470)</f>
        <v>33767561.700000003</v>
      </c>
      <c r="R88" s="66">
        <f t="shared" si="26"/>
        <v>7.2157661690792685E-2</v>
      </c>
    </row>
    <row r="89" spans="1:18" x14ac:dyDescent="0.25">
      <c r="A89" s="11" t="s">
        <v>156</v>
      </c>
      <c r="B89" s="11" t="s">
        <v>449</v>
      </c>
      <c r="C89" s="13">
        <f>SUMIF(sigaf!$B$2:$B$470,$A89,sigaf!$F$2:$F$470)</f>
        <v>77963572</v>
      </c>
      <c r="D89" s="13">
        <f>SUMIF(sigaf!$B$2:$B$470,$A89,sigaf!$G$2:$G$470)</f>
        <v>77963572</v>
      </c>
      <c r="E89" s="13">
        <f>SUMIF(sigaf!$B$2:$B$470,$A89,sigaf!$H$2:$H$470)</f>
        <v>0</v>
      </c>
      <c r="F89" s="66">
        <f t="shared" si="22"/>
        <v>0</v>
      </c>
      <c r="G89" s="130">
        <f>SUMIF(sigaf!$B$2:$B$470,$A89,sigaf!$I$2:$I$470)</f>
        <v>0</v>
      </c>
      <c r="H89" s="66">
        <f t="shared" si="23"/>
        <v>0</v>
      </c>
      <c r="I89" s="13">
        <f>SUMIF(sigaf!$B$2:$B$470,$A89,sigaf!$J$2:$J$470)</f>
        <v>0</v>
      </c>
      <c r="J89" s="66">
        <f t="shared" si="23"/>
        <v>0</v>
      </c>
      <c r="K89" s="13">
        <f>SUMIF(sigaf!$B$2:$B$470,$A89,sigaf!$K$2:$K$470)</f>
        <v>72183606.420000002</v>
      </c>
      <c r="L89" s="139">
        <f t="shared" si="27"/>
        <v>0.92586325341789111</v>
      </c>
      <c r="M89" s="13">
        <f>SUMIF(sigaf!$B$2:$B$470,$A89,sigaf!$L$2:$L$470)</f>
        <v>61434244.469999999</v>
      </c>
      <c r="N89" s="66">
        <f t="shared" si="24"/>
        <v>0.78798652875986752</v>
      </c>
      <c r="O89" s="85">
        <f>SUMIF(sigaf!$B$2:$B$470,$A89,sigaf!$M$2:$M$470)</f>
        <v>5779965.5800000001</v>
      </c>
      <c r="P89" s="66">
        <f t="shared" si="25"/>
        <v>7.4136746582108892E-2</v>
      </c>
      <c r="Q89" s="13">
        <f>SUMIF(sigaf!$B$2:$B$470,$A89,sigaf!$N$2:$N$470)</f>
        <v>5779965.5800000001</v>
      </c>
      <c r="R89" s="66">
        <f t="shared" si="26"/>
        <v>7.4136746582108892E-2</v>
      </c>
    </row>
    <row r="90" spans="1:18" x14ac:dyDescent="0.25">
      <c r="A90" s="11" t="s">
        <v>158</v>
      </c>
      <c r="B90" s="11" t="s">
        <v>450</v>
      </c>
      <c r="C90" s="13">
        <f>SUMIF(sigaf!$B$2:$B$470,$A90,sigaf!$F$2:$F$470)</f>
        <v>191860298</v>
      </c>
      <c r="D90" s="13">
        <f>SUMIF(sigaf!$B$2:$B$470,$A90,sigaf!$G$2:$G$470)</f>
        <v>191860298</v>
      </c>
      <c r="E90" s="13">
        <f>SUMIF(sigaf!$B$2:$B$470,$A90,sigaf!$H$2:$H$470)</f>
        <v>0</v>
      </c>
      <c r="F90" s="66">
        <f t="shared" si="22"/>
        <v>0</v>
      </c>
      <c r="G90" s="130">
        <f>SUMIF(sigaf!$B$2:$B$470,$A90,sigaf!$I$2:$I$470)</f>
        <v>0</v>
      </c>
      <c r="H90" s="66">
        <f t="shared" si="23"/>
        <v>0</v>
      </c>
      <c r="I90" s="13">
        <f>SUMIF(sigaf!$B$2:$B$470,$A90,sigaf!$J$2:$J$470)</f>
        <v>0</v>
      </c>
      <c r="J90" s="66">
        <f t="shared" si="23"/>
        <v>0</v>
      </c>
      <c r="K90" s="13">
        <f>SUMIF(sigaf!$B$2:$B$470,$A90,sigaf!$K$2:$K$470)</f>
        <v>145037582.13</v>
      </c>
      <c r="L90" s="139">
        <f t="shared" si="27"/>
        <v>0.7559541168334889</v>
      </c>
      <c r="M90" s="13">
        <f>SUMIF(sigaf!$B$2:$B$470,$A90,sigaf!$L$2:$L$470)</f>
        <v>144999512.13</v>
      </c>
      <c r="N90" s="66">
        <f t="shared" si="24"/>
        <v>0.75575569120610875</v>
      </c>
      <c r="O90" s="85">
        <f>SUMIF(sigaf!$B$2:$B$470,$A90,sigaf!$M$2:$M$470)</f>
        <v>46822715.869999997</v>
      </c>
      <c r="P90" s="66">
        <f t="shared" si="25"/>
        <v>0.24404588316651107</v>
      </c>
      <c r="Q90" s="13">
        <f>SUMIF(sigaf!$B$2:$B$470,$A90,sigaf!$N$2:$N$470)</f>
        <v>46822715.869999997</v>
      </c>
      <c r="R90" s="66">
        <f t="shared" si="26"/>
        <v>0.24404588316651107</v>
      </c>
    </row>
    <row r="91" spans="1:18" x14ac:dyDescent="0.25">
      <c r="A91" s="11" t="s">
        <v>160</v>
      </c>
      <c r="B91" s="11" t="s">
        <v>451</v>
      </c>
      <c r="C91" s="13">
        <f>SUMIF(sigaf!$B$2:$B$470,$A91,sigaf!$F$2:$F$470)</f>
        <v>8031890</v>
      </c>
      <c r="D91" s="13">
        <f>SUMIF(sigaf!$B$2:$B$470,$A91,sigaf!$G$2:$G$470)</f>
        <v>8031890</v>
      </c>
      <c r="E91" s="13">
        <f>SUMIF(sigaf!$B$2:$B$470,$A91,sigaf!$H$2:$H$470)</f>
        <v>0</v>
      </c>
      <c r="F91" s="66">
        <f t="shared" si="22"/>
        <v>0</v>
      </c>
      <c r="G91" s="130">
        <f>SUMIF(sigaf!$B$2:$B$470,$A91,sigaf!$I$2:$I$470)</f>
        <v>0</v>
      </c>
      <c r="H91" s="66">
        <f t="shared" si="23"/>
        <v>0</v>
      </c>
      <c r="I91" s="13">
        <f>SUMIF(sigaf!$B$2:$B$470,$A91,sigaf!$J$2:$J$470)</f>
        <v>0</v>
      </c>
      <c r="J91" s="66">
        <f t="shared" si="23"/>
        <v>0</v>
      </c>
      <c r="K91" s="13">
        <f>SUMIF(sigaf!$B$2:$B$470,$A91,sigaf!$K$2:$K$470)</f>
        <v>4418270</v>
      </c>
      <c r="L91" s="139">
        <f t="shared" si="27"/>
        <v>0.5500909499507588</v>
      </c>
      <c r="M91" s="13">
        <f>SUMIF(sigaf!$B$2:$B$470,$A91,sigaf!$L$2:$L$470)</f>
        <v>4380200</v>
      </c>
      <c r="N91" s="66">
        <f t="shared" si="24"/>
        <v>0.54535109420074224</v>
      </c>
      <c r="O91" s="85">
        <f>SUMIF(sigaf!$B$2:$B$470,$A91,sigaf!$M$2:$M$470)</f>
        <v>3613620</v>
      </c>
      <c r="P91" s="66">
        <f t="shared" si="25"/>
        <v>0.4499090500492412</v>
      </c>
      <c r="Q91" s="13">
        <f>SUMIF(sigaf!$B$2:$B$470,$A91,sigaf!$N$2:$N$470)</f>
        <v>3613620</v>
      </c>
      <c r="R91" s="66">
        <f t="shared" si="26"/>
        <v>0.4499090500492412</v>
      </c>
    </row>
    <row r="92" spans="1:18" x14ac:dyDescent="0.25">
      <c r="A92" s="11" t="s">
        <v>162</v>
      </c>
      <c r="B92" s="11" t="s">
        <v>452</v>
      </c>
      <c r="C92" s="13">
        <f>SUMIF(sigaf!$B$2:$B$470,$A92,sigaf!$F$2:$F$470)</f>
        <v>166072773</v>
      </c>
      <c r="D92" s="13">
        <f>SUMIF(sigaf!$B$2:$B$470,$A92,sigaf!$G$2:$G$470)</f>
        <v>166072773</v>
      </c>
      <c r="E92" s="13">
        <f>SUMIF(sigaf!$B$2:$B$470,$A92,sigaf!$H$2:$H$470)</f>
        <v>0</v>
      </c>
      <c r="F92" s="66">
        <f t="shared" si="22"/>
        <v>0</v>
      </c>
      <c r="G92" s="130">
        <f>SUMIF(sigaf!$B$2:$B$470,$A92,sigaf!$I$2:$I$470)</f>
        <v>0</v>
      </c>
      <c r="H92" s="66">
        <f t="shared" si="23"/>
        <v>0</v>
      </c>
      <c r="I92" s="13">
        <f>SUMIF(sigaf!$B$2:$B$470,$A92,sigaf!$J$2:$J$470)</f>
        <v>0</v>
      </c>
      <c r="J92" s="66">
        <f t="shared" si="23"/>
        <v>0</v>
      </c>
      <c r="K92" s="13">
        <f>SUMIF(sigaf!$B$2:$B$470,$A92,sigaf!$K$2:$K$470)</f>
        <v>128017195</v>
      </c>
      <c r="L92" s="139">
        <f t="shared" si="27"/>
        <v>0.7708499875533481</v>
      </c>
      <c r="M92" s="13">
        <f>SUMIF(sigaf!$B$2:$B$470,$A92,sigaf!$L$2:$L$470)</f>
        <v>128017195</v>
      </c>
      <c r="N92" s="66">
        <f t="shared" si="24"/>
        <v>0.7708499875533481</v>
      </c>
      <c r="O92" s="85">
        <f>SUMIF(sigaf!$B$2:$B$470,$A92,sigaf!$M$2:$M$470)</f>
        <v>38055578</v>
      </c>
      <c r="P92" s="66">
        <f t="shared" si="25"/>
        <v>0.22915001244665192</v>
      </c>
      <c r="Q92" s="13">
        <f>SUMIF(sigaf!$B$2:$B$470,$A92,sigaf!$N$2:$N$470)</f>
        <v>38055578</v>
      </c>
      <c r="R92" s="66">
        <f t="shared" si="26"/>
        <v>0.22915001244665192</v>
      </c>
    </row>
    <row r="93" spans="1:18" x14ac:dyDescent="0.25">
      <c r="A93" s="11" t="s">
        <v>164</v>
      </c>
      <c r="B93" s="11" t="s">
        <v>453</v>
      </c>
      <c r="C93" s="13">
        <f>SUMIF(sigaf!$B$2:$B$470,$A93,sigaf!$F$2:$F$470)</f>
        <v>7206683</v>
      </c>
      <c r="D93" s="13">
        <f>SUMIF(sigaf!$B$2:$B$470,$A93,sigaf!$G$2:$G$470)</f>
        <v>7206683</v>
      </c>
      <c r="E93" s="13">
        <f>SUMIF(sigaf!$B$2:$B$470,$A93,sigaf!$H$2:$H$470)</f>
        <v>0</v>
      </c>
      <c r="F93" s="66">
        <f t="shared" si="22"/>
        <v>0</v>
      </c>
      <c r="G93" s="130">
        <f>SUMIF(sigaf!$B$2:$B$470,$A93,sigaf!$I$2:$I$470)</f>
        <v>0</v>
      </c>
      <c r="H93" s="66">
        <f t="shared" si="23"/>
        <v>0</v>
      </c>
      <c r="I93" s="13">
        <f>SUMIF(sigaf!$B$2:$B$470,$A93,sigaf!$J$2:$J$470)</f>
        <v>0</v>
      </c>
      <c r="J93" s="66">
        <f t="shared" si="23"/>
        <v>0</v>
      </c>
      <c r="K93" s="13">
        <f>SUMIF(sigaf!$B$2:$B$470,$A93,sigaf!$K$2:$K$470)</f>
        <v>5492030.4800000004</v>
      </c>
      <c r="L93" s="139">
        <f t="shared" si="27"/>
        <v>0.76207465764763072</v>
      </c>
      <c r="M93" s="13">
        <f>SUMIF(sigaf!$B$2:$B$470,$A93,sigaf!$L$2:$L$470)</f>
        <v>5492030.4800000004</v>
      </c>
      <c r="N93" s="66">
        <f t="shared" si="24"/>
        <v>0.76207465764763072</v>
      </c>
      <c r="O93" s="85">
        <f>SUMIF(sigaf!$B$2:$B$470,$A93,sigaf!$M$2:$M$470)</f>
        <v>1714652.52</v>
      </c>
      <c r="P93" s="66">
        <f t="shared" si="25"/>
        <v>0.23792534235236931</v>
      </c>
      <c r="Q93" s="13">
        <f>SUMIF(sigaf!$B$2:$B$470,$A93,sigaf!$N$2:$N$470)</f>
        <v>1714652.52</v>
      </c>
      <c r="R93" s="66">
        <f t="shared" si="26"/>
        <v>0.23792534235236931</v>
      </c>
    </row>
    <row r="94" spans="1:18" x14ac:dyDescent="0.25">
      <c r="A94" s="11" t="s">
        <v>166</v>
      </c>
      <c r="B94" s="11" t="s">
        <v>454</v>
      </c>
      <c r="C94" s="13">
        <f>SUMIF(sigaf!$B$2:$B$470,$A94,sigaf!$F$2:$F$470)</f>
        <v>10548952</v>
      </c>
      <c r="D94" s="13">
        <f>SUMIF(sigaf!$B$2:$B$470,$A94,sigaf!$G$2:$G$470)</f>
        <v>10548952</v>
      </c>
      <c r="E94" s="13">
        <f>SUMIF(sigaf!$B$2:$B$470,$A94,sigaf!$H$2:$H$470)</f>
        <v>0</v>
      </c>
      <c r="F94" s="66">
        <f t="shared" si="22"/>
        <v>0</v>
      </c>
      <c r="G94" s="130">
        <f>SUMIF(sigaf!$B$2:$B$470,$A94,sigaf!$I$2:$I$470)</f>
        <v>0</v>
      </c>
      <c r="H94" s="66">
        <f t="shared" si="23"/>
        <v>0</v>
      </c>
      <c r="I94" s="13">
        <f>SUMIF(sigaf!$B$2:$B$470,$A94,sigaf!$J$2:$J$470)</f>
        <v>0</v>
      </c>
      <c r="J94" s="66">
        <f t="shared" si="23"/>
        <v>0</v>
      </c>
      <c r="K94" s="13">
        <f>SUMIF(sigaf!$B$2:$B$470,$A94,sigaf!$K$2:$K$470)</f>
        <v>7110086.6500000004</v>
      </c>
      <c r="L94" s="139">
        <f t="shared" si="27"/>
        <v>0.67400881623122377</v>
      </c>
      <c r="M94" s="13">
        <f>SUMIF(sigaf!$B$2:$B$470,$A94,sigaf!$L$2:$L$470)</f>
        <v>7110086.6500000004</v>
      </c>
      <c r="N94" s="66">
        <f t="shared" si="24"/>
        <v>0.67400881623122377</v>
      </c>
      <c r="O94" s="85">
        <f>SUMIF(sigaf!$B$2:$B$470,$A94,sigaf!$M$2:$M$470)</f>
        <v>3438865.35</v>
      </c>
      <c r="P94" s="66">
        <f t="shared" si="25"/>
        <v>0.32599118376877628</v>
      </c>
      <c r="Q94" s="13">
        <f>SUMIF(sigaf!$B$2:$B$470,$A94,sigaf!$N$2:$N$470)</f>
        <v>3438865.35</v>
      </c>
      <c r="R94" s="66">
        <f t="shared" si="26"/>
        <v>0.32599118376877628</v>
      </c>
    </row>
    <row r="95" spans="1:18" x14ac:dyDescent="0.25">
      <c r="A95" s="11" t="s">
        <v>168</v>
      </c>
      <c r="B95" s="11" t="s">
        <v>455</v>
      </c>
      <c r="C95" s="13">
        <f>SUMIF(sigaf!$B$2:$B$470,$A95,sigaf!$F$2:$F$470)</f>
        <v>1424925704.29</v>
      </c>
      <c r="D95" s="13">
        <f>SUMIF(sigaf!$B$2:$B$470,$A95,sigaf!$G$2:$G$470)</f>
        <v>1424925704.29</v>
      </c>
      <c r="E95" s="13">
        <f>SUMIF(sigaf!$B$2:$B$470,$A95,sigaf!$H$2:$H$470)</f>
        <v>0</v>
      </c>
      <c r="F95" s="66">
        <f t="shared" si="22"/>
        <v>0</v>
      </c>
      <c r="G95" s="130">
        <f>SUMIF(sigaf!$B$2:$B$470,$A95,sigaf!$I$2:$I$470)</f>
        <v>0</v>
      </c>
      <c r="H95" s="66">
        <f t="shared" si="23"/>
        <v>0</v>
      </c>
      <c r="I95" s="13">
        <f>SUMIF(sigaf!$B$2:$B$470,$A95,sigaf!$J$2:$J$470)</f>
        <v>0</v>
      </c>
      <c r="J95" s="66">
        <f t="shared" si="23"/>
        <v>0</v>
      </c>
      <c r="K95" s="13">
        <f>SUMIF(sigaf!$B$2:$B$470,$A95,sigaf!$K$2:$K$470)</f>
        <v>1367300026.9000001</v>
      </c>
      <c r="L95" s="139">
        <f t="shared" si="27"/>
        <v>0.95955881965178447</v>
      </c>
      <c r="M95" s="13">
        <f>SUMIF(sigaf!$B$2:$B$470,$A95,sigaf!$L$2:$L$470)</f>
        <v>1261272888.9000001</v>
      </c>
      <c r="N95" s="66">
        <f t="shared" si="24"/>
        <v>0.88514993104742723</v>
      </c>
      <c r="O95" s="85">
        <f>SUMIF(sigaf!$B$2:$B$470,$A95,sigaf!$M$2:$M$470)</f>
        <v>57625677.390000001</v>
      </c>
      <c r="P95" s="66">
        <f t="shared" si="25"/>
        <v>4.0441180348215588E-2</v>
      </c>
      <c r="Q95" s="13">
        <f>SUMIF(sigaf!$B$2:$B$470,$A95,sigaf!$N$2:$N$470)</f>
        <v>57625677.390000001</v>
      </c>
      <c r="R95" s="66">
        <f t="shared" si="26"/>
        <v>4.0441180348215588E-2</v>
      </c>
    </row>
    <row r="96" spans="1:18" x14ac:dyDescent="0.25">
      <c r="A96" s="11" t="s">
        <v>170</v>
      </c>
      <c r="B96" s="11" t="s">
        <v>171</v>
      </c>
      <c r="C96" s="13">
        <f>SUMIF(sigaf!$B$2:$B$470,$A96,sigaf!$F$2:$F$470)</f>
        <v>1424925704.29</v>
      </c>
      <c r="D96" s="13">
        <f>SUMIF(sigaf!$B$2:$B$470,$A96,sigaf!$G$2:$G$470)</f>
        <v>1424925704.29</v>
      </c>
      <c r="E96" s="13">
        <f>SUMIF(sigaf!$B$2:$B$470,$A96,sigaf!$H$2:$H$470)</f>
        <v>0</v>
      </c>
      <c r="F96" s="66">
        <f t="shared" si="22"/>
        <v>0</v>
      </c>
      <c r="G96" s="130">
        <f>SUMIF(sigaf!$B$2:$B$470,$A96,sigaf!$I$2:$I$470)</f>
        <v>0</v>
      </c>
      <c r="H96" s="66">
        <f t="shared" si="23"/>
        <v>0</v>
      </c>
      <c r="I96" s="13">
        <f>SUMIF(sigaf!$B$2:$B$470,$A96,sigaf!$J$2:$J$470)</f>
        <v>0</v>
      </c>
      <c r="J96" s="66">
        <f t="shared" si="23"/>
        <v>0</v>
      </c>
      <c r="K96" s="13">
        <f>SUMIF(sigaf!$B$2:$B$470,$A96,sigaf!$K$2:$K$470)</f>
        <v>1367300026.9000001</v>
      </c>
      <c r="L96" s="139">
        <f t="shared" si="27"/>
        <v>0.95955881965178447</v>
      </c>
      <c r="M96" s="13">
        <f>SUMIF(sigaf!$B$2:$B$470,$A96,sigaf!$L$2:$L$470)</f>
        <v>1261272888.9000001</v>
      </c>
      <c r="N96" s="66">
        <f t="shared" si="24"/>
        <v>0.88514993104742723</v>
      </c>
      <c r="O96" s="85">
        <f>SUMIF(sigaf!$B$2:$B$470,$A96,sigaf!$M$2:$M$470)</f>
        <v>57625677.390000001</v>
      </c>
      <c r="P96" s="66">
        <f t="shared" si="25"/>
        <v>4.0441180348215588E-2</v>
      </c>
      <c r="Q96" s="13">
        <f>SUMIF(sigaf!$B$2:$B$470,$A96,sigaf!$N$2:$N$470)</f>
        <v>57625677.390000001</v>
      </c>
      <c r="R96" s="66">
        <f t="shared" si="26"/>
        <v>4.0441180348215588E-2</v>
      </c>
    </row>
    <row r="97" spans="1:18" x14ac:dyDescent="0.25">
      <c r="A97" s="11" t="s">
        <v>566</v>
      </c>
      <c r="B97" s="11" t="s">
        <v>567</v>
      </c>
      <c r="C97" s="13">
        <f>SUMIF(sigaf!$B$2:$B$470,$A97,sigaf!$F$2:$F$470)</f>
        <v>0</v>
      </c>
      <c r="D97" s="13">
        <f>SUMIF(sigaf!$B$2:$B$470,$A97,sigaf!$G$2:$G$470)</f>
        <v>0</v>
      </c>
      <c r="E97" s="13">
        <f>SUMIF(sigaf!$B$2:$B$470,$A97,sigaf!$H$2:$H$470)</f>
        <v>0</v>
      </c>
      <c r="F97" s="66">
        <f t="shared" ref="F97" si="28">+IFERROR(+E97/$C97,0)</f>
        <v>0</v>
      </c>
      <c r="G97" s="130">
        <f>SUMIF(sigaf!$B$2:$B$470,$A97,sigaf!$I$2:$I$470)</f>
        <v>0</v>
      </c>
      <c r="H97" s="66">
        <f t="shared" ref="H97" si="29">+IFERROR(+G97/$C97,0)</f>
        <v>0</v>
      </c>
      <c r="I97" s="13">
        <f>SUMIF(sigaf!$B$2:$B$470,$A97,sigaf!$J$2:$J$470)</f>
        <v>0</v>
      </c>
      <c r="J97" s="66">
        <f t="shared" ref="J97" si="30">+IFERROR(+I97/$C97,0)</f>
        <v>0</v>
      </c>
      <c r="K97" s="13">
        <f>SUMIF(sigaf!$B$2:$B$470,$A97,sigaf!$K$2:$K$470)</f>
        <v>0</v>
      </c>
      <c r="L97" s="139">
        <f t="shared" ref="L97" si="31">+IFERROR(+K97/$C97,0)</f>
        <v>0</v>
      </c>
      <c r="M97" s="13">
        <f>SUMIF(sigaf!$B$2:$B$470,$A97,sigaf!$L$2:$L$470)</f>
        <v>0</v>
      </c>
      <c r="N97" s="66">
        <f t="shared" ref="N97" si="32">+IFERROR(+M97/$C97,0)</f>
        <v>0</v>
      </c>
      <c r="O97" s="85">
        <f>SUMIF(sigaf!$B$2:$B$470,$A97,sigaf!$M$2:$M$470)</f>
        <v>0</v>
      </c>
      <c r="P97" s="66">
        <f t="shared" ref="P97" si="33">+IFERROR(+O97/$C97,0)</f>
        <v>0</v>
      </c>
      <c r="Q97" s="13">
        <f>SUMIF(sigaf!$B$2:$B$470,$A97,sigaf!$N$2:$N$470)</f>
        <v>0</v>
      </c>
      <c r="R97" s="66">
        <f t="shared" ref="R97" si="34">+IFERROR(+Q97/$C97,0)</f>
        <v>0</v>
      </c>
    </row>
    <row r="98" spans="1:18" x14ac:dyDescent="0.25">
      <c r="A98" s="11" t="s">
        <v>172</v>
      </c>
      <c r="B98" s="11" t="s">
        <v>456</v>
      </c>
      <c r="C98" s="13">
        <f>SUMIF(sigaf!$B$2:$B$470,$A98,sigaf!$F$2:$F$470)</f>
        <v>15995940</v>
      </c>
      <c r="D98" s="13">
        <f>SUMIF(sigaf!$B$2:$B$470,$A98,sigaf!$G$2:$G$470)</f>
        <v>15695940</v>
      </c>
      <c r="E98" s="13">
        <f>SUMIF(sigaf!$B$2:$B$470,$A98,sigaf!$H$2:$H$470)</f>
        <v>0</v>
      </c>
      <c r="F98" s="66">
        <f t="shared" si="22"/>
        <v>0</v>
      </c>
      <c r="G98" s="130">
        <f>SUMIF(sigaf!$B$2:$B$470,$A98,sigaf!$I$2:$I$470)</f>
        <v>0</v>
      </c>
      <c r="H98" s="66">
        <f t="shared" si="23"/>
        <v>0</v>
      </c>
      <c r="I98" s="13">
        <f>SUMIF(sigaf!$B$2:$B$470,$A98,sigaf!$J$2:$J$470)</f>
        <v>0</v>
      </c>
      <c r="J98" s="66">
        <f t="shared" si="23"/>
        <v>0</v>
      </c>
      <c r="K98" s="13">
        <f>SUMIF(sigaf!$B$2:$B$470,$A98,sigaf!$K$2:$K$470)</f>
        <v>15231380</v>
      </c>
      <c r="L98" s="139">
        <f t="shared" si="27"/>
        <v>0.95220287147863769</v>
      </c>
      <c r="M98" s="13">
        <f>SUMIF(sigaf!$B$2:$B$470,$A98,sigaf!$L$2:$L$470)</f>
        <v>12461080</v>
      </c>
      <c r="N98" s="66">
        <f t="shared" si="24"/>
        <v>0.77901517510068174</v>
      </c>
      <c r="O98" s="85">
        <f>SUMIF(sigaf!$B$2:$B$470,$A98,sigaf!$M$2:$M$470)</f>
        <v>764560</v>
      </c>
      <c r="P98" s="66">
        <f t="shared" si="25"/>
        <v>4.7797128521362295E-2</v>
      </c>
      <c r="Q98" s="13">
        <f>SUMIF(sigaf!$B$2:$B$470,$A98,sigaf!$N$2:$N$470)</f>
        <v>464560</v>
      </c>
      <c r="R98" s="66">
        <f t="shared" si="26"/>
        <v>2.9042369501260944E-2</v>
      </c>
    </row>
    <row r="99" spans="1:18" x14ac:dyDescent="0.25">
      <c r="A99" s="11" t="s">
        <v>309</v>
      </c>
      <c r="B99" s="11" t="s">
        <v>457</v>
      </c>
      <c r="C99" s="13">
        <f>SUMIF(sigaf!$B$2:$B$470,$A99,sigaf!$F$2:$F$470)</f>
        <v>15695940</v>
      </c>
      <c r="D99" s="13">
        <f>SUMIF(sigaf!$B$2:$B$470,$A99,sigaf!$G$2:$G$470)</f>
        <v>15695940</v>
      </c>
      <c r="E99" s="13">
        <f>SUMIF(sigaf!$B$2:$B$470,$A99,sigaf!$H$2:$H$470)</f>
        <v>0</v>
      </c>
      <c r="F99" s="66">
        <f t="shared" si="22"/>
        <v>0</v>
      </c>
      <c r="G99" s="130">
        <f>SUMIF(sigaf!$B$2:$B$470,$A99,sigaf!$I$2:$I$470)</f>
        <v>0</v>
      </c>
      <c r="H99" s="66">
        <f t="shared" si="23"/>
        <v>0</v>
      </c>
      <c r="I99" s="13">
        <f>SUMIF(sigaf!$B$2:$B$470,$A99,sigaf!$J$2:$J$470)</f>
        <v>0</v>
      </c>
      <c r="J99" s="66">
        <f t="shared" si="23"/>
        <v>0</v>
      </c>
      <c r="K99" s="13">
        <f>SUMIF(sigaf!$B$2:$B$470,$A99,sigaf!$K$2:$K$470)</f>
        <v>15231380</v>
      </c>
      <c r="L99" s="139">
        <f t="shared" si="27"/>
        <v>0.9704025372166305</v>
      </c>
      <c r="M99" s="13">
        <f>SUMIF(sigaf!$B$2:$B$470,$A99,sigaf!$L$2:$L$470)</f>
        <v>12461080</v>
      </c>
      <c r="N99" s="66">
        <f t="shared" si="24"/>
        <v>0.79390466579255525</v>
      </c>
      <c r="O99" s="85">
        <f>SUMIF(sigaf!$B$2:$B$470,$A99,sigaf!$M$2:$M$470)</f>
        <v>464560</v>
      </c>
      <c r="P99" s="66">
        <f t="shared" si="25"/>
        <v>2.9597462783369458E-2</v>
      </c>
      <c r="Q99" s="13">
        <f>SUMIF(sigaf!$B$2:$B$470,$A99,sigaf!$N$2:$N$470)</f>
        <v>464560</v>
      </c>
      <c r="R99" s="66">
        <f t="shared" si="26"/>
        <v>2.9597462783369458E-2</v>
      </c>
    </row>
    <row r="100" spans="1:18" x14ac:dyDescent="0.25">
      <c r="A100" s="11" t="s">
        <v>174</v>
      </c>
      <c r="B100" s="11" t="s">
        <v>458</v>
      </c>
      <c r="C100" s="13">
        <f>SUMIF(sigaf!$B$2:$B$470,$A100,sigaf!$F$2:$F$470)</f>
        <v>0</v>
      </c>
      <c r="D100" s="13">
        <f>SUMIF(sigaf!$B$2:$B$470,$A100,sigaf!$G$2:$G$470)</f>
        <v>0</v>
      </c>
      <c r="E100" s="13">
        <f>SUMIF(sigaf!$B$2:$B$470,$A100,sigaf!$H$2:$H$470)</f>
        <v>0</v>
      </c>
      <c r="F100" s="66">
        <f t="shared" si="22"/>
        <v>0</v>
      </c>
      <c r="G100" s="130">
        <f>SUMIF(sigaf!$B$2:$B$470,$A100,sigaf!$I$2:$I$470)</f>
        <v>0</v>
      </c>
      <c r="H100" s="66">
        <f t="shared" si="23"/>
        <v>0</v>
      </c>
      <c r="I100" s="13">
        <f>SUMIF(sigaf!$B$2:$B$470,$A100,sigaf!$J$2:$J$470)</f>
        <v>0</v>
      </c>
      <c r="J100" s="66">
        <f t="shared" si="23"/>
        <v>0</v>
      </c>
      <c r="K100" s="13">
        <f>SUMIF(sigaf!$B$2:$B$470,$A100,sigaf!$K$2:$K$470)</f>
        <v>0</v>
      </c>
      <c r="L100" s="139">
        <f t="shared" si="27"/>
        <v>0</v>
      </c>
      <c r="M100" s="13">
        <f>SUMIF(sigaf!$B$2:$B$470,$A100,sigaf!$L$2:$L$470)</f>
        <v>0</v>
      </c>
      <c r="N100" s="66">
        <f t="shared" si="24"/>
        <v>0</v>
      </c>
      <c r="O100" s="85">
        <f>SUMIF(sigaf!$B$2:$B$470,$A100,sigaf!$M$2:$M$470)</f>
        <v>0</v>
      </c>
      <c r="P100" s="66">
        <f t="shared" si="25"/>
        <v>0</v>
      </c>
      <c r="Q100" s="13">
        <f>SUMIF(sigaf!$B$2:$B$470,$A100,sigaf!$N$2:$N$470)</f>
        <v>0</v>
      </c>
      <c r="R100" s="66">
        <f t="shared" si="26"/>
        <v>0</v>
      </c>
    </row>
    <row r="101" spans="1:18" x14ac:dyDescent="0.25">
      <c r="A101" s="11" t="s">
        <v>176</v>
      </c>
      <c r="B101" s="11" t="s">
        <v>459</v>
      </c>
      <c r="C101" s="13">
        <f>SUMIF(sigaf!$B$2:$B$470,$A101,sigaf!$F$2:$F$470)</f>
        <v>300000</v>
      </c>
      <c r="D101" s="13">
        <f>SUMIF(sigaf!$B$2:$B$470,$A101,sigaf!$G$2:$G$470)</f>
        <v>0</v>
      </c>
      <c r="E101" s="13">
        <f>SUMIF(sigaf!$B$2:$B$470,$A101,sigaf!$H$2:$H$470)</f>
        <v>0</v>
      </c>
      <c r="F101" s="66">
        <f t="shared" si="22"/>
        <v>0</v>
      </c>
      <c r="G101" s="130">
        <f>SUMIF(sigaf!$B$2:$B$470,$A101,sigaf!$I$2:$I$470)</f>
        <v>0</v>
      </c>
      <c r="H101" s="66">
        <f t="shared" si="23"/>
        <v>0</v>
      </c>
      <c r="I101" s="13">
        <f>SUMIF(sigaf!$B$2:$B$470,$A101,sigaf!$J$2:$J$470)</f>
        <v>0</v>
      </c>
      <c r="J101" s="66">
        <f t="shared" si="23"/>
        <v>0</v>
      </c>
      <c r="K101" s="13">
        <f>SUMIF(sigaf!$B$2:$B$470,$A101,sigaf!$K$2:$K$470)</f>
        <v>0</v>
      </c>
      <c r="L101" s="139">
        <f t="shared" si="27"/>
        <v>0</v>
      </c>
      <c r="M101" s="13">
        <f>SUMIF(sigaf!$B$2:$B$470,$A101,sigaf!$L$2:$L$470)</f>
        <v>0</v>
      </c>
      <c r="N101" s="66">
        <f t="shared" si="24"/>
        <v>0</v>
      </c>
      <c r="O101" s="85">
        <f>SUMIF(sigaf!$B$2:$B$470,$A101,sigaf!$M$2:$M$470)</f>
        <v>300000</v>
      </c>
      <c r="P101" s="66">
        <f t="shared" si="25"/>
        <v>1</v>
      </c>
      <c r="Q101" s="13">
        <f>SUMIF(sigaf!$B$2:$B$470,$A101,sigaf!$N$2:$N$470)</f>
        <v>0</v>
      </c>
      <c r="R101" s="66">
        <f t="shared" si="26"/>
        <v>0</v>
      </c>
    </row>
    <row r="102" spans="1:18" x14ac:dyDescent="0.25">
      <c r="A102" s="11" t="s">
        <v>178</v>
      </c>
      <c r="B102" s="11" t="s">
        <v>460</v>
      </c>
      <c r="C102" s="13">
        <f>SUMIF(sigaf!$B$2:$B$470,$A102,sigaf!$F$2:$F$470)</f>
        <v>830332075</v>
      </c>
      <c r="D102" s="13">
        <f>SUMIF(sigaf!$B$2:$B$470,$A102,sigaf!$G$2:$G$470)</f>
        <v>825832075</v>
      </c>
      <c r="E102" s="13">
        <f>SUMIF(sigaf!$B$2:$B$470,$A102,sigaf!$H$2:$H$470)</f>
        <v>0</v>
      </c>
      <c r="F102" s="66">
        <f t="shared" si="22"/>
        <v>0</v>
      </c>
      <c r="G102" s="130">
        <f>SUMIF(sigaf!$B$2:$B$470,$A102,sigaf!$I$2:$I$470)</f>
        <v>0</v>
      </c>
      <c r="H102" s="66">
        <f t="shared" si="23"/>
        <v>0</v>
      </c>
      <c r="I102" s="13">
        <f>SUMIF(sigaf!$B$2:$B$470,$A102,sigaf!$J$2:$J$470)</f>
        <v>0</v>
      </c>
      <c r="J102" s="66">
        <f t="shared" si="23"/>
        <v>0</v>
      </c>
      <c r="K102" s="13">
        <f>SUMIF(sigaf!$B$2:$B$470,$A102,sigaf!$K$2:$K$470)</f>
        <v>586076488.20000005</v>
      </c>
      <c r="L102" s="139">
        <f t="shared" si="27"/>
        <v>0.70583385352179739</v>
      </c>
      <c r="M102" s="13">
        <f>SUMIF(sigaf!$B$2:$B$470,$A102,sigaf!$L$2:$L$470)</f>
        <v>497316303.60000002</v>
      </c>
      <c r="N102" s="66">
        <f t="shared" si="24"/>
        <v>0.5989366406205614</v>
      </c>
      <c r="O102" s="85">
        <f>SUMIF(sigaf!$B$2:$B$470,$A102,sigaf!$M$2:$M$470)</f>
        <v>244255586.80000001</v>
      </c>
      <c r="P102" s="66">
        <f t="shared" si="25"/>
        <v>0.29416614647820272</v>
      </c>
      <c r="Q102" s="13">
        <f>SUMIF(sigaf!$B$2:$B$470,$A102,sigaf!$N$2:$N$470)</f>
        <v>239755586.80000001</v>
      </c>
      <c r="R102" s="66">
        <f t="shared" si="26"/>
        <v>0.28874662802831025</v>
      </c>
    </row>
    <row r="103" spans="1:18" x14ac:dyDescent="0.25">
      <c r="A103" s="11" t="s">
        <v>180</v>
      </c>
      <c r="B103" s="11" t="s">
        <v>461</v>
      </c>
      <c r="C103" s="13">
        <f>SUMIF(sigaf!$B$2:$B$470,$A103,sigaf!$F$2:$F$470)</f>
        <v>78656000</v>
      </c>
      <c r="D103" s="13">
        <f>SUMIF(sigaf!$B$2:$B$470,$A103,sigaf!$G$2:$G$470)</f>
        <v>78656000</v>
      </c>
      <c r="E103" s="13">
        <f>SUMIF(sigaf!$B$2:$B$470,$A103,sigaf!$H$2:$H$470)</f>
        <v>0</v>
      </c>
      <c r="F103" s="66">
        <f t="shared" si="22"/>
        <v>0</v>
      </c>
      <c r="G103" s="130">
        <f>SUMIF(sigaf!$B$2:$B$470,$A103,sigaf!$I$2:$I$470)</f>
        <v>0</v>
      </c>
      <c r="H103" s="66">
        <f t="shared" si="23"/>
        <v>0</v>
      </c>
      <c r="I103" s="13">
        <f>SUMIF(sigaf!$B$2:$B$470,$A103,sigaf!$J$2:$J$470)</f>
        <v>0</v>
      </c>
      <c r="J103" s="66">
        <f t="shared" si="23"/>
        <v>0</v>
      </c>
      <c r="K103" s="13">
        <f>SUMIF(sigaf!$B$2:$B$470,$A103,sigaf!$K$2:$K$470)</f>
        <v>26684954.780000001</v>
      </c>
      <c r="L103" s="139">
        <f t="shared" si="27"/>
        <v>0.33926152842758339</v>
      </c>
      <c r="M103" s="13">
        <f>SUMIF(sigaf!$B$2:$B$470,$A103,sigaf!$L$2:$L$470)</f>
        <v>19676868.899999999</v>
      </c>
      <c r="N103" s="66">
        <f t="shared" si="24"/>
        <v>0.25016360989625708</v>
      </c>
      <c r="O103" s="85">
        <f>SUMIF(sigaf!$B$2:$B$470,$A103,sigaf!$M$2:$M$470)</f>
        <v>51971045.219999999</v>
      </c>
      <c r="P103" s="66">
        <f t="shared" si="25"/>
        <v>0.66073847157241661</v>
      </c>
      <c r="Q103" s="13">
        <f>SUMIF(sigaf!$B$2:$B$470,$A103,sigaf!$N$2:$N$470)</f>
        <v>51971045.219999999</v>
      </c>
      <c r="R103" s="66">
        <f t="shared" si="26"/>
        <v>0.66073847157241661</v>
      </c>
    </row>
    <row r="104" spans="1:18" x14ac:dyDescent="0.25">
      <c r="A104" s="11" t="s">
        <v>332</v>
      </c>
      <c r="B104" s="11" t="s">
        <v>462</v>
      </c>
      <c r="C104" s="13">
        <f>SUMIF(sigaf!$B$2:$B$470,$A104,sigaf!$F$2:$F$470)</f>
        <v>388797817</v>
      </c>
      <c r="D104" s="13">
        <f>SUMIF(sigaf!$B$2:$B$470,$A104,sigaf!$G$2:$G$470)</f>
        <v>388797817</v>
      </c>
      <c r="E104" s="13">
        <f>SUMIF(sigaf!$B$2:$B$470,$A104,sigaf!$H$2:$H$470)</f>
        <v>0</v>
      </c>
      <c r="F104" s="66">
        <f t="shared" si="22"/>
        <v>0</v>
      </c>
      <c r="G104" s="130">
        <f>SUMIF(sigaf!$B$2:$B$470,$A104,sigaf!$I$2:$I$470)</f>
        <v>0</v>
      </c>
      <c r="H104" s="66">
        <f t="shared" si="23"/>
        <v>0</v>
      </c>
      <c r="I104" s="13">
        <f>SUMIF(sigaf!$B$2:$B$470,$A104,sigaf!$J$2:$J$470)</f>
        <v>0</v>
      </c>
      <c r="J104" s="66">
        <f t="shared" si="23"/>
        <v>0</v>
      </c>
      <c r="K104" s="13">
        <f>SUMIF(sigaf!$B$2:$B$470,$A104,sigaf!$K$2:$K$470)</f>
        <v>310311905.64999998</v>
      </c>
      <c r="L104" s="139">
        <f t="shared" si="27"/>
        <v>0.79813181062690997</v>
      </c>
      <c r="M104" s="13">
        <f>SUMIF(sigaf!$B$2:$B$470,$A104,sigaf!$L$2:$L$470)</f>
        <v>271416439.49000001</v>
      </c>
      <c r="N104" s="66">
        <f t="shared" si="24"/>
        <v>0.69809146971110692</v>
      </c>
      <c r="O104" s="85">
        <f>SUMIF(sigaf!$B$2:$B$470,$A104,sigaf!$M$2:$M$470)</f>
        <v>78485911.349999994</v>
      </c>
      <c r="P104" s="66">
        <f t="shared" si="25"/>
        <v>0.20186818937309001</v>
      </c>
      <c r="Q104" s="13">
        <f>SUMIF(sigaf!$B$2:$B$470,$A104,sigaf!$N$2:$N$470)</f>
        <v>78485911.349999994</v>
      </c>
      <c r="R104" s="66">
        <f t="shared" si="26"/>
        <v>0.20186818937309001</v>
      </c>
    </row>
    <row r="105" spans="1:18" x14ac:dyDescent="0.25">
      <c r="A105" s="11" t="s">
        <v>182</v>
      </c>
      <c r="B105" s="11" t="s">
        <v>463</v>
      </c>
      <c r="C105" s="13">
        <f>SUMIF(sigaf!$B$2:$B$470,$A105,sigaf!$F$2:$F$470)</f>
        <v>117065315</v>
      </c>
      <c r="D105" s="13">
        <f>SUMIF(sigaf!$B$2:$B$470,$A105,sigaf!$G$2:$G$470)</f>
        <v>117065315</v>
      </c>
      <c r="E105" s="13">
        <f>SUMIF(sigaf!$B$2:$B$470,$A105,sigaf!$H$2:$H$470)</f>
        <v>0</v>
      </c>
      <c r="F105" s="66">
        <f t="shared" si="22"/>
        <v>0</v>
      </c>
      <c r="G105" s="130">
        <f>SUMIF(sigaf!$B$2:$B$470,$A105,sigaf!$I$2:$I$470)</f>
        <v>0</v>
      </c>
      <c r="H105" s="66">
        <f t="shared" si="23"/>
        <v>0</v>
      </c>
      <c r="I105" s="13">
        <f>SUMIF(sigaf!$B$2:$B$470,$A105,sigaf!$J$2:$J$470)</f>
        <v>0</v>
      </c>
      <c r="J105" s="66">
        <f t="shared" si="23"/>
        <v>0</v>
      </c>
      <c r="K105" s="13">
        <f>SUMIF(sigaf!$B$2:$B$470,$A105,sigaf!$K$2:$K$470)</f>
        <v>80967416.840000004</v>
      </c>
      <c r="L105" s="139">
        <f t="shared" si="27"/>
        <v>0.69164309548050162</v>
      </c>
      <c r="M105" s="13">
        <f>SUMIF(sigaf!$B$2:$B$470,$A105,sigaf!$L$2:$L$470)</f>
        <v>73777163.129999995</v>
      </c>
      <c r="N105" s="66">
        <f t="shared" si="24"/>
        <v>0.63022222363643743</v>
      </c>
      <c r="O105" s="85">
        <f>SUMIF(sigaf!$B$2:$B$470,$A105,sigaf!$M$2:$M$470)</f>
        <v>36097898.160000004</v>
      </c>
      <c r="P105" s="66">
        <f t="shared" si="25"/>
        <v>0.30835690451949838</v>
      </c>
      <c r="Q105" s="13">
        <f>SUMIF(sigaf!$B$2:$B$470,$A105,sigaf!$N$2:$N$470)</f>
        <v>36097898.160000004</v>
      </c>
      <c r="R105" s="66">
        <f t="shared" si="26"/>
        <v>0.30835690451949838</v>
      </c>
    </row>
    <row r="106" spans="1:18" x14ac:dyDescent="0.25">
      <c r="A106" s="11" t="s">
        <v>184</v>
      </c>
      <c r="B106" s="11" t="s">
        <v>464</v>
      </c>
      <c r="C106" s="13">
        <f>SUMIF(sigaf!$B$2:$B$470,$A106,sigaf!$F$2:$F$470)</f>
        <v>13481770</v>
      </c>
      <c r="D106" s="13">
        <f>SUMIF(sigaf!$B$2:$B$470,$A106,sigaf!$G$2:$G$470)</f>
        <v>8981770</v>
      </c>
      <c r="E106" s="13">
        <f>SUMIF(sigaf!$B$2:$B$470,$A106,sigaf!$H$2:$H$470)</f>
        <v>0</v>
      </c>
      <c r="F106" s="66">
        <f t="shared" si="22"/>
        <v>0</v>
      </c>
      <c r="G106" s="130">
        <f>SUMIF(sigaf!$B$2:$B$470,$A106,sigaf!$I$2:$I$470)</f>
        <v>0</v>
      </c>
      <c r="H106" s="66">
        <f t="shared" si="23"/>
        <v>0</v>
      </c>
      <c r="I106" s="13">
        <f>SUMIF(sigaf!$B$2:$B$470,$A106,sigaf!$J$2:$J$470)</f>
        <v>0</v>
      </c>
      <c r="J106" s="66">
        <f t="shared" si="23"/>
        <v>0</v>
      </c>
      <c r="K106" s="13">
        <f>SUMIF(sigaf!$B$2:$B$470,$A106,sigaf!$K$2:$K$470)</f>
        <v>6395193.4100000001</v>
      </c>
      <c r="L106" s="139">
        <f t="shared" si="27"/>
        <v>0.47435859015544696</v>
      </c>
      <c r="M106" s="13">
        <f>SUMIF(sigaf!$B$2:$B$470,$A106,sigaf!$L$2:$L$470)</f>
        <v>5739887.0199999996</v>
      </c>
      <c r="N106" s="66">
        <f t="shared" si="24"/>
        <v>0.42575173882954537</v>
      </c>
      <c r="O106" s="85">
        <f>SUMIF(sigaf!$B$2:$B$470,$A106,sigaf!$M$2:$M$470)</f>
        <v>7086576.5899999999</v>
      </c>
      <c r="P106" s="66">
        <f t="shared" si="25"/>
        <v>0.52564140984455299</v>
      </c>
      <c r="Q106" s="13">
        <f>SUMIF(sigaf!$B$2:$B$470,$A106,sigaf!$N$2:$N$470)</f>
        <v>2586576.59</v>
      </c>
      <c r="R106" s="66">
        <f t="shared" si="26"/>
        <v>0.19185734439914046</v>
      </c>
    </row>
    <row r="107" spans="1:18" x14ac:dyDescent="0.25">
      <c r="A107" s="11" t="s">
        <v>186</v>
      </c>
      <c r="B107" s="11" t="s">
        <v>465</v>
      </c>
      <c r="C107" s="13">
        <f>SUMIF(sigaf!$B$2:$B$470,$A107,sigaf!$F$2:$F$470)</f>
        <v>23705953</v>
      </c>
      <c r="D107" s="13">
        <f>SUMIF(sigaf!$B$2:$B$470,$A107,sigaf!$G$2:$G$470)</f>
        <v>23705953</v>
      </c>
      <c r="E107" s="13">
        <f>SUMIF(sigaf!$B$2:$B$470,$A107,sigaf!$H$2:$H$470)</f>
        <v>0</v>
      </c>
      <c r="F107" s="66">
        <f t="shared" si="22"/>
        <v>0</v>
      </c>
      <c r="G107" s="130">
        <f>SUMIF(sigaf!$B$2:$B$470,$A107,sigaf!$I$2:$I$470)</f>
        <v>0</v>
      </c>
      <c r="H107" s="66">
        <f t="shared" si="23"/>
        <v>0</v>
      </c>
      <c r="I107" s="13">
        <f>SUMIF(sigaf!$B$2:$B$470,$A107,sigaf!$J$2:$J$470)</f>
        <v>0</v>
      </c>
      <c r="J107" s="66">
        <f t="shared" si="23"/>
        <v>0</v>
      </c>
      <c r="K107" s="13">
        <f>SUMIF(sigaf!$B$2:$B$470,$A107,sigaf!$K$2:$K$470)</f>
        <v>16179780.920000002</v>
      </c>
      <c r="L107" s="139">
        <f t="shared" si="27"/>
        <v>0.68251974177119146</v>
      </c>
      <c r="M107" s="13">
        <f>SUMIF(sigaf!$B$2:$B$470,$A107,sigaf!$L$2:$L$470)</f>
        <v>12290653.48</v>
      </c>
      <c r="N107" s="66">
        <f t="shared" si="24"/>
        <v>0.51846274562343053</v>
      </c>
      <c r="O107" s="85">
        <f>SUMIF(sigaf!$B$2:$B$470,$A107,sigaf!$M$2:$M$470)</f>
        <v>7526172.0800000001</v>
      </c>
      <c r="P107" s="66">
        <f t="shared" si="25"/>
        <v>0.3174802582288086</v>
      </c>
      <c r="Q107" s="13">
        <f>SUMIF(sigaf!$B$2:$B$470,$A107,sigaf!$N$2:$N$470)</f>
        <v>7526172.0800000001</v>
      </c>
      <c r="R107" s="66">
        <f t="shared" si="26"/>
        <v>0.3174802582288086</v>
      </c>
    </row>
    <row r="108" spans="1:18" x14ac:dyDescent="0.25">
      <c r="A108" s="11" t="s">
        <v>188</v>
      </c>
      <c r="B108" s="11" t="s">
        <v>466</v>
      </c>
      <c r="C108" s="13">
        <f>SUMIF(sigaf!$B$2:$B$470,$A108,sigaf!$F$2:$F$470)</f>
        <v>68909737</v>
      </c>
      <c r="D108" s="13">
        <f>SUMIF(sigaf!$B$2:$B$470,$A108,sigaf!$G$2:$G$470)</f>
        <v>68909737</v>
      </c>
      <c r="E108" s="13">
        <f>SUMIF(sigaf!$B$2:$B$470,$A108,sigaf!$H$2:$H$470)</f>
        <v>0</v>
      </c>
      <c r="F108" s="66">
        <f t="shared" si="22"/>
        <v>0</v>
      </c>
      <c r="G108" s="130">
        <f>SUMIF(sigaf!$B$2:$B$470,$A108,sigaf!$I$2:$I$470)</f>
        <v>0</v>
      </c>
      <c r="H108" s="66">
        <f t="shared" si="23"/>
        <v>0</v>
      </c>
      <c r="I108" s="13">
        <f>SUMIF(sigaf!$B$2:$B$470,$A108,sigaf!$J$2:$J$470)</f>
        <v>0</v>
      </c>
      <c r="J108" s="66">
        <f t="shared" si="23"/>
        <v>0</v>
      </c>
      <c r="K108" s="13">
        <f>SUMIF(sigaf!$B$2:$B$470,$A108,sigaf!$K$2:$K$470)</f>
        <v>49444845.780000001</v>
      </c>
      <c r="L108" s="139">
        <f t="shared" si="27"/>
        <v>0.71753061225585579</v>
      </c>
      <c r="M108" s="13">
        <f>SUMIF(sigaf!$B$2:$B$470,$A108,sigaf!$L$2:$L$470)</f>
        <v>28319643.420000002</v>
      </c>
      <c r="N108" s="66">
        <f t="shared" si="24"/>
        <v>0.41096722542998532</v>
      </c>
      <c r="O108" s="85">
        <f>SUMIF(sigaf!$B$2:$B$470,$A108,sigaf!$M$2:$M$470)</f>
        <v>19464891.219999999</v>
      </c>
      <c r="P108" s="66">
        <f t="shared" si="25"/>
        <v>0.28246938774414421</v>
      </c>
      <c r="Q108" s="13">
        <f>SUMIF(sigaf!$B$2:$B$470,$A108,sigaf!$N$2:$N$470)</f>
        <v>19464891.219999999</v>
      </c>
      <c r="R108" s="66">
        <f t="shared" si="26"/>
        <v>0.28246938774414421</v>
      </c>
    </row>
    <row r="109" spans="1:18" x14ac:dyDescent="0.25">
      <c r="A109" s="11" t="s">
        <v>190</v>
      </c>
      <c r="B109" s="11" t="s">
        <v>467</v>
      </c>
      <c r="C109" s="13">
        <f>SUMIF(sigaf!$B$2:$B$470,$A109,sigaf!$F$2:$F$470)</f>
        <v>139715483</v>
      </c>
      <c r="D109" s="13">
        <f>SUMIF(sigaf!$B$2:$B$470,$A109,sigaf!$G$2:$G$470)</f>
        <v>139715483</v>
      </c>
      <c r="E109" s="13">
        <f>SUMIF(sigaf!$B$2:$B$470,$A109,sigaf!$H$2:$H$470)</f>
        <v>0</v>
      </c>
      <c r="F109" s="66">
        <f t="shared" si="22"/>
        <v>0</v>
      </c>
      <c r="G109" s="130">
        <f>SUMIF(sigaf!$B$2:$B$470,$A109,sigaf!$I$2:$I$470)</f>
        <v>0</v>
      </c>
      <c r="H109" s="66">
        <f t="shared" si="23"/>
        <v>0</v>
      </c>
      <c r="I109" s="13">
        <f>SUMIF(sigaf!$B$2:$B$470,$A109,sigaf!$J$2:$J$470)</f>
        <v>0</v>
      </c>
      <c r="J109" s="66">
        <f t="shared" si="23"/>
        <v>0</v>
      </c>
      <c r="K109" s="13">
        <f>SUMIF(sigaf!$B$2:$B$470,$A109,sigaf!$K$2:$K$470)</f>
        <v>96092390.820000008</v>
      </c>
      <c r="L109" s="139">
        <f t="shared" si="27"/>
        <v>0.68777195452274964</v>
      </c>
      <c r="M109" s="13">
        <f>SUMIF(sigaf!$B$2:$B$470,$A109,sigaf!$L$2:$L$470)</f>
        <v>86095648.160000011</v>
      </c>
      <c r="N109" s="66">
        <f t="shared" si="24"/>
        <v>0.61622123984640997</v>
      </c>
      <c r="O109" s="85">
        <f>SUMIF(sigaf!$B$2:$B$470,$A109,sigaf!$M$2:$M$470)</f>
        <v>43623092.18</v>
      </c>
      <c r="P109" s="66">
        <f t="shared" si="25"/>
        <v>0.31222804547725036</v>
      </c>
      <c r="Q109" s="13">
        <f>SUMIF(sigaf!$B$2:$B$470,$A109,sigaf!$N$2:$N$470)</f>
        <v>43623092.18</v>
      </c>
      <c r="R109" s="66">
        <f t="shared" si="26"/>
        <v>0.31222804547725036</v>
      </c>
    </row>
    <row r="110" spans="1:18" x14ac:dyDescent="0.25">
      <c r="A110" s="11" t="s">
        <v>192</v>
      </c>
      <c r="B110" s="11" t="s">
        <v>193</v>
      </c>
      <c r="C110" s="13">
        <f>SUMIF(sigaf!$B$2:$B$470,$A110,sigaf!$F$2:$F$470)</f>
        <v>13965838</v>
      </c>
      <c r="D110" s="13">
        <f>SUMIF(sigaf!$B$2:$B$470,$A110,sigaf!$G$2:$G$470)</f>
        <v>13965838</v>
      </c>
      <c r="E110" s="13">
        <f>SUMIF(sigaf!$B$2:$B$470,$A110,sigaf!$H$2:$H$470)</f>
        <v>0</v>
      </c>
      <c r="F110" s="66">
        <f t="shared" si="22"/>
        <v>0</v>
      </c>
      <c r="G110" s="130">
        <f>SUMIF(sigaf!$B$2:$B$470,$A110,sigaf!$I$2:$I$470)</f>
        <v>0</v>
      </c>
      <c r="H110" s="66">
        <f t="shared" si="23"/>
        <v>0</v>
      </c>
      <c r="I110" s="13">
        <f>SUMIF(sigaf!$B$2:$B$470,$A110,sigaf!$J$2:$J$470)</f>
        <v>0</v>
      </c>
      <c r="J110" s="66">
        <f t="shared" si="23"/>
        <v>0</v>
      </c>
      <c r="K110" s="13">
        <f>SUMIF(sigaf!$B$2:$B$470,$A110,sigaf!$K$2:$K$470)</f>
        <v>12192585</v>
      </c>
      <c r="L110" s="139">
        <f t="shared" si="27"/>
        <v>0.8730292446468304</v>
      </c>
      <c r="M110" s="13">
        <f>SUMIF(sigaf!$B$2:$B$470,$A110,sigaf!$L$2:$L$470)</f>
        <v>752091</v>
      </c>
      <c r="N110" s="66">
        <f t="shared" si="24"/>
        <v>5.3852192757785106E-2</v>
      </c>
      <c r="O110" s="85">
        <f>SUMIF(sigaf!$B$2:$B$470,$A110,sigaf!$M$2:$M$470)</f>
        <v>1773253</v>
      </c>
      <c r="P110" s="66">
        <f t="shared" si="25"/>
        <v>0.12697075535316965</v>
      </c>
      <c r="Q110" s="13">
        <f>SUMIF(sigaf!$B$2:$B$470,$A110,sigaf!$N$2:$N$470)</f>
        <v>1773253</v>
      </c>
      <c r="R110" s="66">
        <f t="shared" si="26"/>
        <v>0.12697075535316965</v>
      </c>
    </row>
    <row r="111" spans="1:18" x14ac:dyDescent="0.25">
      <c r="A111" s="11" t="s">
        <v>194</v>
      </c>
      <c r="B111" s="11" t="s">
        <v>468</v>
      </c>
      <c r="C111" s="13">
        <f>SUMIF(sigaf!$B$2:$B$470,$A111,sigaf!$F$2:$F$470)</f>
        <v>13965838</v>
      </c>
      <c r="D111" s="13">
        <f>SUMIF(sigaf!$B$2:$B$470,$A111,sigaf!$G$2:$G$470)</f>
        <v>13965838</v>
      </c>
      <c r="E111" s="13">
        <f>SUMIF(sigaf!$B$2:$B$470,$A111,sigaf!$H$2:$H$470)</f>
        <v>0</v>
      </c>
      <c r="F111" s="66">
        <f t="shared" si="22"/>
        <v>0</v>
      </c>
      <c r="G111" s="130">
        <f>SUMIF(sigaf!$B$2:$B$470,$A111,sigaf!$I$2:$I$470)</f>
        <v>0</v>
      </c>
      <c r="H111" s="66">
        <f t="shared" si="23"/>
        <v>0</v>
      </c>
      <c r="I111" s="13">
        <f>SUMIF(sigaf!$B$2:$B$470,$A111,sigaf!$J$2:$J$470)</f>
        <v>0</v>
      </c>
      <c r="J111" s="66">
        <f t="shared" si="23"/>
        <v>0</v>
      </c>
      <c r="K111" s="13">
        <f>SUMIF(sigaf!$B$2:$B$470,$A111,sigaf!$K$2:$K$470)</f>
        <v>12192585</v>
      </c>
      <c r="L111" s="139">
        <f t="shared" si="27"/>
        <v>0.8730292446468304</v>
      </c>
      <c r="M111" s="13">
        <f>SUMIF(sigaf!$B$2:$B$470,$A111,sigaf!$L$2:$L$470)</f>
        <v>752091</v>
      </c>
      <c r="N111" s="66">
        <f t="shared" si="24"/>
        <v>5.3852192757785106E-2</v>
      </c>
      <c r="O111" s="85">
        <f>SUMIF(sigaf!$B$2:$B$470,$A111,sigaf!$M$2:$M$470)</f>
        <v>1773253</v>
      </c>
      <c r="P111" s="66">
        <f t="shared" si="25"/>
        <v>0.12697075535316965</v>
      </c>
      <c r="Q111" s="13">
        <f>SUMIF(sigaf!$B$2:$B$470,$A111,sigaf!$N$2:$N$470)</f>
        <v>1773253</v>
      </c>
      <c r="R111" s="66">
        <f t="shared" si="26"/>
        <v>0.12697075535316965</v>
      </c>
    </row>
    <row r="112" spans="1:18" x14ac:dyDescent="0.25">
      <c r="A112" s="11" t="s">
        <v>196</v>
      </c>
      <c r="B112" s="11" t="s">
        <v>197</v>
      </c>
      <c r="C112" s="13">
        <f>SUMIF(sigaf!$B$2:$B$470,$A112,sigaf!$F$2:$F$470)</f>
        <v>77319190.709999993</v>
      </c>
      <c r="D112" s="13">
        <f>SUMIF(sigaf!$B$2:$B$470,$A112,sigaf!$G$2:$G$470)</f>
        <v>77319190.709999993</v>
      </c>
      <c r="E112" s="13">
        <f>SUMIF(sigaf!$B$2:$B$470,$A112,sigaf!$H$2:$H$470)</f>
        <v>0</v>
      </c>
      <c r="F112" s="66">
        <f t="shared" si="22"/>
        <v>0</v>
      </c>
      <c r="G112" s="130">
        <f>SUMIF(sigaf!$B$2:$B$470,$A112,sigaf!$I$2:$I$470)</f>
        <v>0</v>
      </c>
      <c r="H112" s="66">
        <f t="shared" si="23"/>
        <v>0</v>
      </c>
      <c r="I112" s="13">
        <f>SUMIF(sigaf!$B$2:$B$470,$A112,sigaf!$J$2:$J$470)</f>
        <v>0</v>
      </c>
      <c r="J112" s="66">
        <f t="shared" si="23"/>
        <v>0</v>
      </c>
      <c r="K112" s="13">
        <f>SUMIF(sigaf!$B$2:$B$470,$A112,sigaf!$K$2:$K$470)</f>
        <v>19952169.27</v>
      </c>
      <c r="L112" s="139">
        <f t="shared" si="27"/>
        <v>0.25804938058436644</v>
      </c>
      <c r="M112" s="13">
        <f>SUMIF(sigaf!$B$2:$B$470,$A112,sigaf!$L$2:$L$470)</f>
        <v>19752169.27</v>
      </c>
      <c r="N112" s="66">
        <f t="shared" si="24"/>
        <v>0.25546270063901966</v>
      </c>
      <c r="O112" s="85">
        <f>SUMIF(sigaf!$B$2:$B$470,$A112,sigaf!$M$2:$M$470)</f>
        <v>57367021.439999998</v>
      </c>
      <c r="P112" s="66">
        <f t="shared" si="25"/>
        <v>0.74195061941563356</v>
      </c>
      <c r="Q112" s="13">
        <f>SUMIF(sigaf!$B$2:$B$470,$A112,sigaf!$N$2:$N$470)</f>
        <v>57367021.439999998</v>
      </c>
      <c r="R112" s="66">
        <f t="shared" si="26"/>
        <v>0.74195061941563356</v>
      </c>
    </row>
    <row r="113" spans="1:19" x14ac:dyDescent="0.25">
      <c r="A113" s="11" t="s">
        <v>360</v>
      </c>
      <c r="B113" s="11" t="s">
        <v>469</v>
      </c>
      <c r="C113" s="13">
        <f>SUMIF(sigaf!$B$2:$B$470,$A113,sigaf!$F$2:$F$470)</f>
        <v>5000000</v>
      </c>
      <c r="D113" s="13">
        <f>SUMIF(sigaf!$B$2:$B$470,$A113,sigaf!$G$2:$G$470)</f>
        <v>5000000</v>
      </c>
      <c r="E113" s="13">
        <f>SUMIF(sigaf!$B$2:$B$470,$A113,sigaf!$H$2:$H$470)</f>
        <v>0</v>
      </c>
      <c r="F113" s="66">
        <f t="shared" si="22"/>
        <v>0</v>
      </c>
      <c r="G113" s="130">
        <f>SUMIF(sigaf!$B$2:$B$470,$A113,sigaf!$I$2:$I$470)</f>
        <v>0</v>
      </c>
      <c r="H113" s="66">
        <f t="shared" si="23"/>
        <v>0</v>
      </c>
      <c r="I113" s="13">
        <f>SUMIF(sigaf!$B$2:$B$470,$A113,sigaf!$J$2:$J$470)</f>
        <v>0</v>
      </c>
      <c r="J113" s="66">
        <f t="shared" si="23"/>
        <v>0</v>
      </c>
      <c r="K113" s="13">
        <f>SUMIF(sigaf!$B$2:$B$470,$A113,sigaf!$K$2:$K$470)</f>
        <v>3986646.23</v>
      </c>
      <c r="L113" s="139">
        <f t="shared" si="27"/>
        <v>0.79732924599999999</v>
      </c>
      <c r="M113" s="13">
        <f>SUMIF(sigaf!$B$2:$B$470,$A113,sigaf!$L$2:$L$470)</f>
        <v>3986646.23</v>
      </c>
      <c r="N113" s="66">
        <f t="shared" si="24"/>
        <v>0.79732924599999999</v>
      </c>
      <c r="O113" s="85">
        <f>SUMIF(sigaf!$B$2:$B$470,$A113,sigaf!$M$2:$M$470)</f>
        <v>1013353.77</v>
      </c>
      <c r="P113" s="66">
        <f t="shared" si="25"/>
        <v>0.20267075400000001</v>
      </c>
      <c r="Q113" s="13">
        <f>SUMIF(sigaf!$B$2:$B$470,$A113,sigaf!$N$2:$N$470)</f>
        <v>1013353.77</v>
      </c>
      <c r="R113" s="66">
        <f t="shared" si="26"/>
        <v>0.20267075400000001</v>
      </c>
    </row>
    <row r="114" spans="1:19" x14ac:dyDescent="0.25">
      <c r="A114" s="11" t="s">
        <v>334</v>
      </c>
      <c r="B114" s="11" t="s">
        <v>470</v>
      </c>
      <c r="C114" s="13">
        <f>SUMIF(sigaf!$B$2:$B$470,$A114,sigaf!$F$2:$F$470)</f>
        <v>53671460.710000001</v>
      </c>
      <c r="D114" s="13">
        <f>SUMIF(sigaf!$B$2:$B$470,$A114,sigaf!$G$2:$G$470)</f>
        <v>53671460.710000001</v>
      </c>
      <c r="E114" s="13">
        <f>SUMIF(sigaf!$B$2:$B$470,$A114,sigaf!$H$2:$H$470)</f>
        <v>0</v>
      </c>
      <c r="F114" s="66">
        <f t="shared" si="22"/>
        <v>0</v>
      </c>
      <c r="G114" s="130">
        <f>SUMIF(sigaf!$B$2:$B$470,$A114,sigaf!$I$2:$I$470)</f>
        <v>0</v>
      </c>
      <c r="H114" s="66">
        <f t="shared" si="23"/>
        <v>0</v>
      </c>
      <c r="I114" s="13">
        <f>SUMIF(sigaf!$B$2:$B$470,$A114,sigaf!$J$2:$J$470)</f>
        <v>0</v>
      </c>
      <c r="J114" s="66">
        <f t="shared" si="23"/>
        <v>0</v>
      </c>
      <c r="K114" s="13">
        <f>SUMIF(sigaf!$B$2:$B$470,$A114,sigaf!$K$2:$K$470)</f>
        <v>3313284.04</v>
      </c>
      <c r="L114" s="139">
        <f t="shared" si="27"/>
        <v>6.1732697343612135E-2</v>
      </c>
      <c r="M114" s="13">
        <f>SUMIF(sigaf!$B$2:$B$470,$A114,sigaf!$L$2:$L$470)</f>
        <v>3313284.04</v>
      </c>
      <c r="N114" s="66">
        <f t="shared" si="24"/>
        <v>6.1732697343612135E-2</v>
      </c>
      <c r="O114" s="85">
        <f>SUMIF(sigaf!$B$2:$B$470,$A114,sigaf!$M$2:$M$470)</f>
        <v>50358176.670000002</v>
      </c>
      <c r="P114" s="66">
        <f t="shared" si="25"/>
        <v>0.93826730265638791</v>
      </c>
      <c r="Q114" s="13">
        <f>SUMIF(sigaf!$B$2:$B$470,$A114,sigaf!$N$2:$N$470)</f>
        <v>50358176.670000002</v>
      </c>
      <c r="R114" s="66">
        <f t="shared" si="26"/>
        <v>0.93826730265638791</v>
      </c>
    </row>
    <row r="115" spans="1:19" x14ac:dyDescent="0.25">
      <c r="A115" s="11" t="s">
        <v>198</v>
      </c>
      <c r="B115" s="11" t="s">
        <v>199</v>
      </c>
      <c r="C115" s="13">
        <f>SUMIF(sigaf!$B$2:$B$470,$A115,sigaf!$F$2:$F$470)</f>
        <v>18647730</v>
      </c>
      <c r="D115" s="13">
        <f>SUMIF(sigaf!$B$2:$B$470,$A115,sigaf!$G$2:$G$470)</f>
        <v>18647730</v>
      </c>
      <c r="E115" s="13">
        <f>SUMIF(sigaf!$B$2:$B$470,$A115,sigaf!$H$2:$H$470)</f>
        <v>0</v>
      </c>
      <c r="F115" s="66">
        <f t="shared" si="22"/>
        <v>0</v>
      </c>
      <c r="G115" s="130">
        <f>SUMIF(sigaf!$B$2:$B$470,$A115,sigaf!$I$2:$I$470)</f>
        <v>0</v>
      </c>
      <c r="H115" s="66">
        <f t="shared" si="23"/>
        <v>0</v>
      </c>
      <c r="I115" s="13">
        <f>SUMIF(sigaf!$B$2:$B$470,$A115,sigaf!$J$2:$J$470)</f>
        <v>0</v>
      </c>
      <c r="J115" s="66">
        <f t="shared" si="23"/>
        <v>0</v>
      </c>
      <c r="K115" s="13">
        <f>SUMIF(sigaf!$B$2:$B$470,$A115,sigaf!$K$2:$K$470)</f>
        <v>12652239</v>
      </c>
      <c r="L115" s="139">
        <f t="shared" si="27"/>
        <v>0.67848681850284187</v>
      </c>
      <c r="M115" s="13">
        <f>SUMIF(sigaf!$B$2:$B$470,$A115,sigaf!$L$2:$L$470)</f>
        <v>12452239</v>
      </c>
      <c r="N115" s="66">
        <f t="shared" si="24"/>
        <v>0.66776165249067854</v>
      </c>
      <c r="O115" s="85">
        <f>SUMIF(sigaf!$B$2:$B$470,$A115,sigaf!$M$2:$M$470)</f>
        <v>5995491</v>
      </c>
      <c r="P115" s="66">
        <f t="shared" si="25"/>
        <v>0.32151318149715807</v>
      </c>
      <c r="Q115" s="13">
        <f>SUMIF(sigaf!$B$2:$B$470,$A115,sigaf!$N$2:$N$470)</f>
        <v>5995491</v>
      </c>
      <c r="R115" s="66">
        <f t="shared" si="26"/>
        <v>0.32151318149715807</v>
      </c>
    </row>
    <row r="116" spans="1:19" s="23" customFormat="1" x14ac:dyDescent="0.25">
      <c r="A116" s="21" t="s">
        <v>200</v>
      </c>
      <c r="B116" s="21" t="s">
        <v>471</v>
      </c>
      <c r="C116" s="35">
        <f>SUMIF(sigaf!$B$2:$B$470,$A116,sigaf!$F$2:$F$470)</f>
        <v>14210989756</v>
      </c>
      <c r="D116" s="13">
        <f>SUMIF(sigaf!$B$2:$B$470,$A116,sigaf!$G$2:$G$470)</f>
        <v>14210989756</v>
      </c>
      <c r="E116" s="13">
        <f>SUMIF(sigaf!$B$2:$B$470,$A116,sigaf!$H$2:$H$470)</f>
        <v>0</v>
      </c>
      <c r="F116" s="65">
        <f t="shared" si="22"/>
        <v>0</v>
      </c>
      <c r="G116" s="130">
        <f>SUMIF(sigaf!$B$2:$B$470,$A116,sigaf!$I$2:$I$470)</f>
        <v>0</v>
      </c>
      <c r="H116" s="65">
        <f t="shared" si="23"/>
        <v>0</v>
      </c>
      <c r="I116" s="13">
        <f>SUMIF(sigaf!$B$2:$B$470,$A116,sigaf!$J$2:$J$470)</f>
        <v>0</v>
      </c>
      <c r="J116" s="65">
        <f t="shared" si="23"/>
        <v>0</v>
      </c>
      <c r="K116" s="13">
        <f>SUMIF(sigaf!$B$2:$B$470,$A116,sigaf!$K$2:$K$470)</f>
        <v>12787585774.42</v>
      </c>
      <c r="L116" s="138">
        <f t="shared" si="27"/>
        <v>0.89983780116518441</v>
      </c>
      <c r="M116" s="13">
        <f>SUMIF(sigaf!$B$2:$B$470,$A116,sigaf!$L$2:$L$470)</f>
        <v>12355951713.209999</v>
      </c>
      <c r="N116" s="65">
        <f t="shared" si="24"/>
        <v>0.8694645429600153</v>
      </c>
      <c r="O116" s="85">
        <f>SUMIF(sigaf!$B$2:$B$470,$A116,sigaf!$M$2:$M$470)</f>
        <v>1423403981.5800002</v>
      </c>
      <c r="P116" s="65">
        <f t="shared" si="25"/>
        <v>0.10016219883481564</v>
      </c>
      <c r="Q116" s="13">
        <f>SUMIF(sigaf!$B$2:$B$470,$A116,sigaf!$N$2:$N$470)</f>
        <v>1423403981.5800002</v>
      </c>
      <c r="R116" s="65">
        <f t="shared" si="26"/>
        <v>0.10016219883481564</v>
      </c>
      <c r="S116" s="128"/>
    </row>
    <row r="117" spans="1:19" x14ac:dyDescent="0.25">
      <c r="A117" s="11" t="s">
        <v>202</v>
      </c>
      <c r="B117" s="11" t="s">
        <v>472</v>
      </c>
      <c r="C117" s="13">
        <f>SUMIF(sigaf!$B$2:$B$470,$A117,sigaf!$F$2:$F$470)</f>
        <v>860168068</v>
      </c>
      <c r="D117" s="13">
        <f>SUMIF(sigaf!$B$2:$B$470,$A117,sigaf!$G$2:$G$470)</f>
        <v>860168068</v>
      </c>
      <c r="E117" s="13">
        <f>SUMIF(sigaf!$B$2:$B$470,$A117,sigaf!$H$2:$H$470)</f>
        <v>0</v>
      </c>
      <c r="F117" s="66">
        <f t="shared" si="22"/>
        <v>0</v>
      </c>
      <c r="G117" s="130">
        <f>SUMIF(sigaf!$B$2:$B$470,$A117,sigaf!$I$2:$I$470)</f>
        <v>0</v>
      </c>
      <c r="H117" s="66">
        <f t="shared" si="23"/>
        <v>0</v>
      </c>
      <c r="I117" s="13">
        <f>SUMIF(sigaf!$B$2:$B$470,$A117,sigaf!$J$2:$J$470)</f>
        <v>0</v>
      </c>
      <c r="J117" s="66">
        <f t="shared" si="23"/>
        <v>0</v>
      </c>
      <c r="K117" s="13">
        <f>SUMIF(sigaf!$B$2:$B$470,$A117,sigaf!$K$2:$K$470)</f>
        <v>775123828.31000006</v>
      </c>
      <c r="L117" s="139">
        <f t="shared" si="27"/>
        <v>0.90113067102370048</v>
      </c>
      <c r="M117" s="13">
        <f>SUMIF(sigaf!$B$2:$B$470,$A117,sigaf!$L$2:$L$470)</f>
        <v>753896928.46000004</v>
      </c>
      <c r="N117" s="66">
        <f t="shared" si="24"/>
        <v>0.87645305203308244</v>
      </c>
      <c r="O117" s="85">
        <f>SUMIF(sigaf!$B$2:$B$470,$A117,sigaf!$M$2:$M$470)</f>
        <v>85044239.689999998</v>
      </c>
      <c r="P117" s="66">
        <f t="shared" si="25"/>
        <v>9.8869328976299548E-2</v>
      </c>
      <c r="Q117" s="13">
        <f>SUMIF(sigaf!$B$2:$B$470,$A117,sigaf!$N$2:$N$470)</f>
        <v>85044239.689999998</v>
      </c>
      <c r="R117" s="66">
        <f t="shared" si="26"/>
        <v>9.8869328976299548E-2</v>
      </c>
      <c r="S117" s="129">
        <f>+S116/D10</f>
        <v>0</v>
      </c>
    </row>
    <row r="118" spans="1:19" x14ac:dyDescent="0.25">
      <c r="A118" s="11" t="s">
        <v>204</v>
      </c>
      <c r="B118" s="11" t="s">
        <v>473</v>
      </c>
      <c r="C118" s="13">
        <f>SUMIF(sigaf!$B$2:$B$470,$A118,sigaf!$F$2:$F$470)</f>
        <v>627099030</v>
      </c>
      <c r="D118" s="13">
        <f>SUMIF(sigaf!$B$2:$B$470,$A118,sigaf!$G$2:$G$470)</f>
        <v>627099030</v>
      </c>
      <c r="E118" s="13">
        <f>SUMIF(sigaf!$B$2:$B$470,$A118,sigaf!$H$2:$H$470)</f>
        <v>0</v>
      </c>
      <c r="F118" s="66">
        <f t="shared" si="22"/>
        <v>0</v>
      </c>
      <c r="G118" s="130">
        <f>SUMIF(sigaf!$B$2:$B$470,$A118,sigaf!$I$2:$I$470)</f>
        <v>0</v>
      </c>
      <c r="H118" s="66">
        <f t="shared" si="23"/>
        <v>0</v>
      </c>
      <c r="I118" s="13">
        <f>SUMIF(sigaf!$B$2:$B$470,$A118,sigaf!$J$2:$J$470)</f>
        <v>0</v>
      </c>
      <c r="J118" s="66">
        <f t="shared" si="23"/>
        <v>0</v>
      </c>
      <c r="K118" s="13">
        <f>SUMIF(sigaf!$B$2:$B$470,$A118,sigaf!$K$2:$K$470)</f>
        <v>586433171.73000002</v>
      </c>
      <c r="L118" s="139">
        <f t="shared" si="27"/>
        <v>0.93515241401346139</v>
      </c>
      <c r="M118" s="13">
        <f>SUMIF(sigaf!$B$2:$B$470,$A118,sigaf!$L$2:$L$470)</f>
        <v>581985731.45000005</v>
      </c>
      <c r="N118" s="66">
        <f t="shared" si="24"/>
        <v>0.92806032796765781</v>
      </c>
      <c r="O118" s="85">
        <f>SUMIF(sigaf!$B$2:$B$470,$A118,sigaf!$M$2:$M$470)</f>
        <v>40665858.269999996</v>
      </c>
      <c r="P118" s="66">
        <f t="shared" si="25"/>
        <v>6.4847585986538669E-2</v>
      </c>
      <c r="Q118" s="13">
        <f>SUMIF(sigaf!$B$2:$B$470,$A118,sigaf!$N$2:$N$470)</f>
        <v>40665858.269999996</v>
      </c>
      <c r="R118" s="66">
        <f t="shared" si="26"/>
        <v>6.4847585986538669E-2</v>
      </c>
    </row>
    <row r="119" spans="1:19" x14ac:dyDescent="0.25">
      <c r="A119" s="11" t="s">
        <v>206</v>
      </c>
      <c r="B119" s="11" t="s">
        <v>474</v>
      </c>
      <c r="C119" s="13">
        <f>SUMIF(sigaf!$B$2:$B$470,$A119,sigaf!$F$2:$F$470)</f>
        <v>186224905</v>
      </c>
      <c r="D119" s="13">
        <f>SUMIF(sigaf!$B$2:$B$470,$A119,sigaf!$G$2:$G$470)</f>
        <v>186224905</v>
      </c>
      <c r="E119" s="13">
        <f>SUMIF(sigaf!$B$2:$B$470,$A119,sigaf!$H$2:$H$470)</f>
        <v>0</v>
      </c>
      <c r="F119" s="66">
        <f t="shared" si="22"/>
        <v>0</v>
      </c>
      <c r="G119" s="130">
        <f>SUMIF(sigaf!$B$2:$B$470,$A119,sigaf!$I$2:$I$470)</f>
        <v>0</v>
      </c>
      <c r="H119" s="66">
        <f t="shared" si="23"/>
        <v>0</v>
      </c>
      <c r="I119" s="13">
        <f>SUMIF(sigaf!$B$2:$B$470,$A119,sigaf!$J$2:$J$470)</f>
        <v>0</v>
      </c>
      <c r="J119" s="66">
        <f t="shared" si="23"/>
        <v>0</v>
      </c>
      <c r="K119" s="13">
        <f>SUMIF(sigaf!$B$2:$B$470,$A119,sigaf!$K$2:$K$470)</f>
        <v>157480705</v>
      </c>
      <c r="L119" s="139">
        <f t="shared" si="27"/>
        <v>0.84564792770333275</v>
      </c>
      <c r="M119" s="13">
        <f>SUMIF(sigaf!$B$2:$B$470,$A119,sigaf!$L$2:$L$470)</f>
        <v>142476705</v>
      </c>
      <c r="N119" s="66">
        <f t="shared" si="24"/>
        <v>0.76507868268210422</v>
      </c>
      <c r="O119" s="85">
        <f>SUMIF(sigaf!$B$2:$B$470,$A119,sigaf!$M$2:$M$470)</f>
        <v>28744200</v>
      </c>
      <c r="P119" s="66">
        <f t="shared" si="25"/>
        <v>0.15435207229666731</v>
      </c>
      <c r="Q119" s="13">
        <f>SUMIF(sigaf!$B$2:$B$470,$A119,sigaf!$N$2:$N$470)</f>
        <v>28744200</v>
      </c>
      <c r="R119" s="66">
        <f t="shared" si="26"/>
        <v>0.15435207229666731</v>
      </c>
    </row>
    <row r="120" spans="1:19" x14ac:dyDescent="0.25">
      <c r="A120" s="11" t="s">
        <v>362</v>
      </c>
      <c r="B120" s="11" t="s">
        <v>475</v>
      </c>
      <c r="C120" s="13">
        <f>SUMIF(sigaf!$B$2:$B$470,$A120,sigaf!$F$2:$F$470)</f>
        <v>2674000</v>
      </c>
      <c r="D120" s="13">
        <f>SUMIF(sigaf!$B$2:$B$470,$A120,sigaf!$G$2:$G$470)</f>
        <v>2674000</v>
      </c>
      <c r="E120" s="13">
        <f>SUMIF(sigaf!$B$2:$B$470,$A120,sigaf!$H$2:$H$470)</f>
        <v>0</v>
      </c>
      <c r="F120" s="66">
        <f t="shared" si="22"/>
        <v>0</v>
      </c>
      <c r="G120" s="130">
        <f>SUMIF(sigaf!$B$2:$B$470,$A120,sigaf!$I$2:$I$470)</f>
        <v>0</v>
      </c>
      <c r="H120" s="66">
        <f t="shared" si="23"/>
        <v>0</v>
      </c>
      <c r="I120" s="13">
        <f>SUMIF(sigaf!$B$2:$B$470,$A120,sigaf!$J$2:$J$470)</f>
        <v>0</v>
      </c>
      <c r="J120" s="66">
        <f t="shared" si="23"/>
        <v>0</v>
      </c>
      <c r="K120" s="13">
        <f>SUMIF(sigaf!$B$2:$B$470,$A120,sigaf!$K$2:$K$470)</f>
        <v>77925</v>
      </c>
      <c r="L120" s="139">
        <f t="shared" si="27"/>
        <v>2.9141735228122662E-2</v>
      </c>
      <c r="M120" s="13">
        <f>SUMIF(sigaf!$B$2:$B$470,$A120,sigaf!$L$2:$L$470)</f>
        <v>77925</v>
      </c>
      <c r="N120" s="66">
        <f t="shared" si="24"/>
        <v>2.9141735228122662E-2</v>
      </c>
      <c r="O120" s="85">
        <f>SUMIF(sigaf!$B$2:$B$470,$A120,sigaf!$M$2:$M$470)</f>
        <v>2596075</v>
      </c>
      <c r="P120" s="66">
        <f t="shared" si="25"/>
        <v>0.97085826477187731</v>
      </c>
      <c r="Q120" s="13">
        <f>SUMIF(sigaf!$B$2:$B$470,$A120,sigaf!$N$2:$N$470)</f>
        <v>2596075</v>
      </c>
      <c r="R120" s="66">
        <f t="shared" si="26"/>
        <v>0.97085826477187731</v>
      </c>
    </row>
    <row r="121" spans="1:19" x14ac:dyDescent="0.25">
      <c r="A121" s="11" t="s">
        <v>208</v>
      </c>
      <c r="B121" s="11" t="s">
        <v>476</v>
      </c>
      <c r="C121" s="13">
        <f>SUMIF(sigaf!$B$2:$B$470,$A121,sigaf!$F$2:$F$470)</f>
        <v>41000133</v>
      </c>
      <c r="D121" s="13">
        <f>SUMIF(sigaf!$B$2:$B$470,$A121,sigaf!$G$2:$G$470)</f>
        <v>41000133</v>
      </c>
      <c r="E121" s="13">
        <f>SUMIF(sigaf!$B$2:$B$470,$A121,sigaf!$H$2:$H$470)</f>
        <v>0</v>
      </c>
      <c r="F121" s="66">
        <f t="shared" si="22"/>
        <v>0</v>
      </c>
      <c r="G121" s="130">
        <f>SUMIF(sigaf!$B$2:$B$470,$A121,sigaf!$I$2:$I$470)</f>
        <v>0</v>
      </c>
      <c r="H121" s="66">
        <f t="shared" si="23"/>
        <v>0</v>
      </c>
      <c r="I121" s="13">
        <f>SUMIF(sigaf!$B$2:$B$470,$A121,sigaf!$J$2:$J$470)</f>
        <v>0</v>
      </c>
      <c r="J121" s="66">
        <f t="shared" si="23"/>
        <v>0</v>
      </c>
      <c r="K121" s="13">
        <f>SUMIF(sigaf!$B$2:$B$470,$A121,sigaf!$K$2:$K$470)</f>
        <v>29216743.800000001</v>
      </c>
      <c r="L121" s="139">
        <f t="shared" si="27"/>
        <v>0.71260119570831637</v>
      </c>
      <c r="M121" s="13">
        <f>SUMIF(sigaf!$B$2:$B$470,$A121,sigaf!$L$2:$L$470)</f>
        <v>29073433.23</v>
      </c>
      <c r="N121" s="66">
        <f t="shared" si="24"/>
        <v>0.70910582729085292</v>
      </c>
      <c r="O121" s="85">
        <f>SUMIF(sigaf!$B$2:$B$470,$A121,sigaf!$M$2:$M$470)</f>
        <v>11783389.199999999</v>
      </c>
      <c r="P121" s="66">
        <f t="shared" si="25"/>
        <v>0.28739880429168363</v>
      </c>
      <c r="Q121" s="13">
        <f>SUMIF(sigaf!$B$2:$B$470,$A121,sigaf!$N$2:$N$470)</f>
        <v>11783389.199999999</v>
      </c>
      <c r="R121" s="66">
        <f t="shared" si="26"/>
        <v>0.28739880429168363</v>
      </c>
    </row>
    <row r="122" spans="1:19" x14ac:dyDescent="0.25">
      <c r="A122" s="11" t="s">
        <v>210</v>
      </c>
      <c r="B122" s="11" t="s">
        <v>477</v>
      </c>
      <c r="C122" s="13">
        <f>SUMIF(sigaf!$B$2:$B$470,$A122,sigaf!$F$2:$F$470)</f>
        <v>3170000</v>
      </c>
      <c r="D122" s="13">
        <f>SUMIF(sigaf!$B$2:$B$470,$A122,sigaf!$G$2:$G$470)</f>
        <v>3170000</v>
      </c>
      <c r="E122" s="13">
        <f>SUMIF(sigaf!$B$2:$B$470,$A122,sigaf!$H$2:$H$470)</f>
        <v>0</v>
      </c>
      <c r="F122" s="66">
        <f t="shared" si="22"/>
        <v>0</v>
      </c>
      <c r="G122" s="130">
        <f>SUMIF(sigaf!$B$2:$B$470,$A122,sigaf!$I$2:$I$470)</f>
        <v>0</v>
      </c>
      <c r="H122" s="66">
        <f t="shared" si="23"/>
        <v>0</v>
      </c>
      <c r="I122" s="13">
        <f>SUMIF(sigaf!$B$2:$B$470,$A122,sigaf!$J$2:$J$470)</f>
        <v>0</v>
      </c>
      <c r="J122" s="66">
        <f t="shared" si="23"/>
        <v>0</v>
      </c>
      <c r="K122" s="13">
        <f>SUMIF(sigaf!$B$2:$B$470,$A122,sigaf!$K$2:$K$470)</f>
        <v>1915282.78</v>
      </c>
      <c r="L122" s="139">
        <f t="shared" si="27"/>
        <v>0.60419015141955834</v>
      </c>
      <c r="M122" s="13">
        <f>SUMIF(sigaf!$B$2:$B$470,$A122,sigaf!$L$2:$L$470)</f>
        <v>283133.78000000003</v>
      </c>
      <c r="N122" s="66">
        <f t="shared" si="24"/>
        <v>8.9316649842271306E-2</v>
      </c>
      <c r="O122" s="85">
        <f>SUMIF(sigaf!$B$2:$B$470,$A122,sigaf!$M$2:$M$470)</f>
        <v>1254717.22</v>
      </c>
      <c r="P122" s="66">
        <f t="shared" si="25"/>
        <v>0.39580984858044166</v>
      </c>
      <c r="Q122" s="13">
        <f>SUMIF(sigaf!$B$2:$B$470,$A122,sigaf!$N$2:$N$470)</f>
        <v>1254717.22</v>
      </c>
      <c r="R122" s="66">
        <f t="shared" si="26"/>
        <v>0.39580984858044166</v>
      </c>
    </row>
    <row r="123" spans="1:19" x14ac:dyDescent="0.25">
      <c r="A123" s="11" t="s">
        <v>212</v>
      </c>
      <c r="B123" s="11" t="s">
        <v>478</v>
      </c>
      <c r="C123" s="13">
        <f>SUMIF(sigaf!$B$2:$B$470,$A123,sigaf!$F$2:$F$470)</f>
        <v>11083277500</v>
      </c>
      <c r="D123" s="13">
        <f>SUMIF(sigaf!$B$2:$B$470,$A123,sigaf!$G$2:$G$470)</f>
        <v>11083277500</v>
      </c>
      <c r="E123" s="13">
        <f>SUMIF(sigaf!$B$2:$B$470,$A123,sigaf!$H$2:$H$470)</f>
        <v>0</v>
      </c>
      <c r="F123" s="66">
        <f t="shared" si="22"/>
        <v>0</v>
      </c>
      <c r="G123" s="130">
        <f>SUMIF(sigaf!$B$2:$B$470,$A123,sigaf!$I$2:$I$470)</f>
        <v>0</v>
      </c>
      <c r="H123" s="66">
        <f t="shared" si="23"/>
        <v>0</v>
      </c>
      <c r="I123" s="13">
        <f>SUMIF(sigaf!$B$2:$B$470,$A123,sigaf!$J$2:$J$470)</f>
        <v>0</v>
      </c>
      <c r="J123" s="66">
        <f t="shared" si="23"/>
        <v>0</v>
      </c>
      <c r="K123" s="13">
        <f>SUMIF(sigaf!$B$2:$B$470,$A123,sigaf!$K$2:$K$470)</f>
        <v>10099640378.24</v>
      </c>
      <c r="L123" s="139">
        <f t="shared" si="27"/>
        <v>0.91125033892185769</v>
      </c>
      <c r="M123" s="13">
        <f>SUMIF(sigaf!$B$2:$B$470,$A123,sigaf!$L$2:$L$470)</f>
        <v>10085759348.24</v>
      </c>
      <c r="N123" s="66">
        <f t="shared" si="24"/>
        <v>0.90999790885322507</v>
      </c>
      <c r="O123" s="85">
        <f>SUMIF(sigaf!$B$2:$B$470,$A123,sigaf!$M$2:$M$470)</f>
        <v>983637121.75999999</v>
      </c>
      <c r="P123" s="66">
        <f t="shared" si="25"/>
        <v>8.8749661078142278E-2</v>
      </c>
      <c r="Q123" s="13">
        <f>SUMIF(sigaf!$B$2:$B$470,$A123,sigaf!$N$2:$N$470)</f>
        <v>983637121.75999999</v>
      </c>
      <c r="R123" s="66">
        <f t="shared" si="26"/>
        <v>8.8749661078142278E-2</v>
      </c>
    </row>
    <row r="124" spans="1:19" x14ac:dyDescent="0.25">
      <c r="A124" s="11" t="s">
        <v>214</v>
      </c>
      <c r="B124" s="11" t="s">
        <v>215</v>
      </c>
      <c r="C124" s="13">
        <f>SUMIF(sigaf!$B$2:$B$470,$A124,sigaf!$F$2:$F$470)</f>
        <v>11071637000</v>
      </c>
      <c r="D124" s="13">
        <f>SUMIF(sigaf!$B$2:$B$470,$A124,sigaf!$G$2:$G$470)</f>
        <v>11071637000</v>
      </c>
      <c r="E124" s="13">
        <f>SUMIF(sigaf!$B$2:$B$470,$A124,sigaf!$H$2:$H$470)</f>
        <v>0</v>
      </c>
      <c r="F124" s="66">
        <f t="shared" si="22"/>
        <v>0</v>
      </c>
      <c r="G124" s="130">
        <f>SUMIF(sigaf!$B$2:$B$470,$A124,sigaf!$I$2:$I$470)</f>
        <v>0</v>
      </c>
      <c r="H124" s="66">
        <f t="shared" si="23"/>
        <v>0</v>
      </c>
      <c r="I124" s="13">
        <f>SUMIF(sigaf!$B$2:$B$470,$A124,sigaf!$J$2:$J$470)</f>
        <v>0</v>
      </c>
      <c r="J124" s="66">
        <f t="shared" si="23"/>
        <v>0</v>
      </c>
      <c r="K124" s="13">
        <f>SUMIF(sigaf!$B$2:$B$470,$A124,sigaf!$K$2:$K$470)</f>
        <v>10088072528.24</v>
      </c>
      <c r="L124" s="139">
        <f t="shared" si="27"/>
        <v>0.9111635910967818</v>
      </c>
      <c r="M124" s="13">
        <f>SUMIF(sigaf!$B$2:$B$470,$A124,sigaf!$L$2:$L$470)</f>
        <v>10079939498.24</v>
      </c>
      <c r="N124" s="66">
        <f t="shared" si="24"/>
        <v>0.91042900866782395</v>
      </c>
      <c r="O124" s="85">
        <f>SUMIF(sigaf!$B$2:$B$470,$A124,sigaf!$M$2:$M$470)</f>
        <v>983564471.75999999</v>
      </c>
      <c r="P124" s="66">
        <f t="shared" si="25"/>
        <v>8.88364089032182E-2</v>
      </c>
      <c r="Q124" s="13">
        <f>SUMIF(sigaf!$B$2:$B$470,$A124,sigaf!$N$2:$N$470)</f>
        <v>983564471.75999999</v>
      </c>
      <c r="R124" s="66">
        <f t="shared" si="26"/>
        <v>8.88364089032182E-2</v>
      </c>
    </row>
    <row r="125" spans="1:19" x14ac:dyDescent="0.25">
      <c r="A125" s="11" t="s">
        <v>364</v>
      </c>
      <c r="B125" s="11" t="s">
        <v>479</v>
      </c>
      <c r="C125" s="13">
        <f>SUMIF(sigaf!$B$2:$B$470,$A125,sigaf!$F$2:$F$470)</f>
        <v>11640500</v>
      </c>
      <c r="D125" s="13">
        <f>SUMIF(sigaf!$B$2:$B$470,$A125,sigaf!$G$2:$G$470)</f>
        <v>11640500</v>
      </c>
      <c r="E125" s="13">
        <f>SUMIF(sigaf!$B$2:$B$470,$A125,sigaf!$H$2:$H$470)</f>
        <v>0</v>
      </c>
      <c r="F125" s="66">
        <f t="shared" si="22"/>
        <v>0</v>
      </c>
      <c r="G125" s="130">
        <f>SUMIF(sigaf!$B$2:$B$470,$A125,sigaf!$I$2:$I$470)</f>
        <v>0</v>
      </c>
      <c r="H125" s="66">
        <f t="shared" si="23"/>
        <v>0</v>
      </c>
      <c r="I125" s="13">
        <f>SUMIF(sigaf!$B$2:$B$470,$A125,sigaf!$J$2:$J$470)</f>
        <v>0</v>
      </c>
      <c r="J125" s="66">
        <f t="shared" si="23"/>
        <v>0</v>
      </c>
      <c r="K125" s="13">
        <f>SUMIF(sigaf!$B$2:$B$470,$A125,sigaf!$K$2:$K$470)</f>
        <v>11567850</v>
      </c>
      <c r="L125" s="139">
        <f t="shared" si="27"/>
        <v>0.99375885915553452</v>
      </c>
      <c r="M125" s="13">
        <f>SUMIF(sigaf!$B$2:$B$470,$A125,sigaf!$L$2:$L$470)</f>
        <v>5819850</v>
      </c>
      <c r="N125" s="66">
        <f t="shared" si="24"/>
        <v>0.49996563721489629</v>
      </c>
      <c r="O125" s="85">
        <f>SUMIF(sigaf!$B$2:$B$470,$A125,sigaf!$M$2:$M$470)</f>
        <v>72650</v>
      </c>
      <c r="P125" s="66">
        <f t="shared" si="25"/>
        <v>6.2411408444654438E-3</v>
      </c>
      <c r="Q125" s="13">
        <f>SUMIF(sigaf!$B$2:$B$470,$A125,sigaf!$N$2:$N$470)</f>
        <v>72650</v>
      </c>
      <c r="R125" s="66">
        <f t="shared" si="26"/>
        <v>6.2411408444654438E-3</v>
      </c>
    </row>
    <row r="126" spans="1:19" x14ac:dyDescent="0.25">
      <c r="A126" s="11" t="s">
        <v>216</v>
      </c>
      <c r="B126" s="11" t="s">
        <v>480</v>
      </c>
      <c r="C126" s="13">
        <f>SUMIF(sigaf!$B$2:$B$470,$A126,sigaf!$F$2:$F$470)</f>
        <v>455649194</v>
      </c>
      <c r="D126" s="13">
        <f>SUMIF(sigaf!$B$2:$B$470,$A126,sigaf!$G$2:$G$470)</f>
        <v>455649194</v>
      </c>
      <c r="E126" s="13">
        <f>SUMIF(sigaf!$B$2:$B$470,$A126,sigaf!$H$2:$H$470)</f>
        <v>0</v>
      </c>
      <c r="F126" s="66">
        <f t="shared" si="22"/>
        <v>0</v>
      </c>
      <c r="G126" s="130">
        <f>SUMIF(sigaf!$B$2:$B$470,$A126,sigaf!$I$2:$I$470)</f>
        <v>0</v>
      </c>
      <c r="H126" s="66">
        <f t="shared" si="23"/>
        <v>0</v>
      </c>
      <c r="I126" s="13">
        <f>SUMIF(sigaf!$B$2:$B$470,$A126,sigaf!$J$2:$J$470)</f>
        <v>0</v>
      </c>
      <c r="J126" s="66">
        <f t="shared" si="23"/>
        <v>0</v>
      </c>
      <c r="K126" s="13">
        <f>SUMIF(sigaf!$B$2:$B$470,$A126,sigaf!$K$2:$K$470)</f>
        <v>354866111.61000001</v>
      </c>
      <c r="L126" s="139">
        <f t="shared" si="27"/>
        <v>0.77881430776765515</v>
      </c>
      <c r="M126" s="13">
        <f>SUMIF(sigaf!$B$2:$B$470,$A126,sigaf!$L$2:$L$470)</f>
        <v>332074918.78000003</v>
      </c>
      <c r="N126" s="66">
        <f t="shared" si="24"/>
        <v>0.72879514142188961</v>
      </c>
      <c r="O126" s="85">
        <f>SUMIF(sigaf!$B$2:$B$470,$A126,sigaf!$M$2:$M$470)</f>
        <v>100783082.39</v>
      </c>
      <c r="P126" s="66">
        <f t="shared" si="25"/>
        <v>0.22118569223234488</v>
      </c>
      <c r="Q126" s="13">
        <f>SUMIF(sigaf!$B$2:$B$470,$A126,sigaf!$N$2:$N$470)</f>
        <v>100783082.39</v>
      </c>
      <c r="R126" s="66">
        <f t="shared" si="26"/>
        <v>0.22118569223234488</v>
      </c>
    </row>
    <row r="127" spans="1:19" x14ac:dyDescent="0.25">
      <c r="A127" s="11" t="s">
        <v>218</v>
      </c>
      <c r="B127" s="11" t="s">
        <v>481</v>
      </c>
      <c r="C127" s="13">
        <f>SUMIF(sigaf!$B$2:$B$470,$A127,sigaf!$F$2:$F$470)</f>
        <v>123732000</v>
      </c>
      <c r="D127" s="13">
        <f>SUMIF(sigaf!$B$2:$B$470,$A127,sigaf!$G$2:$G$470)</f>
        <v>123732000</v>
      </c>
      <c r="E127" s="13">
        <f>SUMIF(sigaf!$B$2:$B$470,$A127,sigaf!$H$2:$H$470)</f>
        <v>0</v>
      </c>
      <c r="F127" s="66">
        <f t="shared" si="22"/>
        <v>0</v>
      </c>
      <c r="G127" s="130">
        <f>SUMIF(sigaf!$B$2:$B$470,$A127,sigaf!$I$2:$I$470)</f>
        <v>0</v>
      </c>
      <c r="H127" s="66">
        <f t="shared" si="23"/>
        <v>0</v>
      </c>
      <c r="I127" s="13">
        <f>SUMIF(sigaf!$B$2:$B$470,$A127,sigaf!$J$2:$J$470)</f>
        <v>0</v>
      </c>
      <c r="J127" s="66">
        <f t="shared" si="23"/>
        <v>0</v>
      </c>
      <c r="K127" s="13">
        <f>SUMIF(sigaf!$B$2:$B$470,$A127,sigaf!$K$2:$K$470)</f>
        <v>104657001.95999999</v>
      </c>
      <c r="L127" s="139">
        <f t="shared" si="27"/>
        <v>0.8458361778682959</v>
      </c>
      <c r="M127" s="13">
        <f>SUMIF(sigaf!$B$2:$B$470,$A127,sigaf!$L$2:$L$470)</f>
        <v>104657001.95999999</v>
      </c>
      <c r="N127" s="66">
        <f t="shared" si="24"/>
        <v>0.8458361778682959</v>
      </c>
      <c r="O127" s="85">
        <f>SUMIF(sigaf!$B$2:$B$470,$A127,sigaf!$M$2:$M$470)</f>
        <v>19074998.039999999</v>
      </c>
      <c r="P127" s="66">
        <f t="shared" si="25"/>
        <v>0.15416382213170399</v>
      </c>
      <c r="Q127" s="13">
        <f>SUMIF(sigaf!$B$2:$B$470,$A127,sigaf!$N$2:$N$470)</f>
        <v>19074998.039999999</v>
      </c>
      <c r="R127" s="66">
        <f t="shared" si="26"/>
        <v>0.15416382213170399</v>
      </c>
    </row>
    <row r="128" spans="1:19" x14ac:dyDescent="0.25">
      <c r="A128" s="11" t="s">
        <v>336</v>
      </c>
      <c r="B128" s="11" t="s">
        <v>482</v>
      </c>
      <c r="C128" s="13">
        <f>SUMIF(sigaf!$B$2:$B$470,$A128,sigaf!$F$2:$F$470)</f>
        <v>81538000</v>
      </c>
      <c r="D128" s="13">
        <f>SUMIF(sigaf!$B$2:$B$470,$A128,sigaf!$G$2:$G$470)</f>
        <v>81538000</v>
      </c>
      <c r="E128" s="13">
        <f>SUMIF(sigaf!$B$2:$B$470,$A128,sigaf!$H$2:$H$470)</f>
        <v>0</v>
      </c>
      <c r="F128" s="66">
        <f t="shared" si="22"/>
        <v>0</v>
      </c>
      <c r="G128" s="130">
        <f>SUMIF(sigaf!$B$2:$B$470,$A128,sigaf!$I$2:$I$470)</f>
        <v>0</v>
      </c>
      <c r="H128" s="66">
        <f t="shared" si="23"/>
        <v>0</v>
      </c>
      <c r="I128" s="13">
        <f>SUMIF(sigaf!$B$2:$B$470,$A128,sigaf!$J$2:$J$470)</f>
        <v>0</v>
      </c>
      <c r="J128" s="66">
        <f t="shared" si="23"/>
        <v>0</v>
      </c>
      <c r="K128" s="13">
        <f>SUMIF(sigaf!$B$2:$B$470,$A128,sigaf!$K$2:$K$470)</f>
        <v>39613996</v>
      </c>
      <c r="L128" s="139">
        <f t="shared" si="27"/>
        <v>0.48583477642326278</v>
      </c>
      <c r="M128" s="13">
        <f>SUMIF(sigaf!$B$2:$B$470,$A128,sigaf!$L$2:$L$470)</f>
        <v>36877996</v>
      </c>
      <c r="N128" s="66">
        <f t="shared" si="24"/>
        <v>0.45227986950869531</v>
      </c>
      <c r="O128" s="85">
        <f>SUMIF(sigaf!$B$2:$B$470,$A128,sigaf!$M$2:$M$470)</f>
        <v>41924004</v>
      </c>
      <c r="P128" s="66">
        <f t="shared" si="25"/>
        <v>0.51416522357673722</v>
      </c>
      <c r="Q128" s="13">
        <f>SUMIF(sigaf!$B$2:$B$470,$A128,sigaf!$N$2:$N$470)</f>
        <v>41924004</v>
      </c>
      <c r="R128" s="66">
        <f t="shared" si="26"/>
        <v>0.51416522357673722</v>
      </c>
    </row>
    <row r="129" spans="1:18" x14ac:dyDescent="0.25">
      <c r="A129" s="11" t="s">
        <v>338</v>
      </c>
      <c r="B129" s="11" t="s">
        <v>483</v>
      </c>
      <c r="C129" s="13">
        <f>SUMIF(sigaf!$B$2:$B$470,$A129,sigaf!$F$2:$F$470)</f>
        <v>89294672</v>
      </c>
      <c r="D129" s="13">
        <f>SUMIF(sigaf!$B$2:$B$470,$A129,sigaf!$G$2:$G$470)</f>
        <v>89294672</v>
      </c>
      <c r="E129" s="13">
        <f>SUMIF(sigaf!$B$2:$B$470,$A129,sigaf!$H$2:$H$470)</f>
        <v>0</v>
      </c>
      <c r="F129" s="66">
        <f t="shared" si="22"/>
        <v>0</v>
      </c>
      <c r="G129" s="130">
        <f>SUMIF(sigaf!$B$2:$B$470,$A129,sigaf!$I$2:$I$470)</f>
        <v>0</v>
      </c>
      <c r="H129" s="66">
        <f t="shared" si="23"/>
        <v>0</v>
      </c>
      <c r="I129" s="13">
        <f>SUMIF(sigaf!$B$2:$B$470,$A129,sigaf!$J$2:$J$470)</f>
        <v>0</v>
      </c>
      <c r="J129" s="66">
        <f t="shared" si="23"/>
        <v>0</v>
      </c>
      <c r="K129" s="13">
        <f>SUMIF(sigaf!$B$2:$B$470,$A129,sigaf!$K$2:$K$470)</f>
        <v>89292128</v>
      </c>
      <c r="L129" s="139">
        <f t="shared" si="27"/>
        <v>0.99997151005829332</v>
      </c>
      <c r="M129" s="13">
        <f>SUMIF(sigaf!$B$2:$B$470,$A129,sigaf!$L$2:$L$470)</f>
        <v>89292128</v>
      </c>
      <c r="N129" s="66">
        <f t="shared" si="24"/>
        <v>0.99997151005829332</v>
      </c>
      <c r="O129" s="85">
        <f>SUMIF(sigaf!$B$2:$B$470,$A129,sigaf!$M$2:$M$470)</f>
        <v>2544</v>
      </c>
      <c r="P129" s="66">
        <f t="shared" si="25"/>
        <v>2.8489941706712356E-5</v>
      </c>
      <c r="Q129" s="13">
        <f>SUMIF(sigaf!$B$2:$B$470,$A129,sigaf!$N$2:$N$470)</f>
        <v>2544</v>
      </c>
      <c r="R129" s="66">
        <f t="shared" si="26"/>
        <v>2.8489941706712356E-5</v>
      </c>
    </row>
    <row r="130" spans="1:18" x14ac:dyDescent="0.25">
      <c r="A130" s="11" t="s">
        <v>220</v>
      </c>
      <c r="B130" s="11" t="s">
        <v>484</v>
      </c>
      <c r="C130" s="13">
        <f>SUMIF(sigaf!$B$2:$B$470,$A130,sigaf!$F$2:$F$470)</f>
        <v>94199225</v>
      </c>
      <c r="D130" s="13">
        <f>SUMIF(sigaf!$B$2:$B$470,$A130,sigaf!$G$2:$G$470)</f>
        <v>94199225</v>
      </c>
      <c r="E130" s="13">
        <f>SUMIF(sigaf!$B$2:$B$470,$A130,sigaf!$H$2:$H$470)</f>
        <v>0</v>
      </c>
      <c r="F130" s="66">
        <f t="shared" si="22"/>
        <v>0</v>
      </c>
      <c r="G130" s="130">
        <f>SUMIF(sigaf!$B$2:$B$470,$A130,sigaf!$I$2:$I$470)</f>
        <v>0</v>
      </c>
      <c r="H130" s="66">
        <f t="shared" si="23"/>
        <v>0</v>
      </c>
      <c r="I130" s="13">
        <f>SUMIF(sigaf!$B$2:$B$470,$A130,sigaf!$J$2:$J$470)</f>
        <v>0</v>
      </c>
      <c r="J130" s="66">
        <f t="shared" si="23"/>
        <v>0</v>
      </c>
      <c r="K130" s="13">
        <f>SUMIF(sigaf!$B$2:$B$470,$A130,sigaf!$K$2:$K$470)</f>
        <v>76401915.75</v>
      </c>
      <c r="L130" s="139">
        <f t="shared" si="27"/>
        <v>0.811067349545604</v>
      </c>
      <c r="M130" s="13">
        <f>SUMIF(sigaf!$B$2:$B$470,$A130,sigaf!$L$2:$L$470)</f>
        <v>56993182.920000002</v>
      </c>
      <c r="N130" s="66">
        <f t="shared" si="24"/>
        <v>0.60502815092162388</v>
      </c>
      <c r="O130" s="85">
        <f>SUMIF(sigaf!$B$2:$B$470,$A130,sigaf!$M$2:$M$470)</f>
        <v>17797309.25</v>
      </c>
      <c r="P130" s="66">
        <f t="shared" si="25"/>
        <v>0.188932650454396</v>
      </c>
      <c r="Q130" s="13">
        <f>SUMIF(sigaf!$B$2:$B$470,$A130,sigaf!$N$2:$N$470)</f>
        <v>17797309.25</v>
      </c>
      <c r="R130" s="66">
        <f t="shared" si="26"/>
        <v>0.188932650454396</v>
      </c>
    </row>
    <row r="131" spans="1:18" x14ac:dyDescent="0.25">
      <c r="A131" s="11" t="s">
        <v>222</v>
      </c>
      <c r="B131" s="11" t="s">
        <v>485</v>
      </c>
      <c r="C131" s="13">
        <f>SUMIF(sigaf!$B$2:$B$470,$A131,sigaf!$F$2:$F$470)</f>
        <v>2521183</v>
      </c>
      <c r="D131" s="13">
        <f>SUMIF(sigaf!$B$2:$B$470,$A131,sigaf!$G$2:$G$470)</f>
        <v>2521183</v>
      </c>
      <c r="E131" s="13">
        <f>SUMIF(sigaf!$B$2:$B$470,$A131,sigaf!$H$2:$H$470)</f>
        <v>0</v>
      </c>
      <c r="F131" s="66">
        <f t="shared" si="22"/>
        <v>0</v>
      </c>
      <c r="G131" s="130">
        <f>SUMIF(sigaf!$B$2:$B$470,$A131,sigaf!$I$2:$I$470)</f>
        <v>0</v>
      </c>
      <c r="H131" s="66">
        <f t="shared" si="23"/>
        <v>0</v>
      </c>
      <c r="I131" s="13">
        <f>SUMIF(sigaf!$B$2:$B$470,$A131,sigaf!$J$2:$J$470)</f>
        <v>0</v>
      </c>
      <c r="J131" s="66">
        <f t="shared" si="23"/>
        <v>0</v>
      </c>
      <c r="K131" s="13">
        <f>SUMIF(sigaf!$B$2:$B$470,$A131,sigaf!$K$2:$K$470)</f>
        <v>2327835.92</v>
      </c>
      <c r="L131" s="139">
        <f t="shared" si="27"/>
        <v>0.92331096949328939</v>
      </c>
      <c r="M131" s="13">
        <f>SUMIF(sigaf!$B$2:$B$470,$A131,sigaf!$L$2:$L$470)</f>
        <v>2327835.92</v>
      </c>
      <c r="N131" s="66">
        <f t="shared" si="24"/>
        <v>0.92331096949328939</v>
      </c>
      <c r="O131" s="85">
        <f>SUMIF(sigaf!$B$2:$B$470,$A131,sigaf!$M$2:$M$470)</f>
        <v>193347.08</v>
      </c>
      <c r="P131" s="66">
        <f t="shared" si="25"/>
        <v>7.668903050671054E-2</v>
      </c>
      <c r="Q131" s="13">
        <f>SUMIF(sigaf!$B$2:$B$470,$A131,sigaf!$N$2:$N$470)</f>
        <v>193347.08</v>
      </c>
      <c r="R131" s="66">
        <f t="shared" si="26"/>
        <v>7.668903050671054E-2</v>
      </c>
    </row>
    <row r="132" spans="1:18" x14ac:dyDescent="0.25">
      <c r="A132" s="11" t="s">
        <v>224</v>
      </c>
      <c r="B132" s="11" t="s">
        <v>486</v>
      </c>
      <c r="C132" s="13">
        <f>SUMIF(sigaf!$B$2:$B$470,$A132,sigaf!$F$2:$F$470)</f>
        <v>50317000</v>
      </c>
      <c r="D132" s="13">
        <f>SUMIF(sigaf!$B$2:$B$470,$A132,sigaf!$G$2:$G$470)</f>
        <v>50317000</v>
      </c>
      <c r="E132" s="13">
        <f>SUMIF(sigaf!$B$2:$B$470,$A132,sigaf!$H$2:$H$470)</f>
        <v>0</v>
      </c>
      <c r="F132" s="66">
        <f t="shared" si="22"/>
        <v>0</v>
      </c>
      <c r="G132" s="130">
        <f>SUMIF(sigaf!$B$2:$B$470,$A132,sigaf!$I$2:$I$470)</f>
        <v>0</v>
      </c>
      <c r="H132" s="66">
        <f t="shared" si="23"/>
        <v>0</v>
      </c>
      <c r="I132" s="13">
        <f>SUMIF(sigaf!$B$2:$B$470,$A132,sigaf!$J$2:$J$470)</f>
        <v>0</v>
      </c>
      <c r="J132" s="66">
        <f t="shared" si="23"/>
        <v>0</v>
      </c>
      <c r="K132" s="13">
        <f>SUMIF(sigaf!$B$2:$B$470,$A132,sigaf!$K$2:$K$470)</f>
        <v>41866027.979999997</v>
      </c>
      <c r="L132" s="139">
        <f t="shared" si="27"/>
        <v>0.83204539181588721</v>
      </c>
      <c r="M132" s="13">
        <f>SUMIF(sigaf!$B$2:$B$470,$A132,sigaf!$L$2:$L$470)</f>
        <v>41866027.979999997</v>
      </c>
      <c r="N132" s="66">
        <f t="shared" si="24"/>
        <v>0.83204539181588721</v>
      </c>
      <c r="O132" s="85">
        <f>SUMIF(sigaf!$B$2:$B$470,$A132,sigaf!$M$2:$M$470)</f>
        <v>8450972.0199999996</v>
      </c>
      <c r="P132" s="66">
        <f t="shared" si="25"/>
        <v>0.16795460818411273</v>
      </c>
      <c r="Q132" s="13">
        <f>SUMIF(sigaf!$B$2:$B$470,$A132,sigaf!$N$2:$N$470)</f>
        <v>8450972.0199999996</v>
      </c>
      <c r="R132" s="66">
        <f t="shared" si="26"/>
        <v>0.16795460818411273</v>
      </c>
    </row>
    <row r="133" spans="1:18" x14ac:dyDescent="0.25">
      <c r="A133" s="11" t="s">
        <v>226</v>
      </c>
      <c r="B133" s="11" t="s">
        <v>487</v>
      </c>
      <c r="C133" s="13">
        <f>SUMIF(sigaf!$B$2:$B$470,$A133,sigaf!$F$2:$F$470)</f>
        <v>14047114</v>
      </c>
      <c r="D133" s="13">
        <f>SUMIF(sigaf!$B$2:$B$470,$A133,sigaf!$G$2:$G$470)</f>
        <v>14047114</v>
      </c>
      <c r="E133" s="13">
        <f>SUMIF(sigaf!$B$2:$B$470,$A133,sigaf!$H$2:$H$470)</f>
        <v>0</v>
      </c>
      <c r="F133" s="66">
        <f t="shared" si="22"/>
        <v>0</v>
      </c>
      <c r="G133" s="130">
        <f>SUMIF(sigaf!$B$2:$B$470,$A133,sigaf!$I$2:$I$470)</f>
        <v>0</v>
      </c>
      <c r="H133" s="66">
        <f t="shared" si="23"/>
        <v>0</v>
      </c>
      <c r="I133" s="13">
        <f>SUMIF(sigaf!$B$2:$B$470,$A133,sigaf!$J$2:$J$470)</f>
        <v>0</v>
      </c>
      <c r="J133" s="66">
        <f t="shared" si="23"/>
        <v>0</v>
      </c>
      <c r="K133" s="13">
        <f>SUMIF(sigaf!$B$2:$B$470,$A133,sigaf!$K$2:$K$470)</f>
        <v>707206</v>
      </c>
      <c r="L133" s="139">
        <f t="shared" si="27"/>
        <v>5.0345288007202046E-2</v>
      </c>
      <c r="M133" s="13">
        <f>SUMIF(sigaf!$B$2:$B$470,$A133,sigaf!$L$2:$L$470)</f>
        <v>60746</v>
      </c>
      <c r="N133" s="66">
        <f t="shared" si="24"/>
        <v>4.3244470002877459E-3</v>
      </c>
      <c r="O133" s="85">
        <f>SUMIF(sigaf!$B$2:$B$470,$A133,sigaf!$M$2:$M$470)</f>
        <v>13339908</v>
      </c>
      <c r="P133" s="66">
        <f t="shared" si="25"/>
        <v>0.94965471199279794</v>
      </c>
      <c r="Q133" s="13">
        <f>SUMIF(sigaf!$B$2:$B$470,$A133,sigaf!$N$2:$N$470)</f>
        <v>13339908</v>
      </c>
      <c r="R133" s="66">
        <f t="shared" si="26"/>
        <v>0.94965471199279794</v>
      </c>
    </row>
    <row r="134" spans="1:18" x14ac:dyDescent="0.25">
      <c r="A134" s="11" t="s">
        <v>228</v>
      </c>
      <c r="B134" s="11" t="s">
        <v>488</v>
      </c>
      <c r="C134" s="13">
        <f>SUMIF(sigaf!$B$2:$B$470,$A134,sigaf!$F$2:$F$470)</f>
        <v>162753500</v>
      </c>
      <c r="D134" s="13">
        <f>SUMIF(sigaf!$B$2:$B$470,$A134,sigaf!$G$2:$G$470)</f>
        <v>162753500</v>
      </c>
      <c r="E134" s="13">
        <f>SUMIF(sigaf!$B$2:$B$470,$A134,sigaf!$H$2:$H$470)</f>
        <v>0</v>
      </c>
      <c r="F134" s="66">
        <f t="shared" si="22"/>
        <v>0</v>
      </c>
      <c r="G134" s="130">
        <f>SUMIF(sigaf!$B$2:$B$470,$A134,sigaf!$I$2:$I$470)</f>
        <v>0</v>
      </c>
      <c r="H134" s="66">
        <f t="shared" si="23"/>
        <v>0</v>
      </c>
      <c r="I134" s="13">
        <f>SUMIF(sigaf!$B$2:$B$470,$A134,sigaf!$J$2:$J$470)</f>
        <v>0</v>
      </c>
      <c r="J134" s="66">
        <f t="shared" si="23"/>
        <v>0</v>
      </c>
      <c r="K134" s="13">
        <f>SUMIF(sigaf!$B$2:$B$470,$A134,sigaf!$K$2:$K$470)</f>
        <v>113728969.53</v>
      </c>
      <c r="L134" s="139">
        <f t="shared" si="27"/>
        <v>0.69878048416777516</v>
      </c>
      <c r="M134" s="13">
        <f>SUMIF(sigaf!$B$2:$B$470,$A134,sigaf!$L$2:$L$470)</f>
        <v>103396552.66</v>
      </c>
      <c r="N134" s="66">
        <f t="shared" si="24"/>
        <v>0.63529541705708326</v>
      </c>
      <c r="O134" s="85">
        <f>SUMIF(sigaf!$B$2:$B$470,$A134,sigaf!$M$2:$M$470)</f>
        <v>49024530.469999999</v>
      </c>
      <c r="P134" s="66">
        <f t="shared" si="25"/>
        <v>0.30121951583222478</v>
      </c>
      <c r="Q134" s="13">
        <f>SUMIF(sigaf!$B$2:$B$470,$A134,sigaf!$N$2:$N$470)</f>
        <v>49024530.469999999</v>
      </c>
      <c r="R134" s="66">
        <f t="shared" si="26"/>
        <v>0.30121951583222478</v>
      </c>
    </row>
    <row r="135" spans="1:18" x14ac:dyDescent="0.25">
      <c r="A135" s="11" t="s">
        <v>230</v>
      </c>
      <c r="B135" s="11" t="s">
        <v>489</v>
      </c>
      <c r="C135" s="13">
        <f>SUMIF(sigaf!$B$2:$B$470,$A135,sigaf!$F$2:$F$470)</f>
        <v>54479500</v>
      </c>
      <c r="D135" s="13">
        <f>SUMIF(sigaf!$B$2:$B$470,$A135,sigaf!$G$2:$G$470)</f>
        <v>54479500</v>
      </c>
      <c r="E135" s="13">
        <f>SUMIF(sigaf!$B$2:$B$470,$A135,sigaf!$H$2:$H$470)</f>
        <v>0</v>
      </c>
      <c r="F135" s="66">
        <f t="shared" si="22"/>
        <v>0</v>
      </c>
      <c r="G135" s="130">
        <f>SUMIF(sigaf!$B$2:$B$470,$A135,sigaf!$I$2:$I$470)</f>
        <v>0</v>
      </c>
      <c r="H135" s="66">
        <f t="shared" si="23"/>
        <v>0</v>
      </c>
      <c r="I135" s="13">
        <f>SUMIF(sigaf!$B$2:$B$470,$A135,sigaf!$J$2:$J$470)</f>
        <v>0</v>
      </c>
      <c r="J135" s="66">
        <f t="shared" si="23"/>
        <v>0</v>
      </c>
      <c r="K135" s="13">
        <f>SUMIF(sigaf!$B$2:$B$470,$A135,sigaf!$K$2:$K$470)</f>
        <v>20339284</v>
      </c>
      <c r="L135" s="139">
        <f t="shared" si="27"/>
        <v>0.37333830156297321</v>
      </c>
      <c r="M135" s="13">
        <f>SUMIF(sigaf!$B$2:$B$470,$A135,sigaf!$L$2:$L$470)</f>
        <v>19030277</v>
      </c>
      <c r="N135" s="66">
        <f t="shared" si="24"/>
        <v>0.34931078662616216</v>
      </c>
      <c r="O135" s="85">
        <f>SUMIF(sigaf!$B$2:$B$470,$A135,sigaf!$M$2:$M$470)</f>
        <v>34140216</v>
      </c>
      <c r="P135" s="66">
        <f t="shared" si="25"/>
        <v>0.62666169843702679</v>
      </c>
      <c r="Q135" s="13">
        <f>SUMIF(sigaf!$B$2:$B$470,$A135,sigaf!$N$2:$N$470)</f>
        <v>34140216</v>
      </c>
      <c r="R135" s="66">
        <f t="shared" si="26"/>
        <v>0.62666169843702679</v>
      </c>
    </row>
    <row r="136" spans="1:18" x14ac:dyDescent="0.25">
      <c r="A136" s="11" t="s">
        <v>232</v>
      </c>
      <c r="B136" s="11" t="s">
        <v>490</v>
      </c>
      <c r="C136" s="13">
        <f>SUMIF(sigaf!$B$2:$B$470,$A136,sigaf!$F$2:$F$470)</f>
        <v>108274000</v>
      </c>
      <c r="D136" s="13">
        <f>SUMIF(sigaf!$B$2:$B$470,$A136,sigaf!$G$2:$G$470)</f>
        <v>108274000</v>
      </c>
      <c r="E136" s="13">
        <f>SUMIF(sigaf!$B$2:$B$470,$A136,sigaf!$H$2:$H$470)</f>
        <v>0</v>
      </c>
      <c r="F136" s="66">
        <f t="shared" si="22"/>
        <v>0</v>
      </c>
      <c r="G136" s="130">
        <f>SUMIF(sigaf!$B$2:$B$470,$A136,sigaf!$I$2:$I$470)</f>
        <v>0</v>
      </c>
      <c r="H136" s="66">
        <f t="shared" si="23"/>
        <v>0</v>
      </c>
      <c r="I136" s="13">
        <f>SUMIF(sigaf!$B$2:$B$470,$A136,sigaf!$J$2:$J$470)</f>
        <v>0</v>
      </c>
      <c r="J136" s="66">
        <f t="shared" si="23"/>
        <v>0</v>
      </c>
      <c r="K136" s="13">
        <f>SUMIF(sigaf!$B$2:$B$470,$A136,sigaf!$K$2:$K$470)</f>
        <v>93389685.530000001</v>
      </c>
      <c r="L136" s="139">
        <f t="shared" si="27"/>
        <v>0.86253103727580027</v>
      </c>
      <c r="M136" s="13">
        <f>SUMIF(sigaf!$B$2:$B$470,$A136,sigaf!$L$2:$L$470)</f>
        <v>84366275.659999996</v>
      </c>
      <c r="N136" s="66">
        <f t="shared" si="24"/>
        <v>0.77919237914919548</v>
      </c>
      <c r="O136" s="85">
        <f>SUMIF(sigaf!$B$2:$B$470,$A136,sigaf!$M$2:$M$470)</f>
        <v>14884314.470000001</v>
      </c>
      <c r="P136" s="66">
        <f t="shared" si="25"/>
        <v>0.13746896272419973</v>
      </c>
      <c r="Q136" s="13">
        <f>SUMIF(sigaf!$B$2:$B$470,$A136,sigaf!$N$2:$N$470)</f>
        <v>14884314.470000001</v>
      </c>
      <c r="R136" s="66">
        <f t="shared" si="26"/>
        <v>0.13746896272419973</v>
      </c>
    </row>
    <row r="137" spans="1:18" x14ac:dyDescent="0.25">
      <c r="A137" s="11" t="s">
        <v>609</v>
      </c>
      <c r="B137" s="11" t="s">
        <v>610</v>
      </c>
      <c r="C137" s="13">
        <f>SUMIF(sigaf!$B$2:$B$470,$A137,sigaf!$F$2:$F$470)</f>
        <v>4577817</v>
      </c>
      <c r="D137" s="13">
        <f>SUMIF(sigaf!$B$2:$B$470,$A137,sigaf!$G$2:$G$470)</f>
        <v>4577817</v>
      </c>
      <c r="E137" s="13">
        <f>SUMIF(sigaf!$B$2:$B$470,$A137,sigaf!$H$2:$H$470)</f>
        <v>0</v>
      </c>
      <c r="F137" s="66">
        <f t="shared" ref="F137:F138" si="35">+IFERROR(+E137/$C137,0)</f>
        <v>0</v>
      </c>
      <c r="G137" s="130">
        <f>SUMIF(sigaf!$B$2:$B$470,$A137,sigaf!$I$2:$I$470)</f>
        <v>0</v>
      </c>
      <c r="H137" s="66">
        <f t="shared" ref="H137:H138" si="36">+IFERROR(+G137/$C137,0)</f>
        <v>0</v>
      </c>
      <c r="I137" s="13">
        <f>SUMIF(sigaf!$B$2:$B$470,$A137,sigaf!$J$2:$J$470)</f>
        <v>0</v>
      </c>
      <c r="J137" s="66">
        <f t="shared" ref="J137:J138" si="37">+IFERROR(+I137/$C137,0)</f>
        <v>0</v>
      </c>
      <c r="K137" s="13">
        <f>SUMIF(sigaf!$B$2:$B$470,$A137,sigaf!$K$2:$K$470)</f>
        <v>0</v>
      </c>
      <c r="L137" s="139">
        <f t="shared" ref="L137:L138" si="38">+IFERROR(+K137/$C137,0)</f>
        <v>0</v>
      </c>
      <c r="M137" s="13">
        <f>SUMIF(sigaf!$B$2:$B$470,$A137,sigaf!$L$2:$L$470)</f>
        <v>0</v>
      </c>
      <c r="N137" s="66">
        <f t="shared" ref="N137:N138" si="39">+IFERROR(+M137/$C137,0)</f>
        <v>0</v>
      </c>
      <c r="O137" s="85">
        <f>SUMIF(sigaf!$B$2:$B$470,$A137,sigaf!$M$2:$M$470)</f>
        <v>4577817</v>
      </c>
      <c r="P137" s="66">
        <f t="shared" ref="P137:P138" si="40">+IFERROR(+O137/$C137,0)</f>
        <v>1</v>
      </c>
      <c r="Q137" s="13">
        <f>SUMIF(sigaf!$B$2:$B$470,$A137,sigaf!$N$2:$N$470)</f>
        <v>4577817</v>
      </c>
      <c r="R137" s="66">
        <f t="shared" ref="R137:R138" si="41">+IFERROR(+Q137/$C137,0)</f>
        <v>1</v>
      </c>
    </row>
    <row r="138" spans="1:18" x14ac:dyDescent="0.25">
      <c r="A138" s="11" t="s">
        <v>611</v>
      </c>
      <c r="B138" s="11" t="s">
        <v>612</v>
      </c>
      <c r="C138" s="13">
        <f>SUMIF(sigaf!$B$2:$B$470,$A138,sigaf!$F$2:$F$470)</f>
        <v>4577817</v>
      </c>
      <c r="D138" s="13">
        <f>SUMIF(sigaf!$B$2:$B$470,$A138,sigaf!$G$2:$G$470)</f>
        <v>4577817</v>
      </c>
      <c r="E138" s="13">
        <f>SUMIF(sigaf!$B$2:$B$470,$A138,sigaf!$H$2:$H$470)</f>
        <v>0</v>
      </c>
      <c r="F138" s="66">
        <f t="shared" si="35"/>
        <v>0</v>
      </c>
      <c r="G138" s="130">
        <f>SUMIF(sigaf!$B$2:$B$470,$A138,sigaf!$I$2:$I$470)</f>
        <v>0</v>
      </c>
      <c r="H138" s="66">
        <f t="shared" si="36"/>
        <v>0</v>
      </c>
      <c r="I138" s="13">
        <f>SUMIF(sigaf!$B$2:$B$470,$A138,sigaf!$J$2:$J$470)</f>
        <v>0</v>
      </c>
      <c r="J138" s="66">
        <f t="shared" si="37"/>
        <v>0</v>
      </c>
      <c r="K138" s="13">
        <f>SUMIF(sigaf!$B$2:$B$470,$A138,sigaf!$K$2:$K$470)</f>
        <v>0</v>
      </c>
      <c r="L138" s="139">
        <f t="shared" si="38"/>
        <v>0</v>
      </c>
      <c r="M138" s="13">
        <f>SUMIF(sigaf!$B$2:$B$470,$A138,sigaf!$L$2:$L$470)</f>
        <v>0</v>
      </c>
      <c r="N138" s="66">
        <f t="shared" si="39"/>
        <v>0</v>
      </c>
      <c r="O138" s="85">
        <f>SUMIF(sigaf!$B$2:$B$470,$A138,sigaf!$M$2:$M$470)</f>
        <v>4577817</v>
      </c>
      <c r="P138" s="66">
        <f t="shared" si="40"/>
        <v>1</v>
      </c>
      <c r="Q138" s="13">
        <f>SUMIF(sigaf!$B$2:$B$470,$A138,sigaf!$N$2:$N$470)</f>
        <v>4577817</v>
      </c>
      <c r="R138" s="66">
        <f t="shared" si="41"/>
        <v>1</v>
      </c>
    </row>
    <row r="139" spans="1:18" x14ac:dyDescent="0.25">
      <c r="A139" s="11" t="s">
        <v>234</v>
      </c>
      <c r="B139" s="11" t="s">
        <v>491</v>
      </c>
      <c r="C139" s="13">
        <f>SUMIF(sigaf!$B$2:$B$470,$A139,sigaf!$F$2:$F$470)</f>
        <v>1644563677</v>
      </c>
      <c r="D139" s="13">
        <f>SUMIF(sigaf!$B$2:$B$470,$A139,sigaf!$G$2:$G$470)</f>
        <v>1644563677</v>
      </c>
      <c r="E139" s="13">
        <f>SUMIF(sigaf!$B$2:$B$470,$A139,sigaf!$H$2:$H$470)</f>
        <v>0</v>
      </c>
      <c r="F139" s="66">
        <f t="shared" si="22"/>
        <v>0</v>
      </c>
      <c r="G139" s="130">
        <f>SUMIF(sigaf!$B$2:$B$470,$A139,sigaf!$I$2:$I$470)</f>
        <v>0</v>
      </c>
      <c r="H139" s="66">
        <f t="shared" si="23"/>
        <v>0</v>
      </c>
      <c r="I139" s="13">
        <f>SUMIF(sigaf!$B$2:$B$470,$A139,sigaf!$J$2:$J$470)</f>
        <v>0</v>
      </c>
      <c r="J139" s="66">
        <f t="shared" si="23"/>
        <v>0</v>
      </c>
      <c r="K139" s="13">
        <f>SUMIF(sigaf!$B$2:$B$470,$A139,sigaf!$K$2:$K$470)</f>
        <v>1444226486.73</v>
      </c>
      <c r="L139" s="139">
        <f t="shared" si="27"/>
        <v>0.87818216279989014</v>
      </c>
      <c r="M139" s="13">
        <f>SUMIF(sigaf!$B$2:$B$470,$A139,sigaf!$L$2:$L$470)</f>
        <v>1080823965.0699999</v>
      </c>
      <c r="N139" s="66">
        <f t="shared" si="24"/>
        <v>0.65721016472991212</v>
      </c>
      <c r="O139" s="85">
        <f>SUMIF(sigaf!$B$2:$B$470,$A139,sigaf!$M$2:$M$470)</f>
        <v>200337190.27000001</v>
      </c>
      <c r="P139" s="66">
        <f t="shared" si="25"/>
        <v>0.12181783720010983</v>
      </c>
      <c r="Q139" s="13">
        <f>SUMIF(sigaf!$B$2:$B$470,$A139,sigaf!$N$2:$N$470)</f>
        <v>200337190.27000001</v>
      </c>
      <c r="R139" s="66">
        <f t="shared" si="26"/>
        <v>0.12181783720010983</v>
      </c>
    </row>
    <row r="140" spans="1:18" x14ac:dyDescent="0.25">
      <c r="A140" s="11" t="s">
        <v>235</v>
      </c>
      <c r="B140" s="11" t="s">
        <v>492</v>
      </c>
      <c r="C140" s="13">
        <f>SUMIF(sigaf!$B$2:$B$470,$A140,sigaf!$F$2:$F$470)</f>
        <v>33486136</v>
      </c>
      <c r="D140" s="13">
        <f>SUMIF(sigaf!$B$2:$B$470,$A140,sigaf!$G$2:$G$470)</f>
        <v>33486136</v>
      </c>
      <c r="E140" s="13">
        <f>SUMIF(sigaf!$B$2:$B$470,$A140,sigaf!$H$2:$H$470)</f>
        <v>0</v>
      </c>
      <c r="F140" s="66">
        <f t="shared" si="22"/>
        <v>0</v>
      </c>
      <c r="G140" s="130">
        <f>SUMIF(sigaf!$B$2:$B$470,$A140,sigaf!$I$2:$I$470)</f>
        <v>0</v>
      </c>
      <c r="H140" s="66">
        <f t="shared" si="23"/>
        <v>0</v>
      </c>
      <c r="I140" s="13">
        <f>SUMIF(sigaf!$B$2:$B$470,$A140,sigaf!$J$2:$J$470)</f>
        <v>0</v>
      </c>
      <c r="J140" s="66">
        <f t="shared" si="23"/>
        <v>0</v>
      </c>
      <c r="K140" s="13">
        <f>SUMIF(sigaf!$B$2:$B$470,$A140,sigaf!$K$2:$K$470)</f>
        <v>21607295.740000002</v>
      </c>
      <c r="L140" s="139">
        <f t="shared" si="27"/>
        <v>0.6452609444099493</v>
      </c>
      <c r="M140" s="13">
        <f>SUMIF(sigaf!$B$2:$B$470,$A140,sigaf!$L$2:$L$470)</f>
        <v>20438721.899999999</v>
      </c>
      <c r="N140" s="66">
        <f t="shared" si="24"/>
        <v>0.61036370096567716</v>
      </c>
      <c r="O140" s="85">
        <f>SUMIF(sigaf!$B$2:$B$470,$A140,sigaf!$M$2:$M$470)</f>
        <v>11878840.26</v>
      </c>
      <c r="P140" s="66">
        <f t="shared" si="25"/>
        <v>0.35473905559005076</v>
      </c>
      <c r="Q140" s="13">
        <f>SUMIF(sigaf!$B$2:$B$470,$A140,sigaf!$N$2:$N$470)</f>
        <v>11878840.26</v>
      </c>
      <c r="R140" s="66">
        <f t="shared" si="26"/>
        <v>0.35473905559005076</v>
      </c>
    </row>
    <row r="141" spans="1:18" x14ac:dyDescent="0.25">
      <c r="A141" s="11" t="s">
        <v>237</v>
      </c>
      <c r="B141" s="11" t="s">
        <v>493</v>
      </c>
      <c r="C141" s="13">
        <f>SUMIF(sigaf!$B$2:$B$470,$A141,sigaf!$F$2:$F$470)</f>
        <v>50182019</v>
      </c>
      <c r="D141" s="13">
        <f>SUMIF(sigaf!$B$2:$B$470,$A141,sigaf!$G$2:$G$470)</f>
        <v>50182019</v>
      </c>
      <c r="E141" s="13">
        <f>SUMIF(sigaf!$B$2:$B$470,$A141,sigaf!$H$2:$H$470)</f>
        <v>0</v>
      </c>
      <c r="F141" s="66">
        <f t="shared" si="22"/>
        <v>0</v>
      </c>
      <c r="G141" s="130">
        <f>SUMIF(sigaf!$B$2:$B$470,$A141,sigaf!$I$2:$I$470)</f>
        <v>0</v>
      </c>
      <c r="H141" s="66">
        <f t="shared" si="23"/>
        <v>0</v>
      </c>
      <c r="I141" s="13">
        <f>SUMIF(sigaf!$B$2:$B$470,$A141,sigaf!$J$2:$J$470)</f>
        <v>0</v>
      </c>
      <c r="J141" s="66">
        <f t="shared" si="23"/>
        <v>0</v>
      </c>
      <c r="K141" s="13">
        <f>SUMIF(sigaf!$B$2:$B$470,$A141,sigaf!$K$2:$K$470)</f>
        <v>30484018.079999998</v>
      </c>
      <c r="L141" s="139">
        <f t="shared" si="27"/>
        <v>0.6074689438063462</v>
      </c>
      <c r="M141" s="13">
        <f>SUMIF(sigaf!$B$2:$B$470,$A141,sigaf!$L$2:$L$470)</f>
        <v>22686142.600000001</v>
      </c>
      <c r="N141" s="66">
        <f t="shared" si="24"/>
        <v>0.45207711949573015</v>
      </c>
      <c r="O141" s="85">
        <f>SUMIF(sigaf!$B$2:$B$470,$A141,sigaf!$M$2:$M$470)</f>
        <v>19698000.920000002</v>
      </c>
      <c r="P141" s="66">
        <f t="shared" si="25"/>
        <v>0.3925310561936538</v>
      </c>
      <c r="Q141" s="13">
        <f>SUMIF(sigaf!$B$2:$B$470,$A141,sigaf!$N$2:$N$470)</f>
        <v>19698000.920000002</v>
      </c>
      <c r="R141" s="66">
        <f t="shared" si="26"/>
        <v>0.3925310561936538</v>
      </c>
    </row>
    <row r="142" spans="1:18" x14ac:dyDescent="0.25">
      <c r="A142" s="11" t="s">
        <v>239</v>
      </c>
      <c r="B142" s="11" t="s">
        <v>494</v>
      </c>
      <c r="C142" s="13">
        <f>SUMIF(sigaf!$B$2:$B$470,$A142,sigaf!$F$2:$F$470)</f>
        <v>133362693</v>
      </c>
      <c r="D142" s="13">
        <f>SUMIF(sigaf!$B$2:$B$470,$A142,sigaf!$G$2:$G$470)</f>
        <v>133362693</v>
      </c>
      <c r="E142" s="13">
        <f>SUMIF(sigaf!$B$2:$B$470,$A142,sigaf!$H$2:$H$470)</f>
        <v>0</v>
      </c>
      <c r="F142" s="66">
        <f t="shared" ref="F142:F203" si="42">+IFERROR(+E142/$C142,0)</f>
        <v>0</v>
      </c>
      <c r="G142" s="130">
        <f>SUMIF(sigaf!$B$2:$B$470,$A142,sigaf!$I$2:$I$470)</f>
        <v>0</v>
      </c>
      <c r="H142" s="66">
        <f t="shared" ref="H142:J203" si="43">+IFERROR(+G142/$C142,0)</f>
        <v>0</v>
      </c>
      <c r="I142" s="13">
        <f>SUMIF(sigaf!$B$2:$B$470,$A142,sigaf!$J$2:$J$470)</f>
        <v>0</v>
      </c>
      <c r="J142" s="66">
        <f t="shared" si="43"/>
        <v>0</v>
      </c>
      <c r="K142" s="13">
        <f>SUMIF(sigaf!$B$2:$B$470,$A142,sigaf!$K$2:$K$470)</f>
        <v>92821607.729999989</v>
      </c>
      <c r="L142" s="139">
        <f t="shared" si="27"/>
        <v>0.69600879857757514</v>
      </c>
      <c r="M142" s="13">
        <f>SUMIF(sigaf!$B$2:$B$470,$A142,sigaf!$L$2:$L$470)</f>
        <v>62625067.590000004</v>
      </c>
      <c r="N142" s="66">
        <f t="shared" ref="N142:N203" si="44">+IFERROR(+M142/$C142,0)</f>
        <v>0.46958460556881526</v>
      </c>
      <c r="O142" s="85">
        <f>SUMIF(sigaf!$B$2:$B$470,$A142,sigaf!$M$2:$M$470)</f>
        <v>40541085.269999996</v>
      </c>
      <c r="P142" s="66">
        <f t="shared" ref="P142:R203" si="45">+IFERROR(+O142/$C142,0)</f>
        <v>0.30399120142242475</v>
      </c>
      <c r="Q142" s="13">
        <f>SUMIF(sigaf!$B$2:$B$470,$A142,sigaf!$N$2:$N$470)</f>
        <v>40541085.269999996</v>
      </c>
      <c r="R142" s="66">
        <f t="shared" ref="R142:R203" si="46">+IFERROR(+Q142/$C142,0)</f>
        <v>0.30399120142242475</v>
      </c>
    </row>
    <row r="143" spans="1:18" x14ac:dyDescent="0.25">
      <c r="A143" s="11" t="s">
        <v>241</v>
      </c>
      <c r="B143" s="11" t="s">
        <v>242</v>
      </c>
      <c r="C143" s="13">
        <f>SUMIF(sigaf!$B$2:$B$470,$A143,sigaf!$F$2:$F$470)</f>
        <v>637001000</v>
      </c>
      <c r="D143" s="13">
        <f>SUMIF(sigaf!$B$2:$B$470,$A143,sigaf!$G$2:$G$470)</f>
        <v>637001000</v>
      </c>
      <c r="E143" s="13">
        <f>SUMIF(sigaf!$B$2:$B$470,$A143,sigaf!$H$2:$H$470)</f>
        <v>0</v>
      </c>
      <c r="F143" s="66">
        <f t="shared" si="42"/>
        <v>0</v>
      </c>
      <c r="G143" s="130">
        <f>SUMIF(sigaf!$B$2:$B$470,$A143,sigaf!$I$2:$I$470)</f>
        <v>0</v>
      </c>
      <c r="H143" s="66">
        <f t="shared" si="43"/>
        <v>0</v>
      </c>
      <c r="I143" s="13">
        <f>SUMIF(sigaf!$B$2:$B$470,$A143,sigaf!$J$2:$J$470)</f>
        <v>0</v>
      </c>
      <c r="J143" s="66">
        <f t="shared" si="43"/>
        <v>0</v>
      </c>
      <c r="K143" s="13">
        <f>SUMIF(sigaf!$B$2:$B$470,$A143,sigaf!$K$2:$K$470)</f>
        <v>564635922.28999996</v>
      </c>
      <c r="L143" s="139">
        <f t="shared" si="27"/>
        <v>0.88639723060089382</v>
      </c>
      <c r="M143" s="13">
        <f>SUMIF(sigaf!$B$2:$B$470,$A143,sigaf!$L$2:$L$470)</f>
        <v>323324060.19999999</v>
      </c>
      <c r="N143" s="66">
        <f t="shared" si="44"/>
        <v>0.50757229611884436</v>
      </c>
      <c r="O143" s="85">
        <f>SUMIF(sigaf!$B$2:$B$470,$A143,sigaf!$M$2:$M$470)</f>
        <v>72365077.709999993</v>
      </c>
      <c r="P143" s="66">
        <f t="shared" si="45"/>
        <v>0.11360276939910612</v>
      </c>
      <c r="Q143" s="13">
        <f>SUMIF(sigaf!$B$2:$B$470,$A143,sigaf!$N$2:$N$470)</f>
        <v>72365077.709999993</v>
      </c>
      <c r="R143" s="66">
        <f t="shared" si="46"/>
        <v>0.11360276939910612</v>
      </c>
    </row>
    <row r="144" spans="1:18" x14ac:dyDescent="0.25">
      <c r="A144" s="11" t="s">
        <v>243</v>
      </c>
      <c r="B144" s="11" t="s">
        <v>495</v>
      </c>
      <c r="C144" s="13">
        <f>SUMIF(sigaf!$B$2:$B$470,$A144,sigaf!$F$2:$F$470)</f>
        <v>318641000</v>
      </c>
      <c r="D144" s="13">
        <f>SUMIF(sigaf!$B$2:$B$470,$A144,sigaf!$G$2:$G$470)</f>
        <v>318641000</v>
      </c>
      <c r="E144" s="13">
        <f>SUMIF(sigaf!$B$2:$B$470,$A144,sigaf!$H$2:$H$470)</f>
        <v>0</v>
      </c>
      <c r="F144" s="66">
        <f t="shared" si="42"/>
        <v>0</v>
      </c>
      <c r="G144" s="130">
        <f>SUMIF(sigaf!$B$2:$B$470,$A144,sigaf!$I$2:$I$470)</f>
        <v>0</v>
      </c>
      <c r="H144" s="66">
        <f t="shared" si="43"/>
        <v>0</v>
      </c>
      <c r="I144" s="13">
        <f>SUMIF(sigaf!$B$2:$B$470,$A144,sigaf!$J$2:$J$470)</f>
        <v>0</v>
      </c>
      <c r="J144" s="66">
        <f t="shared" si="43"/>
        <v>0</v>
      </c>
      <c r="K144" s="13">
        <f>SUMIF(sigaf!$B$2:$B$470,$A144,sigaf!$K$2:$K$470)</f>
        <v>305601716.56</v>
      </c>
      <c r="L144" s="139">
        <f t="shared" ref="L144:L201" si="47">+IFERROR(+K144/$C144,0)</f>
        <v>0.9590784505446569</v>
      </c>
      <c r="M144" s="13">
        <f>SUMIF(sigaf!$B$2:$B$470,$A144,sigaf!$L$2:$L$470)</f>
        <v>236786006.25999999</v>
      </c>
      <c r="N144" s="66">
        <f t="shared" si="44"/>
        <v>0.74311217407678232</v>
      </c>
      <c r="O144" s="85">
        <f>SUMIF(sigaf!$B$2:$B$470,$A144,sigaf!$M$2:$M$470)</f>
        <v>13039283.439999999</v>
      </c>
      <c r="P144" s="66">
        <f t="shared" si="45"/>
        <v>4.0921549455343161E-2</v>
      </c>
      <c r="Q144" s="13">
        <f>SUMIF(sigaf!$B$2:$B$470,$A144,sigaf!$N$2:$N$470)</f>
        <v>13039283.439999999</v>
      </c>
      <c r="R144" s="66">
        <f t="shared" si="46"/>
        <v>4.0921549455343161E-2</v>
      </c>
    </row>
    <row r="145" spans="1:18" x14ac:dyDescent="0.25">
      <c r="A145" s="11" t="s">
        <v>245</v>
      </c>
      <c r="B145" s="11" t="s">
        <v>496</v>
      </c>
      <c r="C145" s="13">
        <f>SUMIF(sigaf!$B$2:$B$470,$A145,sigaf!$F$2:$F$470)</f>
        <v>180610000</v>
      </c>
      <c r="D145" s="13">
        <f>SUMIF(sigaf!$B$2:$B$470,$A145,sigaf!$G$2:$G$470)</f>
        <v>180610000</v>
      </c>
      <c r="E145" s="13">
        <f>SUMIF(sigaf!$B$2:$B$470,$A145,sigaf!$H$2:$H$470)</f>
        <v>0</v>
      </c>
      <c r="F145" s="66">
        <f t="shared" si="42"/>
        <v>0</v>
      </c>
      <c r="G145" s="130">
        <f>SUMIF(sigaf!$B$2:$B$470,$A145,sigaf!$I$2:$I$470)</f>
        <v>0</v>
      </c>
      <c r="H145" s="66">
        <f t="shared" si="43"/>
        <v>0</v>
      </c>
      <c r="I145" s="13">
        <f>SUMIF(sigaf!$B$2:$B$470,$A145,sigaf!$J$2:$J$470)</f>
        <v>0</v>
      </c>
      <c r="J145" s="66">
        <f t="shared" si="43"/>
        <v>0</v>
      </c>
      <c r="K145" s="13">
        <f>SUMIF(sigaf!$B$2:$B$470,$A145,sigaf!$K$2:$K$470)</f>
        <v>171256852.57999998</v>
      </c>
      <c r="L145" s="139">
        <f t="shared" si="47"/>
        <v>0.9482135683516969</v>
      </c>
      <c r="M145" s="13">
        <f>SUMIF(sigaf!$B$2:$B$470,$A145,sigaf!$L$2:$L$470)</f>
        <v>167411541.25999999</v>
      </c>
      <c r="N145" s="66">
        <f t="shared" si="44"/>
        <v>0.92692287946403851</v>
      </c>
      <c r="O145" s="85">
        <f>SUMIF(sigaf!$B$2:$B$470,$A145,sigaf!$M$2:$M$470)</f>
        <v>9353147.4199999999</v>
      </c>
      <c r="P145" s="66">
        <f t="shared" si="45"/>
        <v>5.1786431648302975E-2</v>
      </c>
      <c r="Q145" s="13">
        <f>SUMIF(sigaf!$B$2:$B$470,$A145,sigaf!$N$2:$N$470)</f>
        <v>9353147.4199999999</v>
      </c>
      <c r="R145" s="66">
        <f t="shared" si="46"/>
        <v>5.1786431648302975E-2</v>
      </c>
    </row>
    <row r="146" spans="1:18" x14ac:dyDescent="0.25">
      <c r="A146" s="11" t="s">
        <v>247</v>
      </c>
      <c r="B146" s="11" t="s">
        <v>497</v>
      </c>
      <c r="C146" s="13">
        <f>SUMIF(sigaf!$B$2:$B$470,$A146,sigaf!$F$2:$F$470)</f>
        <v>93059347</v>
      </c>
      <c r="D146" s="13">
        <f>SUMIF(sigaf!$B$2:$B$470,$A146,sigaf!$G$2:$G$470)</f>
        <v>93059347</v>
      </c>
      <c r="E146" s="13">
        <f>SUMIF(sigaf!$B$2:$B$470,$A146,sigaf!$H$2:$H$470)</f>
        <v>0</v>
      </c>
      <c r="F146" s="66">
        <f t="shared" si="42"/>
        <v>0</v>
      </c>
      <c r="G146" s="130">
        <f>SUMIF(sigaf!$B$2:$B$470,$A146,sigaf!$I$2:$I$470)</f>
        <v>0</v>
      </c>
      <c r="H146" s="66">
        <f t="shared" si="43"/>
        <v>0</v>
      </c>
      <c r="I146" s="13">
        <f>SUMIF(sigaf!$B$2:$B$470,$A146,sigaf!$J$2:$J$470)</f>
        <v>0</v>
      </c>
      <c r="J146" s="66">
        <f t="shared" si="43"/>
        <v>0</v>
      </c>
      <c r="K146" s="13">
        <f>SUMIF(sigaf!$B$2:$B$470,$A146,sigaf!$K$2:$K$470)</f>
        <v>82729652.469999999</v>
      </c>
      <c r="L146" s="139">
        <f t="shared" si="47"/>
        <v>0.88899885005640544</v>
      </c>
      <c r="M146" s="13">
        <f>SUMIF(sigaf!$B$2:$B$470,$A146,sigaf!$L$2:$L$470)</f>
        <v>77837045.980000004</v>
      </c>
      <c r="N146" s="66">
        <f t="shared" si="44"/>
        <v>0.83642372839775037</v>
      </c>
      <c r="O146" s="85">
        <f>SUMIF(sigaf!$B$2:$B$470,$A146,sigaf!$M$2:$M$470)</f>
        <v>10329694.529999999</v>
      </c>
      <c r="P146" s="66">
        <f t="shared" si="45"/>
        <v>0.11100114994359458</v>
      </c>
      <c r="Q146" s="13">
        <f>SUMIF(sigaf!$B$2:$B$470,$A146,sigaf!$N$2:$N$470)</f>
        <v>10329694.529999999</v>
      </c>
      <c r="R146" s="66">
        <f t="shared" si="46"/>
        <v>0.11100114994359458</v>
      </c>
    </row>
    <row r="147" spans="1:18" x14ac:dyDescent="0.25">
      <c r="A147" s="11" t="s">
        <v>249</v>
      </c>
      <c r="B147" s="11" t="s">
        <v>498</v>
      </c>
      <c r="C147" s="13">
        <f>SUMIF(sigaf!$B$2:$B$470,$A147,sigaf!$F$2:$F$470)</f>
        <v>198221482</v>
      </c>
      <c r="D147" s="13">
        <f>SUMIF(sigaf!$B$2:$B$470,$A147,sigaf!$G$2:$G$470)</f>
        <v>198221482</v>
      </c>
      <c r="E147" s="13">
        <f>SUMIF(sigaf!$B$2:$B$470,$A147,sigaf!$H$2:$H$470)</f>
        <v>0</v>
      </c>
      <c r="F147" s="66">
        <f t="shared" si="42"/>
        <v>0</v>
      </c>
      <c r="G147" s="130">
        <f>SUMIF(sigaf!$B$2:$B$470,$A147,sigaf!$I$2:$I$470)</f>
        <v>0</v>
      </c>
      <c r="H147" s="66">
        <f t="shared" si="43"/>
        <v>0</v>
      </c>
      <c r="I147" s="13">
        <f>SUMIF(sigaf!$B$2:$B$470,$A147,sigaf!$J$2:$J$470)</f>
        <v>0</v>
      </c>
      <c r="J147" s="66">
        <f t="shared" si="43"/>
        <v>0</v>
      </c>
      <c r="K147" s="13">
        <f>SUMIF(sigaf!$B$2:$B$470,$A147,sigaf!$K$2:$K$470)</f>
        <v>175089421.28</v>
      </c>
      <c r="L147" s="139">
        <f t="shared" si="47"/>
        <v>0.88330194847398025</v>
      </c>
      <c r="M147" s="13">
        <f>SUMIF(sigaf!$B$2:$B$470,$A147,sigaf!$L$2:$L$470)</f>
        <v>169715379.28</v>
      </c>
      <c r="N147" s="66">
        <f t="shared" si="44"/>
        <v>0.85619064880162687</v>
      </c>
      <c r="O147" s="85">
        <f>SUMIF(sigaf!$B$2:$B$470,$A147,sigaf!$M$2:$M$470)</f>
        <v>23132060.719999999</v>
      </c>
      <c r="P147" s="66">
        <f t="shared" si="45"/>
        <v>0.11669805152601977</v>
      </c>
      <c r="Q147" s="13">
        <f>SUMIF(sigaf!$B$2:$B$470,$A147,sigaf!$N$2:$N$470)</f>
        <v>23132060.719999999</v>
      </c>
      <c r="R147" s="66">
        <f t="shared" si="46"/>
        <v>0.11669805152601977</v>
      </c>
    </row>
    <row r="148" spans="1:18" s="23" customFormat="1" x14ac:dyDescent="0.25">
      <c r="A148" s="21" t="s">
        <v>279</v>
      </c>
      <c r="B148" s="21" t="s">
        <v>280</v>
      </c>
      <c r="C148" s="35">
        <f>SUMIF(sigaf!$B$2:$B$470,$A148,sigaf!$F$2:$F$470)</f>
        <v>1954944685</v>
      </c>
      <c r="D148" s="13">
        <f>SUMIF(sigaf!$B$2:$B$470,$A148,sigaf!$G$2:$G$470)</f>
        <v>1954944685</v>
      </c>
      <c r="E148" s="13">
        <f>SUMIF(sigaf!$B$2:$B$470,$A148,sigaf!$H$2:$H$470)</f>
        <v>0</v>
      </c>
      <c r="F148" s="65">
        <f t="shared" si="42"/>
        <v>0</v>
      </c>
      <c r="G148" s="130">
        <f>SUMIF(sigaf!$B$2:$B$470,$A148,sigaf!$I$2:$I$470)</f>
        <v>0</v>
      </c>
      <c r="H148" s="65">
        <f t="shared" si="43"/>
        <v>0</v>
      </c>
      <c r="I148" s="13">
        <f>SUMIF(sigaf!$B$2:$B$470,$A148,sigaf!$J$2:$J$470)</f>
        <v>0</v>
      </c>
      <c r="J148" s="65">
        <f t="shared" si="43"/>
        <v>0</v>
      </c>
      <c r="K148" s="13">
        <f>SUMIF(sigaf!$B$2:$B$470,$A148,sigaf!$K$2:$K$470)</f>
        <v>1418559473.8900001</v>
      </c>
      <c r="L148" s="138">
        <f t="shared" si="47"/>
        <v>0.72562639995617073</v>
      </c>
      <c r="M148" s="13">
        <f>SUMIF(sigaf!$B$2:$B$470,$A148,sigaf!$L$2:$L$470)</f>
        <v>1087133667.0799999</v>
      </c>
      <c r="N148" s="65">
        <f t="shared" si="44"/>
        <v>0.55609433628553018</v>
      </c>
      <c r="O148" s="85">
        <f>SUMIF(sigaf!$B$2:$B$470,$A148,sigaf!$M$2:$M$470)</f>
        <v>536385211.11000001</v>
      </c>
      <c r="P148" s="65">
        <f t="shared" si="45"/>
        <v>0.27437360004382938</v>
      </c>
      <c r="Q148" s="13">
        <f>SUMIF(sigaf!$B$2:$B$470,$A148,sigaf!$N$2:$N$470)</f>
        <v>536385211.11000001</v>
      </c>
      <c r="R148" s="65">
        <f t="shared" si="46"/>
        <v>0.27437360004382938</v>
      </c>
    </row>
    <row r="149" spans="1:18" x14ac:dyDescent="0.25">
      <c r="A149" s="11" t="s">
        <v>281</v>
      </c>
      <c r="B149" s="11" t="s">
        <v>499</v>
      </c>
      <c r="C149" s="13">
        <f>SUMIF(sigaf!$B$2:$B$470,$A149,sigaf!$F$2:$F$470)</f>
        <v>714300413.80999994</v>
      </c>
      <c r="D149" s="13">
        <f>SUMIF(sigaf!$B$2:$B$470,$A149,sigaf!$G$2:$G$470)</f>
        <v>714300413.80999994</v>
      </c>
      <c r="E149" s="13">
        <f>SUMIF(sigaf!$B$2:$B$470,$A149,sigaf!$H$2:$H$470)</f>
        <v>0</v>
      </c>
      <c r="F149" s="66">
        <f t="shared" si="42"/>
        <v>0</v>
      </c>
      <c r="G149" s="130">
        <f>SUMIF(sigaf!$B$2:$B$470,$A149,sigaf!$I$2:$I$470)</f>
        <v>0</v>
      </c>
      <c r="H149" s="66">
        <f t="shared" si="43"/>
        <v>0</v>
      </c>
      <c r="I149" s="13">
        <f>SUMIF(sigaf!$B$2:$B$470,$A149,sigaf!$J$2:$J$470)</f>
        <v>0</v>
      </c>
      <c r="J149" s="66">
        <f t="shared" si="43"/>
        <v>0</v>
      </c>
      <c r="K149" s="13">
        <f>SUMIF(sigaf!$B$2:$B$470,$A149,sigaf!$K$2:$K$470)</f>
        <v>527165620.06999999</v>
      </c>
      <c r="L149" s="139">
        <f t="shared" si="47"/>
        <v>0.73801668020624056</v>
      </c>
      <c r="M149" s="13">
        <f>SUMIF(sigaf!$B$2:$B$470,$A149,sigaf!$L$2:$L$470)</f>
        <v>389156735.93000001</v>
      </c>
      <c r="N149" s="66">
        <f t="shared" si="44"/>
        <v>0.54480821851170536</v>
      </c>
      <c r="O149" s="85">
        <f>SUMIF(sigaf!$B$2:$B$470,$A149,sigaf!$M$2:$M$470)</f>
        <v>187134793.73999998</v>
      </c>
      <c r="P149" s="66">
        <f t="shared" si="45"/>
        <v>0.26198331979375955</v>
      </c>
      <c r="Q149" s="13">
        <f>SUMIF(sigaf!$B$2:$B$470,$A149,sigaf!$N$2:$N$470)</f>
        <v>187134793.73999998</v>
      </c>
      <c r="R149" s="66">
        <f t="shared" si="46"/>
        <v>0.26198331979375955</v>
      </c>
    </row>
    <row r="150" spans="1:18" x14ac:dyDescent="0.25">
      <c r="A150" s="11" t="s">
        <v>283</v>
      </c>
      <c r="B150" s="11" t="s">
        <v>500</v>
      </c>
      <c r="C150" s="13">
        <f>SUMIF(sigaf!$B$2:$B$470,$A150,sigaf!$F$2:$F$470)</f>
        <v>13198794</v>
      </c>
      <c r="D150" s="13">
        <f>SUMIF(sigaf!$B$2:$B$470,$A150,sigaf!$G$2:$G$470)</f>
        <v>13198794</v>
      </c>
      <c r="E150" s="13">
        <f>SUMIF(sigaf!$B$2:$B$470,$A150,sigaf!$H$2:$H$470)</f>
        <v>0</v>
      </c>
      <c r="F150" s="66">
        <f t="shared" si="42"/>
        <v>0</v>
      </c>
      <c r="G150" s="130">
        <f>SUMIF(sigaf!$B$2:$B$470,$A150,sigaf!$I$2:$I$470)</f>
        <v>0</v>
      </c>
      <c r="H150" s="66">
        <f t="shared" si="43"/>
        <v>0</v>
      </c>
      <c r="I150" s="13">
        <f>SUMIF(sigaf!$B$2:$B$470,$A150,sigaf!$J$2:$J$470)</f>
        <v>0</v>
      </c>
      <c r="J150" s="66">
        <f t="shared" si="43"/>
        <v>0</v>
      </c>
      <c r="K150" s="13">
        <f>SUMIF(sigaf!$B$2:$B$470,$A150,sigaf!$K$2:$K$470)</f>
        <v>6551172.9400000004</v>
      </c>
      <c r="L150" s="139">
        <f t="shared" si="47"/>
        <v>0.49634632830848036</v>
      </c>
      <c r="M150" s="13">
        <f>SUMIF(sigaf!$B$2:$B$470,$A150,sigaf!$L$2:$L$470)</f>
        <v>6551172.9400000004</v>
      </c>
      <c r="N150" s="66">
        <f t="shared" si="44"/>
        <v>0.49634632830848036</v>
      </c>
      <c r="O150" s="85">
        <f>SUMIF(sigaf!$B$2:$B$470,$A150,sigaf!$M$2:$M$470)</f>
        <v>6647621.0600000005</v>
      </c>
      <c r="P150" s="66">
        <f t="shared" si="45"/>
        <v>0.50365367169151976</v>
      </c>
      <c r="Q150" s="13">
        <f>SUMIF(sigaf!$B$2:$B$470,$A150,sigaf!$N$2:$N$470)</f>
        <v>6647621.0600000005</v>
      </c>
      <c r="R150" s="66">
        <f t="shared" si="46"/>
        <v>0.50365367169151976</v>
      </c>
    </row>
    <row r="151" spans="1:18" x14ac:dyDescent="0.25">
      <c r="A151" s="11" t="s">
        <v>398</v>
      </c>
      <c r="B151" s="11" t="s">
        <v>501</v>
      </c>
      <c r="C151" s="13">
        <f>SUMIF(sigaf!$B$2:$B$470,$A151,sigaf!$F$2:$F$470)</f>
        <v>85687284</v>
      </c>
      <c r="D151" s="13">
        <f>SUMIF(sigaf!$B$2:$B$470,$A151,sigaf!$G$2:$G$470)</f>
        <v>85687284</v>
      </c>
      <c r="E151" s="13">
        <f>SUMIF(sigaf!$B$2:$B$470,$A151,sigaf!$H$2:$H$470)</f>
        <v>0</v>
      </c>
      <c r="F151" s="66">
        <f t="shared" si="42"/>
        <v>0</v>
      </c>
      <c r="G151" s="130">
        <f>SUMIF(sigaf!$B$2:$B$470,$A151,sigaf!$I$2:$I$470)</f>
        <v>0</v>
      </c>
      <c r="H151" s="66">
        <f t="shared" si="43"/>
        <v>0</v>
      </c>
      <c r="I151" s="13">
        <f>SUMIF(sigaf!$B$2:$B$470,$A151,sigaf!$J$2:$J$470)</f>
        <v>0</v>
      </c>
      <c r="J151" s="66">
        <f t="shared" si="43"/>
        <v>0</v>
      </c>
      <c r="K151" s="13">
        <f>SUMIF(sigaf!$B$2:$B$470,$A151,sigaf!$K$2:$K$470)</f>
        <v>71535531.150000006</v>
      </c>
      <c r="L151" s="139">
        <f t="shared" si="47"/>
        <v>0.83484418936653426</v>
      </c>
      <c r="M151" s="13">
        <f>SUMIF(sigaf!$B$2:$B$470,$A151,sigaf!$L$2:$L$470)</f>
        <v>30645653.649999999</v>
      </c>
      <c r="N151" s="66">
        <f t="shared" si="44"/>
        <v>0.35764529133634343</v>
      </c>
      <c r="O151" s="85">
        <f>SUMIF(sigaf!$B$2:$B$470,$A151,sigaf!$M$2:$M$470)</f>
        <v>14151752.85</v>
      </c>
      <c r="P151" s="66">
        <f t="shared" si="45"/>
        <v>0.16515581063346574</v>
      </c>
      <c r="Q151" s="13">
        <f>SUMIF(sigaf!$B$2:$B$470,$A151,sigaf!$N$2:$N$470)</f>
        <v>14151752.85</v>
      </c>
      <c r="R151" s="66">
        <f t="shared" si="46"/>
        <v>0.16515581063346574</v>
      </c>
    </row>
    <row r="152" spans="1:18" x14ac:dyDescent="0.25">
      <c r="A152" s="11" t="s">
        <v>285</v>
      </c>
      <c r="B152" s="11" t="s">
        <v>502</v>
      </c>
      <c r="C152" s="13">
        <f>SUMIF(sigaf!$B$2:$B$470,$A152,sigaf!$F$2:$F$470)</f>
        <v>141972659</v>
      </c>
      <c r="D152" s="13">
        <f>SUMIF(sigaf!$B$2:$B$470,$A152,sigaf!$G$2:$G$470)</f>
        <v>141972659</v>
      </c>
      <c r="E152" s="13">
        <f>SUMIF(sigaf!$B$2:$B$470,$A152,sigaf!$H$2:$H$470)</f>
        <v>0</v>
      </c>
      <c r="F152" s="66">
        <f t="shared" si="42"/>
        <v>0</v>
      </c>
      <c r="G152" s="130">
        <f>SUMIF(sigaf!$B$2:$B$470,$A152,sigaf!$I$2:$I$470)</f>
        <v>0</v>
      </c>
      <c r="H152" s="66">
        <f t="shared" si="43"/>
        <v>0</v>
      </c>
      <c r="I152" s="13">
        <f>SUMIF(sigaf!$B$2:$B$470,$A152,sigaf!$J$2:$J$470)</f>
        <v>0</v>
      </c>
      <c r="J152" s="66">
        <f t="shared" si="43"/>
        <v>0</v>
      </c>
      <c r="K152" s="13">
        <f>SUMIF(sigaf!$B$2:$B$470,$A152,sigaf!$K$2:$K$470)</f>
        <v>123151861.8</v>
      </c>
      <c r="L152" s="139">
        <f t="shared" si="47"/>
        <v>0.86743365002412187</v>
      </c>
      <c r="M152" s="13">
        <f>SUMIF(sigaf!$B$2:$B$470,$A152,sigaf!$L$2:$L$470)</f>
        <v>115692425.36</v>
      </c>
      <c r="N152" s="66">
        <f t="shared" si="44"/>
        <v>0.81489229105725203</v>
      </c>
      <c r="O152" s="85">
        <f>SUMIF(sigaf!$B$2:$B$470,$A152,sigaf!$M$2:$M$470)</f>
        <v>18820797.199999999</v>
      </c>
      <c r="P152" s="66">
        <f t="shared" si="45"/>
        <v>0.1325663499758781</v>
      </c>
      <c r="Q152" s="13">
        <f>SUMIF(sigaf!$B$2:$B$470,$A152,sigaf!$N$2:$N$470)</f>
        <v>18820797.199999999</v>
      </c>
      <c r="R152" s="66">
        <f t="shared" si="46"/>
        <v>0.1325663499758781</v>
      </c>
    </row>
    <row r="153" spans="1:18" x14ac:dyDescent="0.25">
      <c r="A153" s="11" t="s">
        <v>287</v>
      </c>
      <c r="B153" s="11" t="s">
        <v>503</v>
      </c>
      <c r="C153" s="13">
        <f>SUMIF(sigaf!$B$2:$B$470,$A153,sigaf!$F$2:$F$470)</f>
        <v>102888503</v>
      </c>
      <c r="D153" s="13">
        <f>SUMIF(sigaf!$B$2:$B$470,$A153,sigaf!$G$2:$G$470)</f>
        <v>102888503</v>
      </c>
      <c r="E153" s="13">
        <f>SUMIF(sigaf!$B$2:$B$470,$A153,sigaf!$H$2:$H$470)</f>
        <v>0</v>
      </c>
      <c r="F153" s="66">
        <f t="shared" si="42"/>
        <v>0</v>
      </c>
      <c r="G153" s="130">
        <f>SUMIF(sigaf!$B$2:$B$470,$A153,sigaf!$I$2:$I$470)</f>
        <v>0</v>
      </c>
      <c r="H153" s="66">
        <f t="shared" si="43"/>
        <v>0</v>
      </c>
      <c r="I153" s="13">
        <f>SUMIF(sigaf!$B$2:$B$470,$A153,sigaf!$J$2:$J$470)</f>
        <v>0</v>
      </c>
      <c r="J153" s="66">
        <f t="shared" si="43"/>
        <v>0</v>
      </c>
      <c r="K153" s="13">
        <f>SUMIF(sigaf!$B$2:$B$470,$A153,sigaf!$K$2:$K$470)</f>
        <v>55482741.920000002</v>
      </c>
      <c r="L153" s="139">
        <f t="shared" si="47"/>
        <v>0.53925113401640223</v>
      </c>
      <c r="M153" s="13">
        <f>SUMIF(sigaf!$B$2:$B$470,$A153,sigaf!$L$2:$L$470)</f>
        <v>45390911.920000002</v>
      </c>
      <c r="N153" s="66">
        <f t="shared" si="44"/>
        <v>0.44116602532354854</v>
      </c>
      <c r="O153" s="85">
        <f>SUMIF(sigaf!$B$2:$B$470,$A153,sigaf!$M$2:$M$470)</f>
        <v>47405761.079999998</v>
      </c>
      <c r="P153" s="66">
        <f t="shared" si="45"/>
        <v>0.46074886598359777</v>
      </c>
      <c r="Q153" s="13">
        <f>SUMIF(sigaf!$B$2:$B$470,$A153,sigaf!$N$2:$N$470)</f>
        <v>47405761.079999998</v>
      </c>
      <c r="R153" s="66">
        <f t="shared" si="46"/>
        <v>0.46074886598359777</v>
      </c>
    </row>
    <row r="154" spans="1:18" x14ac:dyDescent="0.25">
      <c r="A154" s="11" t="s">
        <v>289</v>
      </c>
      <c r="B154" s="11" t="s">
        <v>504</v>
      </c>
      <c r="C154" s="13">
        <f>SUMIF(sigaf!$B$2:$B$470,$A154,sigaf!$F$2:$F$470)</f>
        <v>23722233.809999999</v>
      </c>
      <c r="D154" s="13">
        <f>SUMIF(sigaf!$B$2:$B$470,$A154,sigaf!$G$2:$G$470)</f>
        <v>23722233.809999999</v>
      </c>
      <c r="E154" s="13">
        <f>SUMIF(sigaf!$B$2:$B$470,$A154,sigaf!$H$2:$H$470)</f>
        <v>0</v>
      </c>
      <c r="F154" s="66">
        <f t="shared" si="42"/>
        <v>0</v>
      </c>
      <c r="G154" s="130">
        <f>SUMIF(sigaf!$B$2:$B$470,$A154,sigaf!$I$2:$I$470)</f>
        <v>0</v>
      </c>
      <c r="H154" s="66">
        <f t="shared" si="43"/>
        <v>0</v>
      </c>
      <c r="I154" s="13">
        <f>SUMIF(sigaf!$B$2:$B$470,$A154,sigaf!$J$2:$J$470)</f>
        <v>0</v>
      </c>
      <c r="J154" s="66">
        <f t="shared" si="43"/>
        <v>0</v>
      </c>
      <c r="K154" s="13">
        <f>SUMIF(sigaf!$B$2:$B$470,$A154,sigaf!$K$2:$K$470)</f>
        <v>21302427.279999997</v>
      </c>
      <c r="L154" s="139">
        <f t="shared" si="47"/>
        <v>0.8979941539493661</v>
      </c>
      <c r="M154" s="13">
        <f>SUMIF(sigaf!$B$2:$B$470,$A154,sigaf!$L$2:$L$470)</f>
        <v>14834594.789999999</v>
      </c>
      <c r="N154" s="66">
        <f t="shared" si="44"/>
        <v>0.62534561073867101</v>
      </c>
      <c r="O154" s="85">
        <f>SUMIF(sigaf!$B$2:$B$470,$A154,sigaf!$M$2:$M$470)</f>
        <v>2419806.5300000003</v>
      </c>
      <c r="P154" s="66">
        <f t="shared" si="45"/>
        <v>0.10200584605063381</v>
      </c>
      <c r="Q154" s="13">
        <f>SUMIF(sigaf!$B$2:$B$470,$A154,sigaf!$N$2:$N$470)</f>
        <v>2419806.5300000003</v>
      </c>
      <c r="R154" s="66">
        <f t="shared" si="46"/>
        <v>0.10200584605063381</v>
      </c>
    </row>
    <row r="155" spans="1:18" x14ac:dyDescent="0.25">
      <c r="A155" s="11" t="s">
        <v>291</v>
      </c>
      <c r="B155" s="11" t="s">
        <v>505</v>
      </c>
      <c r="C155" s="13">
        <f>SUMIF(sigaf!$B$2:$B$470,$A155,sigaf!$F$2:$F$470)</f>
        <v>29448040</v>
      </c>
      <c r="D155" s="13">
        <f>SUMIF(sigaf!$B$2:$B$470,$A155,sigaf!$G$2:$G$470)</f>
        <v>29448040</v>
      </c>
      <c r="E155" s="13">
        <f>SUMIF(sigaf!$B$2:$B$470,$A155,sigaf!$H$2:$H$470)</f>
        <v>0</v>
      </c>
      <c r="F155" s="66">
        <f t="shared" si="42"/>
        <v>0</v>
      </c>
      <c r="G155" s="130">
        <f>SUMIF(sigaf!$B$2:$B$470,$A155,sigaf!$I$2:$I$470)</f>
        <v>0</v>
      </c>
      <c r="H155" s="66">
        <f t="shared" si="43"/>
        <v>0</v>
      </c>
      <c r="I155" s="13">
        <f>SUMIF(sigaf!$B$2:$B$470,$A155,sigaf!$J$2:$J$470)</f>
        <v>0</v>
      </c>
      <c r="J155" s="66">
        <f t="shared" si="43"/>
        <v>0</v>
      </c>
      <c r="K155" s="13">
        <f>SUMIF(sigaf!$B$2:$B$470,$A155,sigaf!$K$2:$K$470)</f>
        <v>28048639.210000001</v>
      </c>
      <c r="L155" s="139">
        <f t="shared" si="47"/>
        <v>0.95247898366071226</v>
      </c>
      <c r="M155" s="13">
        <f>SUMIF(sigaf!$B$2:$B$470,$A155,sigaf!$L$2:$L$470)</f>
        <v>26037574.210000001</v>
      </c>
      <c r="N155" s="66">
        <f t="shared" si="44"/>
        <v>0.88418700225889402</v>
      </c>
      <c r="O155" s="85">
        <f>SUMIF(sigaf!$B$2:$B$470,$A155,sigaf!$M$2:$M$470)</f>
        <v>1399400.79</v>
      </c>
      <c r="P155" s="66">
        <f t="shared" si="45"/>
        <v>4.7521016339287778E-2</v>
      </c>
      <c r="Q155" s="13">
        <f>SUMIF(sigaf!$B$2:$B$470,$A155,sigaf!$N$2:$N$470)</f>
        <v>1399400.79</v>
      </c>
      <c r="R155" s="66">
        <f t="shared" si="46"/>
        <v>4.7521016339287778E-2</v>
      </c>
    </row>
    <row r="156" spans="1:18" x14ac:dyDescent="0.25">
      <c r="A156" s="11" t="s">
        <v>293</v>
      </c>
      <c r="B156" s="11" t="s">
        <v>506</v>
      </c>
      <c r="C156" s="13">
        <f>SUMIF(sigaf!$B$2:$B$470,$A156,sigaf!$F$2:$F$470)</f>
        <v>23640700</v>
      </c>
      <c r="D156" s="13">
        <f>SUMIF(sigaf!$B$2:$B$470,$A156,sigaf!$G$2:$G$470)</f>
        <v>23640700</v>
      </c>
      <c r="E156" s="13">
        <f>SUMIF(sigaf!$B$2:$B$470,$A156,sigaf!$H$2:$H$470)</f>
        <v>0</v>
      </c>
      <c r="F156" s="66">
        <f t="shared" si="42"/>
        <v>0</v>
      </c>
      <c r="G156" s="130">
        <f>SUMIF(sigaf!$B$2:$B$470,$A156,sigaf!$I$2:$I$470)</f>
        <v>0</v>
      </c>
      <c r="H156" s="66">
        <f t="shared" si="43"/>
        <v>0</v>
      </c>
      <c r="I156" s="13">
        <f>SUMIF(sigaf!$B$2:$B$470,$A156,sigaf!$J$2:$J$470)</f>
        <v>0</v>
      </c>
      <c r="J156" s="66">
        <f t="shared" si="43"/>
        <v>0</v>
      </c>
      <c r="K156" s="13">
        <f>SUMIF(sigaf!$B$2:$B$470,$A156,sigaf!$K$2:$K$470)</f>
        <v>22971351</v>
      </c>
      <c r="L156" s="139">
        <f t="shared" si="47"/>
        <v>0.97168658288460152</v>
      </c>
      <c r="M156" s="13">
        <f>SUMIF(sigaf!$B$2:$B$470,$A156,sigaf!$L$2:$L$470)</f>
        <v>14161351</v>
      </c>
      <c r="N156" s="66">
        <f t="shared" si="44"/>
        <v>0.59902418287106562</v>
      </c>
      <c r="O156" s="85">
        <f>SUMIF(sigaf!$B$2:$B$470,$A156,sigaf!$M$2:$M$470)</f>
        <v>669349</v>
      </c>
      <c r="P156" s="66">
        <f t="shared" si="45"/>
        <v>2.8313417115398445E-2</v>
      </c>
      <c r="Q156" s="13">
        <f>SUMIF(sigaf!$B$2:$B$470,$A156,sigaf!$N$2:$N$470)</f>
        <v>669349</v>
      </c>
      <c r="R156" s="66">
        <f t="shared" si="46"/>
        <v>2.8313417115398445E-2</v>
      </c>
    </row>
    <row r="157" spans="1:18" x14ac:dyDescent="0.25">
      <c r="A157" s="11" t="s">
        <v>295</v>
      </c>
      <c r="B157" s="11" t="s">
        <v>507</v>
      </c>
      <c r="C157" s="13">
        <f>SUMIF(sigaf!$B$2:$B$470,$A157,sigaf!$F$2:$F$470)</f>
        <v>293742200</v>
      </c>
      <c r="D157" s="13">
        <f>SUMIF(sigaf!$B$2:$B$470,$A157,sigaf!$G$2:$G$470)</f>
        <v>293742200</v>
      </c>
      <c r="E157" s="13">
        <f>SUMIF(sigaf!$B$2:$B$470,$A157,sigaf!$H$2:$H$470)</f>
        <v>0</v>
      </c>
      <c r="F157" s="66">
        <f t="shared" si="42"/>
        <v>0</v>
      </c>
      <c r="G157" s="130">
        <f>SUMIF(sigaf!$B$2:$B$470,$A157,sigaf!$I$2:$I$470)</f>
        <v>0</v>
      </c>
      <c r="H157" s="66">
        <f t="shared" si="43"/>
        <v>0</v>
      </c>
      <c r="I157" s="13">
        <f>SUMIF(sigaf!$B$2:$B$470,$A157,sigaf!$J$2:$J$470)</f>
        <v>0</v>
      </c>
      <c r="J157" s="66">
        <f t="shared" si="43"/>
        <v>0</v>
      </c>
      <c r="K157" s="13">
        <f>SUMIF(sigaf!$B$2:$B$470,$A157,sigaf!$K$2:$K$470)</f>
        <v>198121894.77000001</v>
      </c>
      <c r="L157" s="139">
        <f t="shared" si="47"/>
        <v>0.67447542358571566</v>
      </c>
      <c r="M157" s="13">
        <f>SUMIF(sigaf!$B$2:$B$470,$A157,sigaf!$L$2:$L$470)</f>
        <v>135843052.06</v>
      </c>
      <c r="N157" s="66">
        <f t="shared" si="44"/>
        <v>0.46245671224631668</v>
      </c>
      <c r="O157" s="85">
        <f>SUMIF(sigaf!$B$2:$B$470,$A157,sigaf!$M$2:$M$470)</f>
        <v>95620305.230000004</v>
      </c>
      <c r="P157" s="66">
        <f t="shared" si="45"/>
        <v>0.32552457641428439</v>
      </c>
      <c r="Q157" s="13">
        <f>SUMIF(sigaf!$B$2:$B$470,$A157,sigaf!$N$2:$N$470)</f>
        <v>95620305.230000004</v>
      </c>
      <c r="R157" s="66">
        <f t="shared" si="46"/>
        <v>0.32552457641428439</v>
      </c>
    </row>
    <row r="158" spans="1:18" x14ac:dyDescent="0.25">
      <c r="A158" s="11" t="s">
        <v>297</v>
      </c>
      <c r="B158" s="11" t="s">
        <v>508</v>
      </c>
      <c r="C158" s="13">
        <f>SUMIF(sigaf!$B$2:$B$470,$A158,sigaf!$F$2:$F$470)</f>
        <v>737909209.19000006</v>
      </c>
      <c r="D158" s="13">
        <f>SUMIF(sigaf!$B$2:$B$470,$A158,sigaf!$G$2:$G$470)</f>
        <v>737909209.19000006</v>
      </c>
      <c r="E158" s="13">
        <f>SUMIF(sigaf!$B$2:$B$470,$A158,sigaf!$H$2:$H$470)</f>
        <v>0</v>
      </c>
      <c r="F158" s="66">
        <f t="shared" si="42"/>
        <v>0</v>
      </c>
      <c r="G158" s="130">
        <f>SUMIF(sigaf!$B$2:$B$470,$A158,sigaf!$I$2:$I$470)</f>
        <v>0</v>
      </c>
      <c r="H158" s="66">
        <f t="shared" si="43"/>
        <v>0</v>
      </c>
      <c r="I158" s="13">
        <f>SUMIF(sigaf!$B$2:$B$470,$A158,sigaf!$J$2:$J$470)</f>
        <v>0</v>
      </c>
      <c r="J158" s="66">
        <f t="shared" si="43"/>
        <v>0</v>
      </c>
      <c r="K158" s="13">
        <f>SUMIF(sigaf!$B$2:$B$470,$A158,sigaf!$K$2:$K$470)</f>
        <v>663222307.61000001</v>
      </c>
      <c r="L158" s="139">
        <f t="shared" si="47"/>
        <v>0.898785784687545</v>
      </c>
      <c r="M158" s="13">
        <f>SUMIF(sigaf!$B$2:$B$470,$A158,sigaf!$L$2:$L$470)</f>
        <v>661869569.61000001</v>
      </c>
      <c r="N158" s="66">
        <f t="shared" si="44"/>
        <v>0.89695258084193252</v>
      </c>
      <c r="O158" s="85">
        <f>SUMIF(sigaf!$B$2:$B$470,$A158,sigaf!$M$2:$M$470)</f>
        <v>74686901.579999998</v>
      </c>
      <c r="P158" s="66">
        <f t="shared" si="45"/>
        <v>0.10121421531245491</v>
      </c>
      <c r="Q158" s="13">
        <f>SUMIF(sigaf!$B$2:$B$470,$A158,sigaf!$N$2:$N$470)</f>
        <v>74686901.579999998</v>
      </c>
      <c r="R158" s="66">
        <f t="shared" si="46"/>
        <v>0.10121421531245491</v>
      </c>
    </row>
    <row r="159" spans="1:18" x14ac:dyDescent="0.25">
      <c r="A159" s="11" t="s">
        <v>299</v>
      </c>
      <c r="B159" s="11" t="s">
        <v>300</v>
      </c>
      <c r="C159" s="13">
        <f>SUMIF(sigaf!$B$2:$B$470,$A159,sigaf!$F$2:$F$470)</f>
        <v>729101908.19000006</v>
      </c>
      <c r="D159" s="13">
        <f>SUMIF(sigaf!$B$2:$B$470,$A159,sigaf!$G$2:$G$470)</f>
        <v>729101908.19000006</v>
      </c>
      <c r="E159" s="13">
        <f>SUMIF(sigaf!$B$2:$B$470,$A159,sigaf!$H$2:$H$470)</f>
        <v>0</v>
      </c>
      <c r="F159" s="66">
        <f t="shared" si="42"/>
        <v>0</v>
      </c>
      <c r="G159" s="130">
        <f>SUMIF(sigaf!$B$2:$B$470,$A159,sigaf!$I$2:$I$470)</f>
        <v>0</v>
      </c>
      <c r="H159" s="66">
        <f t="shared" si="43"/>
        <v>0</v>
      </c>
      <c r="I159" s="13">
        <f>SUMIF(sigaf!$B$2:$B$470,$A159,sigaf!$J$2:$J$470)</f>
        <v>0</v>
      </c>
      <c r="J159" s="66">
        <f t="shared" si="43"/>
        <v>0</v>
      </c>
      <c r="K159" s="13">
        <f>SUMIF(sigaf!$B$2:$B$470,$A159,sigaf!$K$2:$K$470)</f>
        <v>654415130.61000001</v>
      </c>
      <c r="L159" s="139">
        <f t="shared" si="47"/>
        <v>0.89756332175098752</v>
      </c>
      <c r="M159" s="13">
        <f>SUMIF(sigaf!$B$2:$B$470,$A159,sigaf!$L$2:$L$470)</f>
        <v>654415130.61000001</v>
      </c>
      <c r="N159" s="66">
        <f t="shared" si="44"/>
        <v>0.89756332175098752</v>
      </c>
      <c r="O159" s="85">
        <f>SUMIF(sigaf!$B$2:$B$470,$A159,sigaf!$M$2:$M$470)</f>
        <v>74686777.579999998</v>
      </c>
      <c r="P159" s="66">
        <f t="shared" si="45"/>
        <v>0.10243667824901238</v>
      </c>
      <c r="Q159" s="13">
        <f>SUMIF(sigaf!$B$2:$B$470,$A159,sigaf!$N$2:$N$470)</f>
        <v>74686777.579999998</v>
      </c>
      <c r="R159" s="66">
        <f t="shared" si="46"/>
        <v>0.10243667824901238</v>
      </c>
    </row>
    <row r="160" spans="1:18" x14ac:dyDescent="0.25">
      <c r="A160" s="11" t="s">
        <v>366</v>
      </c>
      <c r="B160" s="11" t="s">
        <v>367</v>
      </c>
      <c r="C160" s="13">
        <f>SUMIF(sigaf!$B$2:$B$470,$A160,sigaf!$F$2:$F$470)</f>
        <v>8807301</v>
      </c>
      <c r="D160" s="13">
        <f>SUMIF(sigaf!$B$2:$B$470,$A160,sigaf!$G$2:$G$470)</f>
        <v>8807301</v>
      </c>
      <c r="E160" s="13">
        <f>SUMIF(sigaf!$B$2:$B$470,$A160,sigaf!$H$2:$H$470)</f>
        <v>0</v>
      </c>
      <c r="F160" s="66">
        <f t="shared" si="42"/>
        <v>0</v>
      </c>
      <c r="G160" s="130">
        <f>SUMIF(sigaf!$B$2:$B$470,$A160,sigaf!$I$2:$I$470)</f>
        <v>0</v>
      </c>
      <c r="H160" s="66">
        <f t="shared" si="43"/>
        <v>0</v>
      </c>
      <c r="I160" s="13">
        <f>SUMIF(sigaf!$B$2:$B$470,$A160,sigaf!$J$2:$J$470)</f>
        <v>0</v>
      </c>
      <c r="J160" s="66">
        <f t="shared" si="43"/>
        <v>0</v>
      </c>
      <c r="K160" s="13">
        <f>SUMIF(sigaf!$B$2:$B$470,$A160,sigaf!$K$2:$K$470)</f>
        <v>8807177</v>
      </c>
      <c r="L160" s="139">
        <f t="shared" si="47"/>
        <v>0.99998592077186865</v>
      </c>
      <c r="M160" s="13">
        <f>SUMIF(sigaf!$B$2:$B$470,$A160,sigaf!$L$2:$L$470)</f>
        <v>7454439</v>
      </c>
      <c r="N160" s="66">
        <f t="shared" si="44"/>
        <v>0.84639312315997828</v>
      </c>
      <c r="O160" s="85">
        <f>SUMIF(sigaf!$B$2:$B$470,$A160,sigaf!$M$2:$M$470)</f>
        <v>124</v>
      </c>
      <c r="P160" s="66">
        <f t="shared" si="45"/>
        <v>1.4079228131296977E-5</v>
      </c>
      <c r="Q160" s="13">
        <f>SUMIF(sigaf!$B$2:$B$470,$A160,sigaf!$N$2:$N$470)</f>
        <v>124</v>
      </c>
      <c r="R160" s="66">
        <f t="shared" si="46"/>
        <v>1.4079228131296977E-5</v>
      </c>
    </row>
    <row r="161" spans="1:18" x14ac:dyDescent="0.25">
      <c r="A161" s="11" t="s">
        <v>340</v>
      </c>
      <c r="B161" s="11" t="s">
        <v>509</v>
      </c>
      <c r="C161" s="13">
        <f>SUMIF(sigaf!$B$2:$B$470,$A161,sigaf!$F$2:$F$470)</f>
        <v>502735062</v>
      </c>
      <c r="D161" s="13">
        <f>SUMIF(sigaf!$B$2:$B$470,$A161,sigaf!$G$2:$G$470)</f>
        <v>502735062</v>
      </c>
      <c r="E161" s="13">
        <f>SUMIF(sigaf!$B$2:$B$470,$A161,sigaf!$H$2:$H$470)</f>
        <v>0</v>
      </c>
      <c r="F161" s="66">
        <f t="shared" si="42"/>
        <v>0</v>
      </c>
      <c r="G161" s="130">
        <f>SUMIF(sigaf!$B$2:$B$470,$A161,sigaf!$I$2:$I$470)</f>
        <v>0</v>
      </c>
      <c r="H161" s="66">
        <f t="shared" si="43"/>
        <v>0</v>
      </c>
      <c r="I161" s="13">
        <f>SUMIF(sigaf!$B$2:$B$470,$A161,sigaf!$J$2:$J$470)</f>
        <v>0</v>
      </c>
      <c r="J161" s="66">
        <f t="shared" si="43"/>
        <v>0</v>
      </c>
      <c r="K161" s="13">
        <f>SUMIF(sigaf!$B$2:$B$470,$A161,sigaf!$K$2:$K$470)</f>
        <v>228171546.21000001</v>
      </c>
      <c r="L161" s="139">
        <f t="shared" si="47"/>
        <v>0.45386041964584523</v>
      </c>
      <c r="M161" s="13">
        <f>SUMIF(sigaf!$B$2:$B$470,$A161,sigaf!$L$2:$L$470)</f>
        <v>36107361.539999999</v>
      </c>
      <c r="N161" s="66">
        <f t="shared" si="44"/>
        <v>7.1821848661910118E-2</v>
      </c>
      <c r="O161" s="85">
        <f>SUMIF(sigaf!$B$2:$B$470,$A161,sigaf!$M$2:$M$470)</f>
        <v>274563515.78999996</v>
      </c>
      <c r="P161" s="66">
        <f t="shared" si="45"/>
        <v>0.54613958035415477</v>
      </c>
      <c r="Q161" s="13">
        <f>SUMIF(sigaf!$B$2:$B$470,$A161,sigaf!$N$2:$N$470)</f>
        <v>274563515.78999996</v>
      </c>
      <c r="R161" s="66">
        <f t="shared" si="46"/>
        <v>0.54613958035415477</v>
      </c>
    </row>
    <row r="162" spans="1:18" x14ac:dyDescent="0.25">
      <c r="A162" s="11" t="s">
        <v>342</v>
      </c>
      <c r="B162" s="11" t="s">
        <v>343</v>
      </c>
      <c r="C162" s="13">
        <f>SUMIF(sigaf!$B$2:$B$470,$A162,sigaf!$F$2:$F$470)</f>
        <v>502735062</v>
      </c>
      <c r="D162" s="13">
        <f>SUMIF(sigaf!$B$2:$B$470,$A162,sigaf!$G$2:$G$470)</f>
        <v>502735062</v>
      </c>
      <c r="E162" s="13">
        <f>SUMIF(sigaf!$B$2:$B$470,$A162,sigaf!$H$2:$H$470)</f>
        <v>0</v>
      </c>
      <c r="F162" s="66">
        <f t="shared" si="42"/>
        <v>0</v>
      </c>
      <c r="G162" s="130">
        <f>SUMIF(sigaf!$B$2:$B$470,$A162,sigaf!$I$2:$I$470)</f>
        <v>0</v>
      </c>
      <c r="H162" s="66">
        <f t="shared" si="43"/>
        <v>0</v>
      </c>
      <c r="I162" s="13">
        <f>SUMIF(sigaf!$B$2:$B$470,$A162,sigaf!$J$2:$J$470)</f>
        <v>0</v>
      </c>
      <c r="J162" s="66">
        <f t="shared" si="43"/>
        <v>0</v>
      </c>
      <c r="K162" s="13">
        <f>SUMIF(sigaf!$B$2:$B$470,$A162,sigaf!$K$2:$K$470)</f>
        <v>228171546.21000001</v>
      </c>
      <c r="L162" s="139">
        <f t="shared" si="47"/>
        <v>0.45386041964584523</v>
      </c>
      <c r="M162" s="13">
        <f>SUMIF(sigaf!$B$2:$B$470,$A162,sigaf!$L$2:$L$470)</f>
        <v>36107361.539999999</v>
      </c>
      <c r="N162" s="66">
        <f t="shared" si="44"/>
        <v>7.1821848661910118E-2</v>
      </c>
      <c r="O162" s="85">
        <f>SUMIF(sigaf!$B$2:$B$470,$A162,sigaf!$M$2:$M$470)</f>
        <v>274563515.78999996</v>
      </c>
      <c r="P162" s="66">
        <f t="shared" si="45"/>
        <v>0.54613958035415477</v>
      </c>
      <c r="Q162" s="13">
        <f>SUMIF(sigaf!$B$2:$B$470,$A162,sigaf!$N$2:$N$470)</f>
        <v>274563515.78999996</v>
      </c>
      <c r="R162" s="66">
        <f t="shared" si="46"/>
        <v>0.54613958035415477</v>
      </c>
    </row>
    <row r="163" spans="1:18" s="272" customFormat="1" x14ac:dyDescent="0.25">
      <c r="A163" s="268" t="s">
        <v>251</v>
      </c>
      <c r="B163" s="268" t="s">
        <v>510</v>
      </c>
      <c r="C163" s="269">
        <f>+C164+C182+C184+C187+C190</f>
        <v>13557931872</v>
      </c>
      <c r="D163" s="269">
        <f t="shared" ref="D163:G163" si="48">+D164+D182+D184+D187+D190</f>
        <v>13557401367</v>
      </c>
      <c r="E163" s="269">
        <f t="shared" si="48"/>
        <v>0</v>
      </c>
      <c r="F163" s="270">
        <f t="shared" si="42"/>
        <v>0</v>
      </c>
      <c r="G163" s="269">
        <f t="shared" si="48"/>
        <v>0</v>
      </c>
      <c r="H163" s="270">
        <f t="shared" si="43"/>
        <v>0</v>
      </c>
      <c r="I163" s="269">
        <f t="shared" ref="I163" si="49">+I164+I182+I184+I187+I190</f>
        <v>0</v>
      </c>
      <c r="J163" s="270">
        <f t="shared" si="43"/>
        <v>0</v>
      </c>
      <c r="K163" s="269">
        <f t="shared" ref="K163:Q163" si="50">+K164+K182+K184+K187+K190</f>
        <v>13240377282.469999</v>
      </c>
      <c r="L163" s="271">
        <f t="shared" si="47"/>
        <v>0.97657794768936568</v>
      </c>
      <c r="M163" s="269">
        <f t="shared" si="50"/>
        <v>13240377282.469999</v>
      </c>
      <c r="N163" s="270">
        <f t="shared" si="44"/>
        <v>0.97657794768936568</v>
      </c>
      <c r="O163" s="269">
        <f t="shared" si="50"/>
        <v>317554589.53000003</v>
      </c>
      <c r="P163" s="270">
        <f t="shared" si="45"/>
        <v>2.3422052310634302E-2</v>
      </c>
      <c r="Q163" s="269">
        <f t="shared" si="50"/>
        <v>317024084.53000003</v>
      </c>
      <c r="R163" s="270">
        <f t="shared" si="46"/>
        <v>2.3382923555230566E-2</v>
      </c>
    </row>
    <row r="164" spans="1:18" x14ac:dyDescent="0.25">
      <c r="A164" s="11" t="s">
        <v>253</v>
      </c>
      <c r="B164" s="11" t="s">
        <v>511</v>
      </c>
      <c r="C164" s="13">
        <f>SUMIF(sigaf!$B$2:$B$470,$A164,sigaf!$F$2:$F$470)</f>
        <v>10410026800</v>
      </c>
      <c r="D164" s="13">
        <f>SUMIF(sigaf!$B$2:$B$470,$A164,sigaf!$G$2:$G$470)</f>
        <v>10409496295</v>
      </c>
      <c r="E164" s="13">
        <f>SUMIF(sigaf!$B$2:$B$470,$A164,sigaf!$H$2:$H$470)</f>
        <v>0</v>
      </c>
      <c r="F164" s="66">
        <f t="shared" si="42"/>
        <v>0</v>
      </c>
      <c r="G164" s="13">
        <f>SUMIF(sigaf!$B$2:$B$470,$A164,sigaf!$I$2:$I$470)</f>
        <v>0</v>
      </c>
      <c r="H164" s="66">
        <f t="shared" si="43"/>
        <v>0</v>
      </c>
      <c r="I164" s="13">
        <f>SUMIF(sigaf!$B$2:$B$470,$A164,sigaf!$J$2:$J$470)</f>
        <v>0</v>
      </c>
      <c r="J164" s="66">
        <f t="shared" si="43"/>
        <v>0</v>
      </c>
      <c r="K164" s="13">
        <f>SUMIF(sigaf!$B$2:$B$470,$A164,sigaf!$K$2:$K$470)</f>
        <v>10222964706.119999</v>
      </c>
      <c r="L164" s="139">
        <f t="shared" si="47"/>
        <v>0.98203058479349914</v>
      </c>
      <c r="M164" s="13">
        <f>SUMIF(sigaf!$B$2:$B$470,$A164,sigaf!$L$2:$L$470)</f>
        <v>10222964706.119999</v>
      </c>
      <c r="N164" s="66">
        <f t="shared" si="44"/>
        <v>0.98203058479349914</v>
      </c>
      <c r="O164" s="85">
        <f>SUMIF(sigaf!$B$2:$B$470,$A164,sigaf!$M$2:$M$470)</f>
        <v>187062093.88</v>
      </c>
      <c r="P164" s="66">
        <f t="shared" si="45"/>
        <v>1.7969415206500718E-2</v>
      </c>
      <c r="Q164" s="13">
        <f>SUMIF(sigaf!$B$2:$B$470,$A164,sigaf!$N$2:$N$470)</f>
        <v>186531588.88</v>
      </c>
      <c r="R164" s="66">
        <f t="shared" si="46"/>
        <v>1.7918454242596187E-2</v>
      </c>
    </row>
    <row r="165" spans="1:18" s="63" customFormat="1" x14ac:dyDescent="0.25">
      <c r="A165" s="264" t="s">
        <v>399</v>
      </c>
      <c r="B165" s="264" t="s">
        <v>512</v>
      </c>
      <c r="C165" s="265">
        <f>SUM(C166:C169)</f>
        <v>252000000</v>
      </c>
      <c r="D165" s="265">
        <f t="shared" ref="D165:G165" si="51">SUM(D166:D169)</f>
        <v>252000000</v>
      </c>
      <c r="E165" s="265">
        <f t="shared" si="51"/>
        <v>0</v>
      </c>
      <c r="F165" s="266">
        <f t="shared" si="42"/>
        <v>0</v>
      </c>
      <c r="G165" s="265">
        <f t="shared" si="51"/>
        <v>0</v>
      </c>
      <c r="H165" s="266">
        <f t="shared" si="43"/>
        <v>0</v>
      </c>
      <c r="I165" s="265">
        <f t="shared" ref="I165" si="52">SUM(I166:I169)</f>
        <v>0</v>
      </c>
      <c r="J165" s="266">
        <f t="shared" si="43"/>
        <v>0</v>
      </c>
      <c r="K165" s="265">
        <f t="shared" ref="K165:Q165" si="53">SUM(K166:K169)</f>
        <v>244456955.97999999</v>
      </c>
      <c r="L165" s="267">
        <f t="shared" si="47"/>
        <v>0.97006728563492062</v>
      </c>
      <c r="M165" s="265">
        <f t="shared" si="53"/>
        <v>244456955.97999999</v>
      </c>
      <c r="N165" s="266">
        <f t="shared" si="44"/>
        <v>0.97006728563492062</v>
      </c>
      <c r="O165" s="265">
        <f t="shared" si="53"/>
        <v>7543044.0199999996</v>
      </c>
      <c r="P165" s="266">
        <f t="shared" si="45"/>
        <v>2.9932714365079362E-2</v>
      </c>
      <c r="Q165" s="265">
        <f t="shared" si="53"/>
        <v>7543044.0199999996</v>
      </c>
      <c r="R165" s="266">
        <f t="shared" si="46"/>
        <v>2.9932714365079362E-2</v>
      </c>
    </row>
    <row r="166" spans="1:18" x14ac:dyDescent="0.25">
      <c r="A166" s="11" t="s">
        <v>255</v>
      </c>
      <c r="B166" s="11" t="s">
        <v>513</v>
      </c>
      <c r="C166" s="13">
        <f>SUMIF(sigaf!$B$2:$B$470,$A166,sigaf!$F$2:$F$470)</f>
        <v>2000000</v>
      </c>
      <c r="D166" s="13">
        <f>SUMIF(sigaf!$B$2:$B$470,$A166,sigaf!$G$2:$G$470)</f>
        <v>2000000</v>
      </c>
      <c r="E166" s="13">
        <f>SUMIF(sigaf!$B$2:$B$470,$A166,sigaf!$H$2:$H$470)</f>
        <v>0</v>
      </c>
      <c r="F166" s="66">
        <f t="shared" si="42"/>
        <v>0</v>
      </c>
      <c r="G166" s="13">
        <f>SUMIF(sigaf!$B$2:$B$470,$A166,sigaf!$I$2:$I$470)</f>
        <v>0</v>
      </c>
      <c r="H166" s="66">
        <f t="shared" si="43"/>
        <v>0</v>
      </c>
      <c r="I166" s="13">
        <f>SUMIF(sigaf!$B$2:$B$470,$A166,sigaf!$J$2:$J$470)</f>
        <v>0</v>
      </c>
      <c r="J166" s="66">
        <f t="shared" si="43"/>
        <v>0</v>
      </c>
      <c r="K166" s="13">
        <f>SUMIF(sigaf!$B$2:$B$470,$A166,sigaf!$K$2:$K$470)</f>
        <v>2000000</v>
      </c>
      <c r="L166" s="139">
        <f t="shared" si="47"/>
        <v>1</v>
      </c>
      <c r="M166" s="13">
        <f>SUMIF(sigaf!$B$2:$B$470,$A166,sigaf!$L$2:$L$470)</f>
        <v>2000000</v>
      </c>
      <c r="N166" s="66">
        <f t="shared" si="44"/>
        <v>1</v>
      </c>
      <c r="O166" s="85">
        <f>SUMIF(sigaf!$B$2:$B$470,$A166,sigaf!$M$2:$M$470)</f>
        <v>0</v>
      </c>
      <c r="P166" s="66">
        <f t="shared" si="45"/>
        <v>0</v>
      </c>
      <c r="Q166" s="13">
        <f>SUMIF(sigaf!$B$2:$B$470,$A166,sigaf!$N$2:$N$470)</f>
        <v>0</v>
      </c>
      <c r="R166" s="66">
        <f t="shared" si="46"/>
        <v>0</v>
      </c>
    </row>
    <row r="167" spans="1:18" x14ac:dyDescent="0.25">
      <c r="A167" s="11" t="s">
        <v>368</v>
      </c>
      <c r="B167" s="11" t="s">
        <v>514</v>
      </c>
      <c r="C167" s="13">
        <f>SUMIF(sigaf!$B$2:$B$470,$A167,sigaf!$F$2:$F$470)</f>
        <v>0</v>
      </c>
      <c r="D167" s="13">
        <f>SUMIF(sigaf!$B$2:$B$470,$A167,sigaf!$G$2:$G$470)</f>
        <v>0</v>
      </c>
      <c r="E167" s="13">
        <f>SUMIF(sigaf!$B$2:$B$470,$A167,sigaf!$H$2:$H$470)</f>
        <v>0</v>
      </c>
      <c r="F167" s="66">
        <f t="shared" si="42"/>
        <v>0</v>
      </c>
      <c r="G167" s="13">
        <f>SUMIF(sigaf!$B$2:$B$470,$A167,sigaf!$I$2:$I$470)</f>
        <v>0</v>
      </c>
      <c r="H167" s="66">
        <f t="shared" si="43"/>
        <v>0</v>
      </c>
      <c r="I167" s="13">
        <f>SUMIF(sigaf!$B$2:$B$470,$A167,sigaf!$J$2:$J$470)</f>
        <v>0</v>
      </c>
      <c r="J167" s="66">
        <f t="shared" si="43"/>
        <v>0</v>
      </c>
      <c r="K167" s="13">
        <f>SUMIF(sigaf!$B$2:$B$470,$A167,sigaf!$K$2:$K$470)</f>
        <v>0</v>
      </c>
      <c r="L167" s="139">
        <f t="shared" si="47"/>
        <v>0</v>
      </c>
      <c r="M167" s="13">
        <f>SUMIF(sigaf!$B$2:$B$470,$A167,sigaf!$L$2:$L$470)</f>
        <v>0</v>
      </c>
      <c r="N167" s="66">
        <f t="shared" si="44"/>
        <v>0</v>
      </c>
      <c r="O167" s="85">
        <f>SUMIF(sigaf!$B$2:$B$470,$A167,sigaf!$M$2:$M$470)</f>
        <v>0</v>
      </c>
      <c r="P167" s="66">
        <f t="shared" si="45"/>
        <v>0</v>
      </c>
      <c r="Q167" s="13">
        <f>SUMIF(sigaf!$B$2:$B$470,$A167,sigaf!$N$2:$N$470)</f>
        <v>0</v>
      </c>
      <c r="R167" s="66">
        <f t="shared" si="46"/>
        <v>0</v>
      </c>
    </row>
    <row r="168" spans="1:18" x14ac:dyDescent="0.25">
      <c r="A168" s="11" t="s">
        <v>400</v>
      </c>
      <c r="B168" s="11" t="s">
        <v>515</v>
      </c>
      <c r="C168" s="13">
        <f>SUMIF(sigaf!$B$2:$B$470,$A168,sigaf!$F$2:$F$470)</f>
        <v>0</v>
      </c>
      <c r="D168" s="13">
        <f>SUMIF(sigaf!$B$2:$B$470,$A168,sigaf!$G$2:$G$470)</f>
        <v>0</v>
      </c>
      <c r="E168" s="13">
        <f>SUMIF(sigaf!$B$2:$B$470,$A168,sigaf!$H$2:$H$470)</f>
        <v>0</v>
      </c>
      <c r="F168" s="66">
        <f t="shared" si="42"/>
        <v>0</v>
      </c>
      <c r="G168" s="13">
        <f>SUMIF(sigaf!$B$2:$B$470,$A168,sigaf!$I$2:$I$470)</f>
        <v>0</v>
      </c>
      <c r="H168" s="66">
        <f t="shared" si="43"/>
        <v>0</v>
      </c>
      <c r="I168" s="13">
        <f>SUMIF(sigaf!$B$2:$B$470,$A168,sigaf!$J$2:$J$470)</f>
        <v>0</v>
      </c>
      <c r="J168" s="66">
        <f t="shared" si="43"/>
        <v>0</v>
      </c>
      <c r="K168" s="13">
        <f>SUMIF(sigaf!$B$2:$B$470,$A168,sigaf!$K$2:$K$470)</f>
        <v>0</v>
      </c>
      <c r="L168" s="139">
        <f t="shared" si="47"/>
        <v>0</v>
      </c>
      <c r="M168" s="13">
        <f>SUMIF(sigaf!$B$2:$B$470,$A168,sigaf!$L$2:$L$470)</f>
        <v>0</v>
      </c>
      <c r="N168" s="66">
        <f t="shared" si="44"/>
        <v>0</v>
      </c>
      <c r="O168" s="85">
        <f>SUMIF(sigaf!$B$2:$B$470,$A168,sigaf!$M$2:$M$470)</f>
        <v>0</v>
      </c>
      <c r="P168" s="66">
        <f t="shared" si="45"/>
        <v>0</v>
      </c>
      <c r="Q168" s="13">
        <f>SUMIF(sigaf!$B$2:$B$470,$A168,sigaf!$N$2:$N$470)</f>
        <v>0</v>
      </c>
      <c r="R168" s="66">
        <f t="shared" si="46"/>
        <v>0</v>
      </c>
    </row>
    <row r="169" spans="1:18" x14ac:dyDescent="0.25">
      <c r="A169" s="11" t="s">
        <v>257</v>
      </c>
      <c r="B169" s="11" t="s">
        <v>516</v>
      </c>
      <c r="C169" s="13">
        <f>SUMIF(sigaf!$B$2:$B$470,$A169,sigaf!$F$2:$F$470)</f>
        <v>250000000</v>
      </c>
      <c r="D169" s="13">
        <f>SUMIF(sigaf!$B$2:$B$470,$A169,sigaf!$G$2:$G$470)</f>
        <v>250000000</v>
      </c>
      <c r="E169" s="13">
        <f>SUMIF(sigaf!$B$2:$B$470,$A169,sigaf!$H$2:$H$470)</f>
        <v>0</v>
      </c>
      <c r="F169" s="66">
        <f t="shared" si="42"/>
        <v>0</v>
      </c>
      <c r="G169" s="13">
        <f>SUMIF(sigaf!$B$2:$B$470,$A169,sigaf!$I$2:$I$470)</f>
        <v>0</v>
      </c>
      <c r="H169" s="66">
        <f t="shared" si="43"/>
        <v>0</v>
      </c>
      <c r="I169" s="13">
        <f>SUMIF(sigaf!$B$2:$B$470,$A169,sigaf!$J$2:$J$470)</f>
        <v>0</v>
      </c>
      <c r="J169" s="66">
        <f t="shared" si="43"/>
        <v>0</v>
      </c>
      <c r="K169" s="13">
        <f>SUMIF(sigaf!$B$2:$B$470,$A169,sigaf!$K$2:$K$470)</f>
        <v>242456955.97999999</v>
      </c>
      <c r="L169" s="139">
        <f t="shared" si="47"/>
        <v>0.96982782392</v>
      </c>
      <c r="M169" s="13">
        <f>SUMIF(sigaf!$B$2:$B$470,$A169,sigaf!$L$2:$L$470)</f>
        <v>242456955.97999999</v>
      </c>
      <c r="N169" s="66">
        <f t="shared" si="44"/>
        <v>0.96982782392</v>
      </c>
      <c r="O169" s="85">
        <f>SUMIF(sigaf!$B$2:$B$470,$A169,sigaf!$M$2:$M$470)</f>
        <v>7543044.0199999996</v>
      </c>
      <c r="P169" s="66">
        <f t="shared" si="45"/>
        <v>3.0172176079999998E-2</v>
      </c>
      <c r="Q169" s="13">
        <f>SUMIF(sigaf!$B$2:$B$470,$A169,sigaf!$N$2:$N$470)</f>
        <v>7543044.0199999996</v>
      </c>
      <c r="R169" s="66">
        <f t="shared" si="46"/>
        <v>3.0172176079999998E-2</v>
      </c>
    </row>
    <row r="170" spans="1:18" s="63" customFormat="1" x14ac:dyDescent="0.25">
      <c r="A170" s="264" t="s">
        <v>401</v>
      </c>
      <c r="B170" s="264" t="s">
        <v>517</v>
      </c>
      <c r="C170" s="265">
        <f>SUM(C171:C181)</f>
        <v>10158026800</v>
      </c>
      <c r="D170" s="265">
        <f>SUM(D171:D181)</f>
        <v>10157496295</v>
      </c>
      <c r="E170" s="265">
        <f>SUM(E171:E181)</f>
        <v>0</v>
      </c>
      <c r="F170" s="266">
        <f t="shared" si="42"/>
        <v>0</v>
      </c>
      <c r="G170" s="265">
        <f>SUM(G171:G181)</f>
        <v>0</v>
      </c>
      <c r="H170" s="266">
        <f t="shared" si="43"/>
        <v>0</v>
      </c>
      <c r="I170" s="265">
        <f>SUM(I171:I181)</f>
        <v>0</v>
      </c>
      <c r="J170" s="266">
        <f t="shared" si="43"/>
        <v>0</v>
      </c>
      <c r="K170" s="265">
        <f>SUM(K171:K181)</f>
        <v>9978507750.1399994</v>
      </c>
      <c r="L170" s="267">
        <f t="shared" si="47"/>
        <v>0.9823273699317272</v>
      </c>
      <c r="M170" s="265">
        <f>SUM(M171:M181)</f>
        <v>9978507750.1399994</v>
      </c>
      <c r="N170" s="266">
        <f t="shared" si="44"/>
        <v>0.9823273699317272</v>
      </c>
      <c r="O170" s="265">
        <f>SUM(O171:O181)</f>
        <v>179519049.86000001</v>
      </c>
      <c r="P170" s="266">
        <f t="shared" si="45"/>
        <v>1.7672630068272709E-2</v>
      </c>
      <c r="Q170" s="265">
        <f>SUM(Q171:Q181)</f>
        <v>178988544.86000001</v>
      </c>
      <c r="R170" s="266">
        <f t="shared" si="46"/>
        <v>1.7620404866425438E-2</v>
      </c>
    </row>
    <row r="171" spans="1:18" x14ac:dyDescent="0.25">
      <c r="A171" s="11" t="s">
        <v>259</v>
      </c>
      <c r="B171" s="11" t="s">
        <v>518</v>
      </c>
      <c r="C171" s="13">
        <f>SUMIF(sigaf!$B$2:$B$470,$A171,sigaf!$F$2:$F$470)</f>
        <v>12514450</v>
      </c>
      <c r="D171" s="13">
        <f>SUMIF(sigaf!$B$2:$B$470,$A171,sigaf!$G$2:$G$470)</f>
        <v>12514450</v>
      </c>
      <c r="E171" s="13">
        <f>SUMIF(sigaf!$B$2:$B$470,$A171,sigaf!$H$2:$H$470)</f>
        <v>0</v>
      </c>
      <c r="F171" s="66">
        <f t="shared" si="42"/>
        <v>0</v>
      </c>
      <c r="G171" s="13">
        <f>SUMIF(sigaf!$B$2:$B$470,$A171,sigaf!$I$2:$I$470)</f>
        <v>0</v>
      </c>
      <c r="H171" s="66">
        <f t="shared" si="43"/>
        <v>0</v>
      </c>
      <c r="I171" s="13">
        <f>SUMIF(sigaf!$B$2:$B$470,$A171,sigaf!$J$2:$J$470)</f>
        <v>0</v>
      </c>
      <c r="J171" s="66">
        <f t="shared" si="43"/>
        <v>0</v>
      </c>
      <c r="K171" s="13">
        <f>SUMIF(sigaf!$B$2:$B$470,$A171,sigaf!$K$2:$K$470)</f>
        <v>10893053</v>
      </c>
      <c r="L171" s="139">
        <f t="shared" si="47"/>
        <v>0.87043801365621343</v>
      </c>
      <c r="M171" s="13">
        <f>SUMIF(sigaf!$B$2:$B$470,$A171,sigaf!$L$2:$L$470)</f>
        <v>10893053</v>
      </c>
      <c r="N171" s="66">
        <f t="shared" si="44"/>
        <v>0.87043801365621343</v>
      </c>
      <c r="O171" s="85">
        <f>SUMIF(sigaf!$B$2:$B$470,$A171,sigaf!$M$2:$M$470)</f>
        <v>1621397</v>
      </c>
      <c r="P171" s="66">
        <f t="shared" si="45"/>
        <v>0.12956198634378657</v>
      </c>
      <c r="Q171" s="13">
        <f>SUMIF(sigaf!$B$2:$B$470,$A171,sigaf!$N$2:$N$470)</f>
        <v>1621397</v>
      </c>
      <c r="R171" s="66">
        <f t="shared" si="46"/>
        <v>0.12956198634378657</v>
      </c>
    </row>
    <row r="172" spans="1:18" x14ac:dyDescent="0.25">
      <c r="A172" s="11" t="s">
        <v>311</v>
      </c>
      <c r="B172" s="11" t="s">
        <v>518</v>
      </c>
      <c r="C172" s="13">
        <f>SUMIF(sigaf!$B$2:$B$470,$A172,sigaf!$F$2:$F$470)</f>
        <v>8827585</v>
      </c>
      <c r="D172" s="13">
        <f>SUMIF(sigaf!$B$2:$B$470,$A172,sigaf!$G$2:$G$470)</f>
        <v>8827585</v>
      </c>
      <c r="E172" s="13">
        <f>SUMIF(sigaf!$B$2:$B$470,$A172,sigaf!$H$2:$H$470)</f>
        <v>0</v>
      </c>
      <c r="F172" s="66">
        <f t="shared" si="42"/>
        <v>0</v>
      </c>
      <c r="G172" s="13">
        <f>SUMIF(sigaf!$B$2:$B$470,$A172,sigaf!$I$2:$I$470)</f>
        <v>0</v>
      </c>
      <c r="H172" s="66">
        <f t="shared" si="43"/>
        <v>0</v>
      </c>
      <c r="I172" s="13">
        <f>SUMIF(sigaf!$B$2:$B$470,$A172,sigaf!$J$2:$J$470)</f>
        <v>0</v>
      </c>
      <c r="J172" s="66">
        <f t="shared" si="43"/>
        <v>0</v>
      </c>
      <c r="K172" s="13">
        <f>SUMIF(sigaf!$B$2:$B$470,$A172,sigaf!$K$2:$K$470)</f>
        <v>7898786</v>
      </c>
      <c r="L172" s="139">
        <f t="shared" si="47"/>
        <v>0.89478447389631477</v>
      </c>
      <c r="M172" s="13">
        <f>SUMIF(sigaf!$B$2:$B$470,$A172,sigaf!$L$2:$L$470)</f>
        <v>7898786</v>
      </c>
      <c r="N172" s="66">
        <f t="shared" si="44"/>
        <v>0.89478447389631477</v>
      </c>
      <c r="O172" s="85">
        <f>SUMIF(sigaf!$B$2:$B$470,$A172,sigaf!$M$2:$M$470)</f>
        <v>928799</v>
      </c>
      <c r="P172" s="66">
        <f t="shared" si="45"/>
        <v>0.1052155261036852</v>
      </c>
      <c r="Q172" s="13">
        <f>SUMIF(sigaf!$B$2:$B$470,$A172,sigaf!$N$2:$N$470)</f>
        <v>928799</v>
      </c>
      <c r="R172" s="66">
        <f t="shared" si="46"/>
        <v>0.1052155261036852</v>
      </c>
    </row>
    <row r="173" spans="1:18" x14ac:dyDescent="0.25">
      <c r="A173" s="11" t="s">
        <v>344</v>
      </c>
      <c r="B173" s="11" t="s">
        <v>518</v>
      </c>
      <c r="C173" s="13">
        <f>SUMIF(sigaf!$B$2:$B$470,$A173,sigaf!$F$2:$F$470)</f>
        <v>92547304</v>
      </c>
      <c r="D173" s="13">
        <f>SUMIF(sigaf!$B$2:$B$470,$A173,sigaf!$G$2:$G$470)</f>
        <v>92547304</v>
      </c>
      <c r="E173" s="13">
        <f>SUMIF(sigaf!$B$2:$B$470,$A173,sigaf!$H$2:$H$470)</f>
        <v>0</v>
      </c>
      <c r="F173" s="66">
        <f t="shared" si="42"/>
        <v>0</v>
      </c>
      <c r="G173" s="13">
        <f>SUMIF(sigaf!$B$2:$B$470,$A173,sigaf!$I$2:$I$470)</f>
        <v>0</v>
      </c>
      <c r="H173" s="66">
        <f t="shared" si="43"/>
        <v>0</v>
      </c>
      <c r="I173" s="13">
        <f>SUMIF(sigaf!$B$2:$B$470,$A173,sigaf!$J$2:$J$470)</f>
        <v>0</v>
      </c>
      <c r="J173" s="66">
        <f t="shared" si="43"/>
        <v>0</v>
      </c>
      <c r="K173" s="13">
        <f>SUMIF(sigaf!$B$2:$B$470,$A173,sigaf!$K$2:$K$470)</f>
        <v>83941044.120000005</v>
      </c>
      <c r="L173" s="139">
        <f t="shared" si="47"/>
        <v>0.90700690881281643</v>
      </c>
      <c r="M173" s="13">
        <f>SUMIF(sigaf!$B$2:$B$470,$A173,sigaf!$L$2:$L$470)</f>
        <v>83941044.120000005</v>
      </c>
      <c r="N173" s="66">
        <f t="shared" si="44"/>
        <v>0.90700690881281643</v>
      </c>
      <c r="O173" s="85">
        <f>SUMIF(sigaf!$B$2:$B$470,$A173,sigaf!$M$2:$M$470)</f>
        <v>8606259.8800000008</v>
      </c>
      <c r="P173" s="66">
        <f t="shared" si="45"/>
        <v>9.2993091187183588E-2</v>
      </c>
      <c r="Q173" s="13">
        <f>SUMIF(sigaf!$B$2:$B$470,$A173,sigaf!$N$2:$N$470)</f>
        <v>8606259.8800000008</v>
      </c>
      <c r="R173" s="66">
        <f t="shared" si="46"/>
        <v>9.2993091187183588E-2</v>
      </c>
    </row>
    <row r="174" spans="1:18" x14ac:dyDescent="0.25">
      <c r="A174" s="11" t="s">
        <v>370</v>
      </c>
      <c r="B174" s="11" t="s">
        <v>518</v>
      </c>
      <c r="C174" s="13">
        <f>SUMIF(sigaf!$B$2:$B$470,$A174,sigaf!$F$2:$F$470)</f>
        <v>670070086</v>
      </c>
      <c r="D174" s="13">
        <f>SUMIF(sigaf!$B$2:$B$470,$A174,sigaf!$G$2:$G$470)</f>
        <v>670070086</v>
      </c>
      <c r="E174" s="13">
        <f>SUMIF(sigaf!$B$2:$B$470,$A174,sigaf!$H$2:$H$470)</f>
        <v>0</v>
      </c>
      <c r="F174" s="66">
        <f t="shared" si="42"/>
        <v>0</v>
      </c>
      <c r="G174" s="13">
        <f>SUMIF(sigaf!$B$2:$B$470,$A174,sigaf!$I$2:$I$470)</f>
        <v>0</v>
      </c>
      <c r="H174" s="66">
        <f t="shared" si="43"/>
        <v>0</v>
      </c>
      <c r="I174" s="13">
        <f>SUMIF(sigaf!$B$2:$B$470,$A174,sigaf!$J$2:$J$470)</f>
        <v>0</v>
      </c>
      <c r="J174" s="66">
        <f t="shared" si="43"/>
        <v>0</v>
      </c>
      <c r="K174" s="13">
        <f>SUMIF(sigaf!$B$2:$B$470,$A174,sigaf!$K$2:$K$470)</f>
        <v>637207182</v>
      </c>
      <c r="L174" s="139">
        <f t="shared" si="47"/>
        <v>0.95095601984536282</v>
      </c>
      <c r="M174" s="13">
        <f>SUMIF(sigaf!$B$2:$B$470,$A174,sigaf!$L$2:$L$470)</f>
        <v>637207182</v>
      </c>
      <c r="N174" s="66">
        <f t="shared" si="44"/>
        <v>0.95095601984536282</v>
      </c>
      <c r="O174" s="85">
        <f>SUMIF(sigaf!$B$2:$B$470,$A174,sigaf!$M$2:$M$470)</f>
        <v>32862904</v>
      </c>
      <c r="P174" s="66">
        <f t="shared" si="45"/>
        <v>4.9043980154637137E-2</v>
      </c>
      <c r="Q174" s="13">
        <f>SUMIF(sigaf!$B$2:$B$470,$A174,sigaf!$N$2:$N$470)</f>
        <v>32862904</v>
      </c>
      <c r="R174" s="66">
        <f t="shared" si="46"/>
        <v>4.9043980154637137E-2</v>
      </c>
    </row>
    <row r="175" spans="1:18" x14ac:dyDescent="0.25">
      <c r="A175" s="11" t="s">
        <v>389</v>
      </c>
      <c r="B175" s="11" t="s">
        <v>518</v>
      </c>
      <c r="C175" s="13">
        <f>SUMIF(sigaf!$B$2:$B$470,$A175,sigaf!$F$2:$F$470)</f>
        <v>124760145</v>
      </c>
      <c r="D175" s="13">
        <f>SUMIF(sigaf!$B$2:$B$470,$A175,sigaf!$G$2:$G$470)</f>
        <v>124229640</v>
      </c>
      <c r="E175" s="13">
        <f>SUMIF(sigaf!$B$2:$B$470,$A175,sigaf!$H$2:$H$470)</f>
        <v>0</v>
      </c>
      <c r="F175" s="66">
        <f t="shared" si="42"/>
        <v>0</v>
      </c>
      <c r="G175" s="13">
        <f>SUMIF(sigaf!$B$2:$B$470,$A175,sigaf!$I$2:$I$470)</f>
        <v>0</v>
      </c>
      <c r="H175" s="66">
        <f t="shared" si="43"/>
        <v>0</v>
      </c>
      <c r="I175" s="13">
        <f>SUMIF(sigaf!$B$2:$B$470,$A175,sigaf!$J$2:$J$470)</f>
        <v>0</v>
      </c>
      <c r="J175" s="66">
        <f t="shared" si="43"/>
        <v>0</v>
      </c>
      <c r="K175" s="13">
        <f>SUMIF(sigaf!$B$2:$B$470,$A175,sigaf!$K$2:$K$470)</f>
        <v>107159661.66</v>
      </c>
      <c r="L175" s="139">
        <f t="shared" si="47"/>
        <v>0.85892543375931474</v>
      </c>
      <c r="M175" s="13">
        <f>SUMIF(sigaf!$B$2:$B$470,$A175,sigaf!$L$2:$L$470)</f>
        <v>107159661.66</v>
      </c>
      <c r="N175" s="66">
        <f t="shared" si="44"/>
        <v>0.85892543375931474</v>
      </c>
      <c r="O175" s="85">
        <f>SUMIF(sigaf!$B$2:$B$470,$A175,sigaf!$M$2:$M$470)</f>
        <v>17600483.34</v>
      </c>
      <c r="P175" s="66">
        <f t="shared" si="45"/>
        <v>0.14107456624068526</v>
      </c>
      <c r="Q175" s="13">
        <f>SUMIF(sigaf!$B$2:$B$470,$A175,sigaf!$N$2:$N$470)</f>
        <v>17069978.34</v>
      </c>
      <c r="R175" s="66">
        <f t="shared" si="46"/>
        <v>0.13682236695059949</v>
      </c>
    </row>
    <row r="176" spans="1:18" x14ac:dyDescent="0.25">
      <c r="A176" s="11" t="s">
        <v>260</v>
      </c>
      <c r="B176" s="11" t="s">
        <v>519</v>
      </c>
      <c r="C176" s="13">
        <f>SUMIF(sigaf!$B$2:$B$470,$A176,sigaf!$F$2:$F$470)</f>
        <v>2522350</v>
      </c>
      <c r="D176" s="13">
        <f>SUMIF(sigaf!$B$2:$B$470,$A176,sigaf!$G$2:$G$470)</f>
        <v>2522350</v>
      </c>
      <c r="E176" s="13">
        <f>SUMIF(sigaf!$B$2:$B$470,$A176,sigaf!$H$2:$H$470)</f>
        <v>0</v>
      </c>
      <c r="F176" s="66">
        <f t="shared" si="42"/>
        <v>0</v>
      </c>
      <c r="G176" s="13">
        <f>SUMIF(sigaf!$B$2:$B$470,$A176,sigaf!$I$2:$I$470)</f>
        <v>0</v>
      </c>
      <c r="H176" s="66">
        <f t="shared" si="43"/>
        <v>0</v>
      </c>
      <c r="I176" s="13">
        <f>SUMIF(sigaf!$B$2:$B$470,$A176,sigaf!$J$2:$J$470)</f>
        <v>0</v>
      </c>
      <c r="J176" s="66">
        <f t="shared" si="43"/>
        <v>0</v>
      </c>
      <c r="K176" s="13">
        <f>SUMIF(sigaf!$B$2:$B$470,$A176,sigaf!$K$2:$K$470)</f>
        <v>2196181</v>
      </c>
      <c r="L176" s="139">
        <f t="shared" si="47"/>
        <v>0.87068844529902667</v>
      </c>
      <c r="M176" s="13">
        <f>SUMIF(sigaf!$B$2:$B$470,$A176,sigaf!$L$2:$L$470)</f>
        <v>2196181</v>
      </c>
      <c r="N176" s="66">
        <f t="shared" si="44"/>
        <v>0.87068844529902667</v>
      </c>
      <c r="O176" s="85">
        <f>SUMIF(sigaf!$B$2:$B$470,$A176,sigaf!$M$2:$M$470)</f>
        <v>326169</v>
      </c>
      <c r="P176" s="66">
        <f t="shared" si="45"/>
        <v>0.1293115547009733</v>
      </c>
      <c r="Q176" s="13">
        <f>SUMIF(sigaf!$B$2:$B$470,$A176,sigaf!$N$2:$N$470)</f>
        <v>326169</v>
      </c>
      <c r="R176" s="66">
        <f t="shared" si="46"/>
        <v>0.1293115547009733</v>
      </c>
    </row>
    <row r="177" spans="1:18" x14ac:dyDescent="0.25">
      <c r="A177" s="11" t="s">
        <v>312</v>
      </c>
      <c r="B177" s="11" t="s">
        <v>519</v>
      </c>
      <c r="C177" s="13">
        <f>SUMIF(sigaf!$B$2:$B$470,$A177,sigaf!$F$2:$F$470)</f>
        <v>1779200</v>
      </c>
      <c r="D177" s="13">
        <f>SUMIF(sigaf!$B$2:$B$470,$A177,sigaf!$G$2:$G$470)</f>
        <v>1779200</v>
      </c>
      <c r="E177" s="13">
        <f>SUMIF(sigaf!$B$2:$B$470,$A177,sigaf!$H$2:$H$470)</f>
        <v>0</v>
      </c>
      <c r="F177" s="66">
        <f t="shared" si="42"/>
        <v>0</v>
      </c>
      <c r="G177" s="13">
        <f>SUMIF(sigaf!$B$2:$B$470,$A177,sigaf!$I$2:$I$470)</f>
        <v>0</v>
      </c>
      <c r="H177" s="66">
        <f t="shared" si="43"/>
        <v>0</v>
      </c>
      <c r="I177" s="13">
        <f>SUMIF(sigaf!$B$2:$B$470,$A177,sigaf!$J$2:$J$470)</f>
        <v>0</v>
      </c>
      <c r="J177" s="66">
        <f t="shared" si="43"/>
        <v>0</v>
      </c>
      <c r="K177" s="13">
        <f>SUMIF(sigaf!$B$2:$B$470,$A177,sigaf!$K$2:$K$470)</f>
        <v>1592495</v>
      </c>
      <c r="L177" s="139">
        <f t="shared" si="47"/>
        <v>0.89506238758992807</v>
      </c>
      <c r="M177" s="13">
        <f>SUMIF(sigaf!$B$2:$B$470,$A177,sigaf!$L$2:$L$470)</f>
        <v>1592495</v>
      </c>
      <c r="N177" s="66">
        <f t="shared" si="44"/>
        <v>0.89506238758992807</v>
      </c>
      <c r="O177" s="85">
        <f>SUMIF(sigaf!$B$2:$B$470,$A177,sigaf!$M$2:$M$470)</f>
        <v>186705</v>
      </c>
      <c r="P177" s="66">
        <f t="shared" si="45"/>
        <v>0.10493761241007195</v>
      </c>
      <c r="Q177" s="13">
        <f>SUMIF(sigaf!$B$2:$B$470,$A177,sigaf!$N$2:$N$470)</f>
        <v>186705</v>
      </c>
      <c r="R177" s="66">
        <f t="shared" si="46"/>
        <v>0.10493761241007195</v>
      </c>
    </row>
    <row r="178" spans="1:18" x14ac:dyDescent="0.25">
      <c r="A178" s="11" t="s">
        <v>345</v>
      </c>
      <c r="B178" s="11" t="s">
        <v>519</v>
      </c>
      <c r="C178" s="13">
        <f>SUMIF(sigaf!$B$2:$B$470,$A178,sigaf!$F$2:$F$470)</f>
        <v>18658472</v>
      </c>
      <c r="D178" s="13">
        <f>SUMIF(sigaf!$B$2:$B$470,$A178,sigaf!$G$2:$G$470)</f>
        <v>18658472</v>
      </c>
      <c r="E178" s="13">
        <f>SUMIF(sigaf!$B$2:$B$470,$A178,sigaf!$H$2:$H$470)</f>
        <v>0</v>
      </c>
      <c r="F178" s="66">
        <f t="shared" si="42"/>
        <v>0</v>
      </c>
      <c r="G178" s="13">
        <f>SUMIF(sigaf!$B$2:$B$470,$A178,sigaf!$I$2:$I$470)</f>
        <v>0</v>
      </c>
      <c r="H178" s="66">
        <f t="shared" si="43"/>
        <v>0</v>
      </c>
      <c r="I178" s="13">
        <f>SUMIF(sigaf!$B$2:$B$470,$A178,sigaf!$J$2:$J$470)</f>
        <v>0</v>
      </c>
      <c r="J178" s="66">
        <f t="shared" si="43"/>
        <v>0</v>
      </c>
      <c r="K178" s="13">
        <f>SUMIF(sigaf!$B$2:$B$470,$A178,sigaf!$K$2:$K$470)</f>
        <v>16923597.629999999</v>
      </c>
      <c r="L178" s="139">
        <f t="shared" si="47"/>
        <v>0.90701948316025016</v>
      </c>
      <c r="M178" s="13">
        <f>SUMIF(sigaf!$B$2:$B$470,$A178,sigaf!$L$2:$L$470)</f>
        <v>16923597.629999999</v>
      </c>
      <c r="N178" s="66">
        <f t="shared" si="44"/>
        <v>0.90701948316025016</v>
      </c>
      <c r="O178" s="85">
        <f>SUMIF(sigaf!$B$2:$B$470,$A178,sigaf!$M$2:$M$470)</f>
        <v>1734874.37</v>
      </c>
      <c r="P178" s="66">
        <f t="shared" si="45"/>
        <v>9.2980516839749797E-2</v>
      </c>
      <c r="Q178" s="13">
        <f>SUMIF(sigaf!$B$2:$B$470,$A178,sigaf!$N$2:$N$470)</f>
        <v>1734874.37</v>
      </c>
      <c r="R178" s="66">
        <f t="shared" si="46"/>
        <v>9.2980516839749797E-2</v>
      </c>
    </row>
    <row r="179" spans="1:18" x14ac:dyDescent="0.25">
      <c r="A179" s="11" t="s">
        <v>371</v>
      </c>
      <c r="B179" s="11" t="s">
        <v>519</v>
      </c>
      <c r="C179" s="13">
        <f>SUMIF(sigaf!$B$2:$B$470,$A179,sigaf!$F$2:$F$470)</f>
        <v>135094122</v>
      </c>
      <c r="D179" s="13">
        <f>SUMIF(sigaf!$B$2:$B$470,$A179,sigaf!$G$2:$G$470)</f>
        <v>135094122</v>
      </c>
      <c r="E179" s="13">
        <f>SUMIF(sigaf!$B$2:$B$470,$A179,sigaf!$H$2:$H$470)</f>
        <v>0</v>
      </c>
      <c r="F179" s="66">
        <f t="shared" si="42"/>
        <v>0</v>
      </c>
      <c r="G179" s="13">
        <f>SUMIF(sigaf!$B$2:$B$470,$A179,sigaf!$I$2:$I$470)</f>
        <v>0</v>
      </c>
      <c r="H179" s="66">
        <f t="shared" si="43"/>
        <v>0</v>
      </c>
      <c r="I179" s="13">
        <f>SUMIF(sigaf!$B$2:$B$470,$A179,sigaf!$J$2:$J$470)</f>
        <v>0</v>
      </c>
      <c r="J179" s="66">
        <f t="shared" si="43"/>
        <v>0</v>
      </c>
      <c r="K179" s="13">
        <f>SUMIF(sigaf!$B$2:$B$470,$A179,sigaf!$K$2:$K$470)</f>
        <v>128469189</v>
      </c>
      <c r="L179" s="139">
        <f t="shared" si="47"/>
        <v>0.95096061248319896</v>
      </c>
      <c r="M179" s="13">
        <f>SUMIF(sigaf!$B$2:$B$470,$A179,sigaf!$L$2:$L$470)</f>
        <v>128469189</v>
      </c>
      <c r="N179" s="66">
        <f t="shared" si="44"/>
        <v>0.95096061248319896</v>
      </c>
      <c r="O179" s="85">
        <f>SUMIF(sigaf!$B$2:$B$470,$A179,sigaf!$M$2:$M$470)</f>
        <v>6624933</v>
      </c>
      <c r="P179" s="66">
        <f t="shared" si="45"/>
        <v>4.9039387516801064E-2</v>
      </c>
      <c r="Q179" s="13">
        <f>SUMIF(sigaf!$B$2:$B$470,$A179,sigaf!$N$2:$N$470)</f>
        <v>6624933</v>
      </c>
      <c r="R179" s="66">
        <f t="shared" si="46"/>
        <v>4.9039387516801064E-2</v>
      </c>
    </row>
    <row r="180" spans="1:18" x14ac:dyDescent="0.25">
      <c r="A180" s="11" t="s">
        <v>390</v>
      </c>
      <c r="B180" s="11" t="s">
        <v>519</v>
      </c>
      <c r="C180" s="13">
        <f>SUMIF(sigaf!$B$2:$B$470,$A180,sigaf!$F$2:$F$470)</f>
        <v>25153086</v>
      </c>
      <c r="D180" s="13">
        <f>SUMIF(sigaf!$B$2:$B$470,$A180,sigaf!$G$2:$G$470)</f>
        <v>25153086</v>
      </c>
      <c r="E180" s="13">
        <f>SUMIF(sigaf!$B$2:$B$470,$A180,sigaf!$H$2:$H$470)</f>
        <v>0</v>
      </c>
      <c r="F180" s="66">
        <f t="shared" si="42"/>
        <v>0</v>
      </c>
      <c r="G180" s="13">
        <f>SUMIF(sigaf!$B$2:$B$470,$A180,sigaf!$I$2:$I$470)</f>
        <v>0</v>
      </c>
      <c r="H180" s="66">
        <f t="shared" si="43"/>
        <v>0</v>
      </c>
      <c r="I180" s="13">
        <f>SUMIF(sigaf!$B$2:$B$470,$A180,sigaf!$J$2:$J$470)</f>
        <v>0</v>
      </c>
      <c r="J180" s="66">
        <f t="shared" si="43"/>
        <v>0</v>
      </c>
      <c r="K180" s="13">
        <f>SUMIF(sigaf!$B$2:$B$470,$A180,sigaf!$K$2:$K$470)</f>
        <v>23579113.829999998</v>
      </c>
      <c r="L180" s="139">
        <f t="shared" si="47"/>
        <v>0.93742429179465292</v>
      </c>
      <c r="M180" s="13">
        <f>SUMIF(sigaf!$B$2:$B$470,$A180,sigaf!$L$2:$L$470)</f>
        <v>23579113.829999998</v>
      </c>
      <c r="N180" s="66">
        <f t="shared" si="44"/>
        <v>0.93742429179465292</v>
      </c>
      <c r="O180" s="85">
        <f>SUMIF(sigaf!$B$2:$B$470,$A180,sigaf!$M$2:$M$470)</f>
        <v>1573972.17</v>
      </c>
      <c r="P180" s="66">
        <f t="shared" si="45"/>
        <v>6.2575708205347053E-2</v>
      </c>
      <c r="Q180" s="13">
        <f>SUMIF(sigaf!$B$2:$B$470,$A180,sigaf!$N$2:$N$470)</f>
        <v>1573972.17</v>
      </c>
      <c r="R180" s="66">
        <f t="shared" si="46"/>
        <v>6.2575708205347053E-2</v>
      </c>
    </row>
    <row r="181" spans="1:18" x14ac:dyDescent="0.25">
      <c r="A181" s="11" t="s">
        <v>606</v>
      </c>
      <c r="B181" s="11" t="s">
        <v>607</v>
      </c>
      <c r="C181" s="13">
        <f>SUMIF(sigaf!$B$2:$B$470,$A181,sigaf!$F$2:$F$470)</f>
        <v>9066100000</v>
      </c>
      <c r="D181" s="13">
        <f>SUMIF(sigaf!$B$2:$B$470,$A181,sigaf!$G$2:$G$470)</f>
        <v>9066100000</v>
      </c>
      <c r="E181" s="13">
        <f>SUMIF(sigaf!$B$2:$B$470,$A181,sigaf!$H$2:$H$470)</f>
        <v>0</v>
      </c>
      <c r="F181" s="66">
        <f t="shared" ref="F181" si="54">+IFERROR(+E181/$C181,0)</f>
        <v>0</v>
      </c>
      <c r="G181" s="13">
        <f>SUMIF(sigaf!$B$2:$B$470,$A181,sigaf!$I$2:$I$470)</f>
        <v>0</v>
      </c>
      <c r="H181" s="66">
        <f t="shared" ref="H181" si="55">+IFERROR(+G181/$C181,0)</f>
        <v>0</v>
      </c>
      <c r="I181" s="13">
        <f>SUMIF(sigaf!$B$2:$B$470,$A181,sigaf!$J$2:$J$470)</f>
        <v>0</v>
      </c>
      <c r="J181" s="66">
        <f t="shared" ref="J181" si="56">+IFERROR(+I181/$C181,0)</f>
        <v>0</v>
      </c>
      <c r="K181" s="13">
        <f>SUMIF(sigaf!$B$2:$B$470,$A181,sigaf!$K$2:$K$470)</f>
        <v>8958647446.8999996</v>
      </c>
      <c r="L181" s="139">
        <f t="shared" ref="L181" si="57">+IFERROR(+K181/$C181,0)</f>
        <v>0.98814787470908105</v>
      </c>
      <c r="M181" s="13">
        <f>SUMIF(sigaf!$B$2:$B$470,$A181,sigaf!$L$2:$L$470)</f>
        <v>8958647446.8999996</v>
      </c>
      <c r="N181" s="66">
        <f t="shared" ref="N181" si="58">+IFERROR(+M181/$C181,0)</f>
        <v>0.98814787470908105</v>
      </c>
      <c r="O181" s="85">
        <f>SUMIF(sigaf!$B$2:$B$470,$A181,sigaf!$M$2:$M$470)</f>
        <v>107452553.09999999</v>
      </c>
      <c r="P181" s="66">
        <f t="shared" ref="P181" si="59">+IFERROR(+O181/$C181,0)</f>
        <v>1.1852125290918917E-2</v>
      </c>
      <c r="Q181" s="13">
        <f>SUMIF(sigaf!$B$2:$B$470,$A181,sigaf!$N$2:$N$470)</f>
        <v>107452553.09999999</v>
      </c>
      <c r="R181" s="66">
        <f t="shared" ref="R181" si="60">+IFERROR(+Q181/$C181,0)</f>
        <v>1.1852125290918917E-2</v>
      </c>
    </row>
    <row r="182" spans="1:18" x14ac:dyDescent="0.25">
      <c r="A182" s="11" t="s">
        <v>372</v>
      </c>
      <c r="B182" s="11" t="s">
        <v>520</v>
      </c>
      <c r="C182" s="13">
        <f>SUMIF(sigaf!$B$2:$B$470,$A182,sigaf!$F$2:$F$470)</f>
        <v>530000000</v>
      </c>
      <c r="D182" s="13">
        <f>SUMIF(sigaf!$B$2:$B$470,$A182,sigaf!$G$2:$G$470)</f>
        <v>530000000</v>
      </c>
      <c r="E182" s="13">
        <f>SUMIF(sigaf!$B$2:$B$470,$A182,sigaf!$H$2:$H$470)</f>
        <v>0</v>
      </c>
      <c r="F182" s="66">
        <f t="shared" si="42"/>
        <v>0</v>
      </c>
      <c r="G182" s="13">
        <f>SUMIF(sigaf!$B$2:$B$470,$A182,sigaf!$I$2:$I$470)</f>
        <v>0</v>
      </c>
      <c r="H182" s="66">
        <f t="shared" si="43"/>
        <v>0</v>
      </c>
      <c r="I182" s="13">
        <f>SUMIF(sigaf!$B$2:$B$470,$A182,sigaf!$J$2:$J$470)</f>
        <v>0</v>
      </c>
      <c r="J182" s="66">
        <f t="shared" si="43"/>
        <v>0</v>
      </c>
      <c r="K182" s="13">
        <f>SUMIF(sigaf!$B$2:$B$470,$A182,sigaf!$K$2:$K$470)</f>
        <v>530000000</v>
      </c>
      <c r="L182" s="139">
        <f t="shared" si="47"/>
        <v>1</v>
      </c>
      <c r="M182" s="13">
        <f>SUMIF(sigaf!$B$2:$B$470,$A182,sigaf!$L$2:$L$470)</f>
        <v>530000000</v>
      </c>
      <c r="N182" s="66">
        <f t="shared" si="44"/>
        <v>1</v>
      </c>
      <c r="O182" s="85">
        <f>SUMIF(sigaf!$B$2:$B$470,$A182,sigaf!$M$2:$M$470)</f>
        <v>0</v>
      </c>
      <c r="P182" s="66">
        <f t="shared" si="45"/>
        <v>0</v>
      </c>
      <c r="Q182" s="13">
        <f>SUMIF(sigaf!$B$2:$B$470,$A182,sigaf!$N$2:$N$470)</f>
        <v>0</v>
      </c>
      <c r="R182" s="66">
        <f t="shared" si="46"/>
        <v>0</v>
      </c>
    </row>
    <row r="183" spans="1:18" x14ac:dyDescent="0.25">
      <c r="A183" s="11" t="s">
        <v>374</v>
      </c>
      <c r="B183" s="11" t="s">
        <v>521</v>
      </c>
      <c r="C183" s="13">
        <f>SUMIF(sigaf!$B$2:$B$470,$A183,sigaf!$F$2:$F$470)</f>
        <v>530000000</v>
      </c>
      <c r="D183" s="13">
        <f>SUMIF(sigaf!$B$2:$B$470,$A183,sigaf!$G$2:$G$470)</f>
        <v>530000000</v>
      </c>
      <c r="E183" s="13">
        <f>SUMIF(sigaf!$B$2:$B$470,$A183,sigaf!$H$2:$H$470)</f>
        <v>0</v>
      </c>
      <c r="F183" s="66">
        <f t="shared" si="42"/>
        <v>0</v>
      </c>
      <c r="G183" s="13">
        <f>SUMIF(sigaf!$B$2:$B$470,$A183,sigaf!$I$2:$I$470)</f>
        <v>0</v>
      </c>
      <c r="H183" s="66">
        <f t="shared" si="43"/>
        <v>0</v>
      </c>
      <c r="I183" s="13">
        <f>SUMIF(sigaf!$B$2:$B$470,$A183,sigaf!$J$2:$J$470)</f>
        <v>0</v>
      </c>
      <c r="J183" s="66">
        <f t="shared" si="43"/>
        <v>0</v>
      </c>
      <c r="K183" s="13">
        <f>SUMIF(sigaf!$B$2:$B$470,$A183,sigaf!$K$2:$K$470)</f>
        <v>530000000</v>
      </c>
      <c r="L183" s="139">
        <f t="shared" si="47"/>
        <v>1</v>
      </c>
      <c r="M183" s="13">
        <f>SUMIF(sigaf!$B$2:$B$470,$A183,sigaf!$L$2:$L$470)</f>
        <v>530000000</v>
      </c>
      <c r="N183" s="66">
        <f t="shared" si="44"/>
        <v>1</v>
      </c>
      <c r="O183" s="85">
        <f>SUMIF(sigaf!$B$2:$B$470,$A183,sigaf!$M$2:$M$470)</f>
        <v>0</v>
      </c>
      <c r="P183" s="66">
        <f t="shared" si="45"/>
        <v>0</v>
      </c>
      <c r="Q183" s="13">
        <f>SUMIF(sigaf!$B$2:$B$470,$A183,sigaf!$N$2:$N$470)</f>
        <v>0</v>
      </c>
      <c r="R183" s="66">
        <f t="shared" si="46"/>
        <v>0</v>
      </c>
    </row>
    <row r="184" spans="1:18" x14ac:dyDescent="0.25">
      <c r="A184" s="11" t="s">
        <v>261</v>
      </c>
      <c r="B184" s="11" t="s">
        <v>262</v>
      </c>
      <c r="C184" s="13">
        <f>SUMIF(sigaf!$B$2:$B$470,$A184,sigaf!$F$2:$F$470)</f>
        <v>1841612072</v>
      </c>
      <c r="D184" s="13">
        <f>SUMIF(sigaf!$B$2:$B$470,$A184,sigaf!$G$2:$G$470)</f>
        <v>1841612072</v>
      </c>
      <c r="E184" s="13">
        <f>SUMIF(sigaf!$B$2:$B$470,$A184,sigaf!$H$2:$H$470)</f>
        <v>0</v>
      </c>
      <c r="F184" s="66">
        <f t="shared" si="42"/>
        <v>0</v>
      </c>
      <c r="G184" s="13">
        <f>SUMIF(sigaf!$B$2:$B$470,$A184,sigaf!$I$2:$I$470)</f>
        <v>0</v>
      </c>
      <c r="H184" s="66">
        <f t="shared" si="43"/>
        <v>0</v>
      </c>
      <c r="I184" s="13">
        <f>SUMIF(sigaf!$B$2:$B$470,$A184,sigaf!$J$2:$J$470)</f>
        <v>0</v>
      </c>
      <c r="J184" s="66">
        <f t="shared" si="43"/>
        <v>0</v>
      </c>
      <c r="K184" s="13">
        <f>SUMIF(sigaf!$B$2:$B$470,$A184,sigaf!$K$2:$K$470)</f>
        <v>1798781435.29</v>
      </c>
      <c r="L184" s="139">
        <f t="shared" si="47"/>
        <v>0.97674285623926993</v>
      </c>
      <c r="M184" s="13">
        <f>SUMIF(sigaf!$B$2:$B$470,$A184,sigaf!$L$2:$L$470)</f>
        <v>1798781435.29</v>
      </c>
      <c r="N184" s="66">
        <f t="shared" si="44"/>
        <v>0.97674285623926993</v>
      </c>
      <c r="O184" s="85">
        <f>SUMIF(sigaf!$B$2:$B$470,$A184,sigaf!$M$2:$M$470)</f>
        <v>42830636.710000001</v>
      </c>
      <c r="P184" s="66">
        <f t="shared" si="45"/>
        <v>2.3257143760730084E-2</v>
      </c>
      <c r="Q184" s="13">
        <f>SUMIF(sigaf!$B$2:$B$470,$A184,sigaf!$N$2:$N$470)</f>
        <v>42830636.710000001</v>
      </c>
      <c r="R184" s="66">
        <f t="shared" si="46"/>
        <v>2.3257143760730084E-2</v>
      </c>
    </row>
    <row r="185" spans="1:18" x14ac:dyDescent="0.25">
      <c r="A185" s="11" t="s">
        <v>263</v>
      </c>
      <c r="B185" s="11" t="s">
        <v>264</v>
      </c>
      <c r="C185" s="13">
        <f>SUMIF(sigaf!$B$2:$B$470,$A185,sigaf!$F$2:$F$470)</f>
        <v>1358382537</v>
      </c>
      <c r="D185" s="13">
        <f>SUMIF(sigaf!$B$2:$B$470,$A185,sigaf!$G$2:$G$470)</f>
        <v>1358382537</v>
      </c>
      <c r="E185" s="13">
        <f>SUMIF(sigaf!$B$2:$B$470,$A185,sigaf!$H$2:$H$470)</f>
        <v>0</v>
      </c>
      <c r="F185" s="66">
        <f t="shared" si="42"/>
        <v>0</v>
      </c>
      <c r="G185" s="13">
        <f>SUMIF(sigaf!$B$2:$B$470,$A185,sigaf!$I$2:$I$470)</f>
        <v>0</v>
      </c>
      <c r="H185" s="66">
        <f t="shared" si="43"/>
        <v>0</v>
      </c>
      <c r="I185" s="13">
        <f>SUMIF(sigaf!$B$2:$B$470,$A185,sigaf!$J$2:$J$470)</f>
        <v>0</v>
      </c>
      <c r="J185" s="66">
        <f t="shared" si="43"/>
        <v>0</v>
      </c>
      <c r="K185" s="13">
        <f>SUMIF(sigaf!$B$2:$B$470,$A185,sigaf!$K$2:$K$470)</f>
        <v>1337352310.8</v>
      </c>
      <c r="L185" s="139">
        <f t="shared" si="47"/>
        <v>0.98451818568983851</v>
      </c>
      <c r="M185" s="13">
        <f>SUMIF(sigaf!$B$2:$B$470,$A185,sigaf!$L$2:$L$470)</f>
        <v>1337352310.8</v>
      </c>
      <c r="N185" s="66">
        <f t="shared" si="44"/>
        <v>0.98451818568983851</v>
      </c>
      <c r="O185" s="85">
        <f>SUMIF(sigaf!$B$2:$B$470,$A185,sigaf!$M$2:$M$470)</f>
        <v>21030226.200000003</v>
      </c>
      <c r="P185" s="66">
        <f t="shared" si="45"/>
        <v>1.5481814310161442E-2</v>
      </c>
      <c r="Q185" s="13">
        <f>SUMIF(sigaf!$B$2:$B$470,$A185,sigaf!$N$2:$N$470)</f>
        <v>21030226.200000003</v>
      </c>
      <c r="R185" s="66">
        <f t="shared" si="46"/>
        <v>1.5481814310161442E-2</v>
      </c>
    </row>
    <row r="186" spans="1:18" x14ac:dyDescent="0.25">
      <c r="A186" s="11" t="s">
        <v>265</v>
      </c>
      <c r="B186" s="11" t="s">
        <v>266</v>
      </c>
      <c r="C186" s="13">
        <f>SUMIF(sigaf!$B$2:$B$470,$A186,sigaf!$F$2:$F$470)</f>
        <v>483229535</v>
      </c>
      <c r="D186" s="13">
        <f>SUMIF(sigaf!$B$2:$B$470,$A186,sigaf!$G$2:$G$470)</f>
        <v>483229535</v>
      </c>
      <c r="E186" s="13">
        <f>SUMIF(sigaf!$B$2:$B$470,$A186,sigaf!$H$2:$H$470)</f>
        <v>0</v>
      </c>
      <c r="F186" s="66">
        <f t="shared" si="42"/>
        <v>0</v>
      </c>
      <c r="G186" s="13">
        <f>SUMIF(sigaf!$B$2:$B$470,$A186,sigaf!$I$2:$I$470)</f>
        <v>0</v>
      </c>
      <c r="H186" s="66">
        <f t="shared" si="43"/>
        <v>0</v>
      </c>
      <c r="I186" s="13">
        <f>SUMIF(sigaf!$B$2:$B$470,$A186,sigaf!$J$2:$J$470)</f>
        <v>0</v>
      </c>
      <c r="J186" s="66">
        <f t="shared" si="43"/>
        <v>0</v>
      </c>
      <c r="K186" s="13">
        <f>SUMIF(sigaf!$B$2:$B$470,$A186,sigaf!$K$2:$K$470)</f>
        <v>461429124.49000001</v>
      </c>
      <c r="L186" s="139">
        <f t="shared" si="47"/>
        <v>0.95488601393124695</v>
      </c>
      <c r="M186" s="13">
        <f>SUMIF(sigaf!$B$2:$B$470,$A186,sigaf!$L$2:$L$470)</f>
        <v>461429124.49000001</v>
      </c>
      <c r="N186" s="66">
        <f t="shared" si="44"/>
        <v>0.95488601393124695</v>
      </c>
      <c r="O186" s="85">
        <f>SUMIF(sigaf!$B$2:$B$470,$A186,sigaf!$M$2:$M$470)</f>
        <v>21800410.510000002</v>
      </c>
      <c r="P186" s="66">
        <f t="shared" si="45"/>
        <v>4.5113986068753026E-2</v>
      </c>
      <c r="Q186" s="13">
        <f>SUMIF(sigaf!$B$2:$B$470,$A186,sigaf!$N$2:$N$470)</f>
        <v>21800410.510000002</v>
      </c>
      <c r="R186" s="66">
        <f t="shared" si="46"/>
        <v>4.5113986068753026E-2</v>
      </c>
    </row>
    <row r="187" spans="1:18" x14ac:dyDescent="0.25">
      <c r="A187" s="11" t="s">
        <v>267</v>
      </c>
      <c r="B187" s="11" t="s">
        <v>522</v>
      </c>
      <c r="C187" s="13">
        <f>SUMIF(sigaf!$B$2:$B$470,$A187,sigaf!$F$2:$F$470)</f>
        <v>352952000</v>
      </c>
      <c r="D187" s="13">
        <f>SUMIF(sigaf!$B$2:$B$470,$A187,sigaf!$G$2:$G$470)</f>
        <v>352952000</v>
      </c>
      <c r="E187" s="13">
        <f>SUMIF(sigaf!$B$2:$B$470,$A187,sigaf!$H$2:$H$470)</f>
        <v>0</v>
      </c>
      <c r="F187" s="66">
        <f t="shared" si="42"/>
        <v>0</v>
      </c>
      <c r="G187" s="13">
        <f>SUMIF(sigaf!$B$2:$B$470,$A187,sigaf!$I$2:$I$470)</f>
        <v>0</v>
      </c>
      <c r="H187" s="66">
        <f t="shared" si="43"/>
        <v>0</v>
      </c>
      <c r="I187" s="13">
        <f>SUMIF(sigaf!$B$2:$B$470,$A187,sigaf!$J$2:$J$470)</f>
        <v>0</v>
      </c>
      <c r="J187" s="66">
        <f t="shared" si="43"/>
        <v>0</v>
      </c>
      <c r="K187" s="13">
        <f>SUMIF(sigaf!$B$2:$B$470,$A187,sigaf!$K$2:$K$470)</f>
        <v>267911716.84999996</v>
      </c>
      <c r="L187" s="139">
        <f t="shared" si="47"/>
        <v>0.7590599199041228</v>
      </c>
      <c r="M187" s="13">
        <f>SUMIF(sigaf!$B$2:$B$470,$A187,sigaf!$L$2:$L$470)</f>
        <v>267911716.84999996</v>
      </c>
      <c r="N187" s="66">
        <f t="shared" si="44"/>
        <v>0.7590599199041228</v>
      </c>
      <c r="O187" s="85">
        <f>SUMIF(sigaf!$B$2:$B$470,$A187,sigaf!$M$2:$M$470)</f>
        <v>85040283.149999991</v>
      </c>
      <c r="P187" s="66">
        <f t="shared" si="45"/>
        <v>0.24094008009587703</v>
      </c>
      <c r="Q187" s="13">
        <f>SUMIF(sigaf!$B$2:$B$470,$A187,sigaf!$N$2:$N$470)</f>
        <v>85040283.149999991</v>
      </c>
      <c r="R187" s="66">
        <f t="shared" si="46"/>
        <v>0.24094008009587703</v>
      </c>
    </row>
    <row r="188" spans="1:18" x14ac:dyDescent="0.25">
      <c r="A188" s="11" t="s">
        <v>269</v>
      </c>
      <c r="B188" s="11" t="s">
        <v>270</v>
      </c>
      <c r="C188" s="13">
        <f>SUMIF(sigaf!$B$2:$B$470,$A188,sigaf!$F$2:$F$470)</f>
        <v>236600000</v>
      </c>
      <c r="D188" s="13">
        <f>SUMIF(sigaf!$B$2:$B$470,$A188,sigaf!$G$2:$G$470)</f>
        <v>236600000</v>
      </c>
      <c r="E188" s="13">
        <f>SUMIF(sigaf!$B$2:$B$470,$A188,sigaf!$H$2:$H$470)</f>
        <v>0</v>
      </c>
      <c r="F188" s="66">
        <f t="shared" si="42"/>
        <v>0</v>
      </c>
      <c r="G188" s="13">
        <f>SUMIF(sigaf!$B$2:$B$470,$A188,sigaf!$I$2:$I$470)</f>
        <v>0</v>
      </c>
      <c r="H188" s="66">
        <f t="shared" si="43"/>
        <v>0</v>
      </c>
      <c r="I188" s="13">
        <f>SUMIF(sigaf!$B$2:$B$470,$A188,sigaf!$J$2:$J$470)</f>
        <v>0</v>
      </c>
      <c r="J188" s="66">
        <f t="shared" si="43"/>
        <v>0</v>
      </c>
      <c r="K188" s="13">
        <f>SUMIF(sigaf!$B$2:$B$470,$A188,sigaf!$K$2:$K$470)</f>
        <v>167030897.27000001</v>
      </c>
      <c r="L188" s="139">
        <f t="shared" si="47"/>
        <v>0.70596321754015223</v>
      </c>
      <c r="M188" s="13">
        <f>SUMIF(sigaf!$B$2:$B$470,$A188,sigaf!$L$2:$L$470)</f>
        <v>167030897.27000001</v>
      </c>
      <c r="N188" s="66">
        <f t="shared" si="44"/>
        <v>0.70596321754015223</v>
      </c>
      <c r="O188" s="85">
        <f>SUMIF(sigaf!$B$2:$B$470,$A188,sigaf!$M$2:$M$470)</f>
        <v>69569102.729999989</v>
      </c>
      <c r="P188" s="66">
        <f t="shared" si="45"/>
        <v>0.29403678245984782</v>
      </c>
      <c r="Q188" s="13">
        <f>SUMIF(sigaf!$B$2:$B$470,$A188,sigaf!$N$2:$N$470)</f>
        <v>69569102.729999989</v>
      </c>
      <c r="R188" s="66">
        <f t="shared" si="46"/>
        <v>0.29403678245984782</v>
      </c>
    </row>
    <row r="189" spans="1:18" x14ac:dyDescent="0.25">
      <c r="A189" s="11" t="s">
        <v>271</v>
      </c>
      <c r="B189" s="11" t="s">
        <v>523</v>
      </c>
      <c r="C189" s="13">
        <f>SUMIF(sigaf!$B$2:$B$470,$A189,sigaf!$F$2:$F$470)</f>
        <v>116352000</v>
      </c>
      <c r="D189" s="13">
        <f>SUMIF(sigaf!$B$2:$B$470,$A189,sigaf!$G$2:$G$470)</f>
        <v>116352000</v>
      </c>
      <c r="E189" s="13">
        <f>SUMIF(sigaf!$B$2:$B$470,$A189,sigaf!$H$2:$H$470)</f>
        <v>0</v>
      </c>
      <c r="F189" s="66">
        <f t="shared" si="42"/>
        <v>0</v>
      </c>
      <c r="G189" s="13">
        <f>SUMIF(sigaf!$B$2:$B$470,$A189,sigaf!$I$2:$I$470)</f>
        <v>0</v>
      </c>
      <c r="H189" s="66">
        <f t="shared" si="43"/>
        <v>0</v>
      </c>
      <c r="I189" s="13">
        <f>SUMIF(sigaf!$B$2:$B$470,$A189,sigaf!$J$2:$J$470)</f>
        <v>0</v>
      </c>
      <c r="J189" s="66">
        <f t="shared" si="43"/>
        <v>0</v>
      </c>
      <c r="K189" s="13">
        <f>SUMIF(sigaf!$B$2:$B$470,$A189,sigaf!$K$2:$K$470)</f>
        <v>100880819.58</v>
      </c>
      <c r="L189" s="139">
        <f t="shared" si="47"/>
        <v>0.86703124639026397</v>
      </c>
      <c r="M189" s="13">
        <f>SUMIF(sigaf!$B$2:$B$470,$A189,sigaf!$L$2:$L$470)</f>
        <v>100880819.58</v>
      </c>
      <c r="N189" s="66">
        <f t="shared" si="44"/>
        <v>0.86703124639026397</v>
      </c>
      <c r="O189" s="85">
        <f>SUMIF(sigaf!$B$2:$B$470,$A189,sigaf!$M$2:$M$470)</f>
        <v>15471180.42</v>
      </c>
      <c r="P189" s="66">
        <f t="shared" si="45"/>
        <v>0.13296875360973598</v>
      </c>
      <c r="Q189" s="13">
        <f>SUMIF(sigaf!$B$2:$B$470,$A189,sigaf!$N$2:$N$470)</f>
        <v>15471180.42</v>
      </c>
      <c r="R189" s="66">
        <f t="shared" si="46"/>
        <v>0.13296875360973598</v>
      </c>
    </row>
    <row r="190" spans="1:18" x14ac:dyDescent="0.25">
      <c r="A190" s="11" t="s">
        <v>273</v>
      </c>
      <c r="B190" s="11" t="s">
        <v>524</v>
      </c>
      <c r="C190" s="13">
        <f>SUMIF(sigaf!$B$2:$B$470,$A190,sigaf!$F$2:$F$470)</f>
        <v>423341000</v>
      </c>
      <c r="D190" s="13">
        <f>SUMIF(sigaf!$B$2:$B$470,$A190,sigaf!$G$2:$G$470)</f>
        <v>423341000</v>
      </c>
      <c r="E190" s="13">
        <f>SUMIF(sigaf!$B$2:$B$470,$A190,sigaf!$H$2:$H$470)</f>
        <v>0</v>
      </c>
      <c r="F190" s="66">
        <f t="shared" si="42"/>
        <v>0</v>
      </c>
      <c r="G190" s="13">
        <f>SUMIF(sigaf!$B$2:$B$470,$A190,sigaf!$I$2:$I$470)</f>
        <v>0</v>
      </c>
      <c r="H190" s="66">
        <f t="shared" si="43"/>
        <v>0</v>
      </c>
      <c r="I190" s="13">
        <f>SUMIF(sigaf!$B$2:$B$470,$A190,sigaf!$J$2:$J$470)</f>
        <v>0</v>
      </c>
      <c r="J190" s="66">
        <f t="shared" si="43"/>
        <v>0</v>
      </c>
      <c r="K190" s="13">
        <f>SUMIF(sigaf!$B$2:$B$470,$A190,sigaf!$K$2:$K$470)</f>
        <v>420719424.20999998</v>
      </c>
      <c r="L190" s="139">
        <f t="shared" si="47"/>
        <v>0.99380741343267009</v>
      </c>
      <c r="M190" s="13">
        <f>SUMIF(sigaf!$B$2:$B$470,$A190,sigaf!$L$2:$L$470)</f>
        <v>420719424.20999998</v>
      </c>
      <c r="N190" s="66">
        <f t="shared" si="44"/>
        <v>0.99380741343267009</v>
      </c>
      <c r="O190" s="85">
        <f>SUMIF(sigaf!$B$2:$B$470,$A190,sigaf!$M$2:$M$470)</f>
        <v>2621575.79</v>
      </c>
      <c r="P190" s="66">
        <f t="shared" si="45"/>
        <v>6.1925865673298835E-3</v>
      </c>
      <c r="Q190" s="13">
        <f>SUMIF(sigaf!$B$2:$B$470,$A190,sigaf!$N$2:$N$470)</f>
        <v>2621575.79</v>
      </c>
      <c r="R190" s="66">
        <f t="shared" si="46"/>
        <v>6.1925865673298835E-3</v>
      </c>
    </row>
    <row r="191" spans="1:18" s="63" customFormat="1" x14ac:dyDescent="0.25">
      <c r="A191" s="264" t="s">
        <v>402</v>
      </c>
      <c r="B191" s="264" t="s">
        <v>525</v>
      </c>
      <c r="C191" s="265">
        <f>SUM(C192:C194)</f>
        <v>423341000</v>
      </c>
      <c r="D191" s="265">
        <f t="shared" ref="D191:G191" si="61">SUM(D192:D194)</f>
        <v>423341000</v>
      </c>
      <c r="E191" s="265">
        <f t="shared" si="61"/>
        <v>0</v>
      </c>
      <c r="F191" s="266">
        <f t="shared" si="42"/>
        <v>0</v>
      </c>
      <c r="G191" s="265">
        <f t="shared" si="61"/>
        <v>0</v>
      </c>
      <c r="H191" s="266">
        <f t="shared" si="43"/>
        <v>0</v>
      </c>
      <c r="I191" s="265">
        <f t="shared" ref="I191" si="62">SUM(I192:I194)</f>
        <v>0</v>
      </c>
      <c r="J191" s="266">
        <f t="shared" si="43"/>
        <v>0</v>
      </c>
      <c r="K191" s="265">
        <f t="shared" ref="K191:Q191" si="63">SUM(K192:K194)</f>
        <v>420719424.20999998</v>
      </c>
      <c r="L191" s="267">
        <f t="shared" si="47"/>
        <v>0.99380741343267009</v>
      </c>
      <c r="M191" s="265">
        <f t="shared" si="63"/>
        <v>420719424.20999998</v>
      </c>
      <c r="N191" s="266">
        <f t="shared" si="44"/>
        <v>0.99380741343267009</v>
      </c>
      <c r="O191" s="265">
        <f t="shared" si="63"/>
        <v>2621575.79</v>
      </c>
      <c r="P191" s="266">
        <f t="shared" si="45"/>
        <v>6.1925865673298835E-3</v>
      </c>
      <c r="Q191" s="265">
        <f t="shared" si="63"/>
        <v>2621575.79</v>
      </c>
      <c r="R191" s="266">
        <f t="shared" si="46"/>
        <v>6.1925865673298835E-3</v>
      </c>
    </row>
    <row r="192" spans="1:18" x14ac:dyDescent="0.25">
      <c r="A192" s="11" t="s">
        <v>275</v>
      </c>
      <c r="B192" s="11" t="s">
        <v>526</v>
      </c>
      <c r="C192" s="13">
        <f>SUMIF(sigaf!$B$2:$B$470,$A192,sigaf!$F$2:$F$470)</f>
        <v>406300000</v>
      </c>
      <c r="D192" s="13">
        <f>SUMIF(sigaf!$B$2:$B$470,$A192,sigaf!$G$2:$G$470)</f>
        <v>406300000</v>
      </c>
      <c r="E192" s="13">
        <f>SUMIF(sigaf!$B$2:$B$470,$A192,sigaf!$H$2:$H$470)</f>
        <v>0</v>
      </c>
      <c r="F192" s="66">
        <f t="shared" si="42"/>
        <v>0</v>
      </c>
      <c r="G192" s="13">
        <f>SUMIF(sigaf!$B$2:$B$470,$A192,sigaf!$I$2:$I$470)</f>
        <v>0</v>
      </c>
      <c r="H192" s="66">
        <f t="shared" si="43"/>
        <v>0</v>
      </c>
      <c r="I192" s="13">
        <f>SUMIF(sigaf!$B$2:$B$470,$A192,sigaf!$J$2:$J$470)</f>
        <v>0</v>
      </c>
      <c r="J192" s="66">
        <f t="shared" si="43"/>
        <v>0</v>
      </c>
      <c r="K192" s="13">
        <f>SUMIF(sigaf!$B$2:$B$470,$A192,sigaf!$K$2:$K$470)</f>
        <v>406300000</v>
      </c>
      <c r="L192" s="139">
        <f t="shared" si="47"/>
        <v>1</v>
      </c>
      <c r="M192" s="13">
        <f>SUMIF(sigaf!$B$2:$B$470,$A192,sigaf!$L$2:$L$470)</f>
        <v>406300000</v>
      </c>
      <c r="N192" s="66">
        <f t="shared" si="44"/>
        <v>1</v>
      </c>
      <c r="O192" s="85">
        <f>SUMIF(sigaf!$B$2:$B$470,$A192,sigaf!$M$2:$M$470)</f>
        <v>0</v>
      </c>
      <c r="P192" s="66">
        <f t="shared" si="45"/>
        <v>0</v>
      </c>
      <c r="Q192" s="13">
        <f>SUMIF(sigaf!$B$2:$B$470,$A192,sigaf!$N$2:$N$470)</f>
        <v>0</v>
      </c>
      <c r="R192" s="66">
        <f t="shared" si="46"/>
        <v>0</v>
      </c>
    </row>
    <row r="193" spans="1:18" x14ac:dyDescent="0.25">
      <c r="A193" s="11" t="s">
        <v>561</v>
      </c>
      <c r="B193" s="11" t="s">
        <v>564</v>
      </c>
      <c r="C193" s="13">
        <f>SUMIF(sigaf!$B$2:$B$470,$A193,sigaf!$F$2:$F$470)</f>
        <v>13364000</v>
      </c>
      <c r="D193" s="13">
        <f>SUMIF(sigaf!$B$2:$B$470,$A193,sigaf!$G$2:$G$470)</f>
        <v>13364000</v>
      </c>
      <c r="E193" s="13">
        <f>SUMIF(sigaf!$B$2:$B$470,$A193,sigaf!$H$2:$H$470)</f>
        <v>0</v>
      </c>
      <c r="F193" s="66">
        <f t="shared" ref="F193" si="64">+IFERROR(+E193/$C193,0)</f>
        <v>0</v>
      </c>
      <c r="G193" s="13">
        <f>SUMIF(sigaf!$B$2:$B$470,$A193,sigaf!$I$2:$I$470)</f>
        <v>0</v>
      </c>
      <c r="H193" s="66">
        <f t="shared" ref="H193" si="65">+IFERROR(+G193/$C193,0)</f>
        <v>0</v>
      </c>
      <c r="I193" s="13">
        <f>SUMIF(sigaf!$B$2:$B$470,$A193,sigaf!$J$2:$J$470)</f>
        <v>0</v>
      </c>
      <c r="J193" s="66">
        <f t="shared" ref="J193" si="66">+IFERROR(+I193/$C193,0)</f>
        <v>0</v>
      </c>
      <c r="K193" s="13">
        <f>SUMIF(sigaf!$B$2:$B$470,$A193,sigaf!$K$2:$K$470)</f>
        <v>10920143.710000001</v>
      </c>
      <c r="L193" s="139">
        <f t="shared" ref="L193" si="67">+IFERROR(+K193/$C193,0)</f>
        <v>0.81713137608500452</v>
      </c>
      <c r="M193" s="13">
        <f>SUMIF(sigaf!$B$2:$B$470,$A193,sigaf!$L$2:$L$470)</f>
        <v>10920143.710000001</v>
      </c>
      <c r="N193" s="66">
        <f t="shared" ref="N193" si="68">+IFERROR(+M193/$C193,0)</f>
        <v>0.81713137608500452</v>
      </c>
      <c r="O193" s="85">
        <f>SUMIF(sigaf!$B$2:$B$470,$A193,sigaf!$M$2:$M$470)</f>
        <v>2443856.29</v>
      </c>
      <c r="P193" s="66">
        <f t="shared" ref="P193" si="69">+IFERROR(+O193/$C193,0)</f>
        <v>0.1828686239149955</v>
      </c>
      <c r="Q193" s="13">
        <f>SUMIF(sigaf!$B$2:$B$470,$A193,sigaf!$N$2:$N$470)</f>
        <v>2443856.29</v>
      </c>
      <c r="R193" s="66">
        <f t="shared" ref="R193" si="70">+IFERROR(+Q193/$C193,0)</f>
        <v>0.1828686239149955</v>
      </c>
    </row>
    <row r="194" spans="1:18" x14ac:dyDescent="0.25">
      <c r="A194" s="11" t="s">
        <v>277</v>
      </c>
      <c r="B194" s="11" t="s">
        <v>527</v>
      </c>
      <c r="C194" s="13">
        <f>SUMIF(sigaf!$B$2:$B$470,$A194,sigaf!$F$2:$F$470)</f>
        <v>3677000</v>
      </c>
      <c r="D194" s="13">
        <f>SUMIF(sigaf!$B$2:$B$470,$A194,sigaf!$G$2:$G$470)</f>
        <v>3677000</v>
      </c>
      <c r="E194" s="13">
        <f>SUMIF(sigaf!$B$2:$B$470,$A194,sigaf!$H$2:$H$470)</f>
        <v>0</v>
      </c>
      <c r="F194" s="66">
        <f t="shared" si="42"/>
        <v>0</v>
      </c>
      <c r="G194" s="13">
        <f>SUMIF(sigaf!$B$2:$B$470,$A194,sigaf!$I$2:$I$470)</f>
        <v>0</v>
      </c>
      <c r="H194" s="66">
        <f t="shared" si="43"/>
        <v>0</v>
      </c>
      <c r="I194" s="13">
        <f>SUMIF(sigaf!$B$2:$B$470,$A194,sigaf!$J$2:$J$470)</f>
        <v>0</v>
      </c>
      <c r="J194" s="66">
        <f t="shared" si="43"/>
        <v>0</v>
      </c>
      <c r="K194" s="13">
        <f>SUMIF(sigaf!$B$2:$B$470,$A194,sigaf!$K$2:$K$470)</f>
        <v>3499280.5</v>
      </c>
      <c r="L194" s="139">
        <f t="shared" si="47"/>
        <v>0.95166725591514822</v>
      </c>
      <c r="M194" s="13">
        <f>SUMIF(sigaf!$B$2:$B$470,$A194,sigaf!$L$2:$L$470)</f>
        <v>3499280.5</v>
      </c>
      <c r="N194" s="66">
        <f t="shared" si="44"/>
        <v>0.95166725591514822</v>
      </c>
      <c r="O194" s="85">
        <f>SUMIF(sigaf!$B$2:$B$470,$A194,sigaf!$M$2:$M$470)</f>
        <v>177719.5</v>
      </c>
      <c r="P194" s="66">
        <f t="shared" si="45"/>
        <v>4.8332744084851782E-2</v>
      </c>
      <c r="Q194" s="13">
        <f>SUMIF(sigaf!$B$2:$B$470,$A194,sigaf!$N$2:$N$470)</f>
        <v>177719.5</v>
      </c>
      <c r="R194" s="66">
        <f t="shared" si="46"/>
        <v>4.8332744084851782E-2</v>
      </c>
    </row>
    <row r="195" spans="1:18" s="272" customFormat="1" x14ac:dyDescent="0.25">
      <c r="A195" s="268" t="s">
        <v>376</v>
      </c>
      <c r="B195" s="268" t="s">
        <v>528</v>
      </c>
      <c r="C195" s="269">
        <f>+C196</f>
        <v>1938815591.4200001</v>
      </c>
      <c r="D195" s="269">
        <f t="shared" ref="D195:I195" si="71">+D196</f>
        <v>1938815591.4200001</v>
      </c>
      <c r="E195" s="269">
        <f t="shared" si="71"/>
        <v>0</v>
      </c>
      <c r="F195" s="270">
        <f t="shared" si="42"/>
        <v>0</v>
      </c>
      <c r="G195" s="269">
        <f t="shared" si="71"/>
        <v>93466512.689999998</v>
      </c>
      <c r="H195" s="270">
        <f t="shared" si="43"/>
        <v>4.8208046759900751E-2</v>
      </c>
      <c r="I195" s="269">
        <f t="shared" si="71"/>
        <v>0</v>
      </c>
      <c r="J195" s="270">
        <f t="shared" si="43"/>
        <v>0</v>
      </c>
      <c r="K195" s="269">
        <f t="shared" ref="K195:Q195" si="72">+K196</f>
        <v>1845349074</v>
      </c>
      <c r="L195" s="271">
        <f t="shared" si="47"/>
        <v>0.95179195080046541</v>
      </c>
      <c r="M195" s="269">
        <f t="shared" si="72"/>
        <v>1845349074</v>
      </c>
      <c r="N195" s="270">
        <f t="shared" si="44"/>
        <v>0.95179195080046541</v>
      </c>
      <c r="O195" s="269">
        <f t="shared" si="72"/>
        <v>4.7300000000000004</v>
      </c>
      <c r="P195" s="270">
        <f t="shared" si="45"/>
        <v>2.4396337748324584E-9</v>
      </c>
      <c r="Q195" s="269">
        <f t="shared" si="72"/>
        <v>4.7300000000000004</v>
      </c>
      <c r="R195" s="270">
        <f t="shared" si="46"/>
        <v>2.4396337748324584E-9</v>
      </c>
    </row>
    <row r="196" spans="1:18" x14ac:dyDescent="0.25">
      <c r="A196" s="11" t="s">
        <v>378</v>
      </c>
      <c r="B196" s="11" t="s">
        <v>529</v>
      </c>
      <c r="C196" s="13">
        <f>SUMIF(sigaf!$B$2:$B$470,$A196,sigaf!$F$2:$F$470)</f>
        <v>1938815591.4200001</v>
      </c>
      <c r="D196" s="13">
        <f>SUMIF(sigaf!$B$2:$B$470,$A196,sigaf!$G$2:$G$470)</f>
        <v>1938815591.4200001</v>
      </c>
      <c r="E196" s="13">
        <f>SUMIF(sigaf!$B$2:$B$470,$A196,sigaf!$H$2:$H$470)</f>
        <v>0</v>
      </c>
      <c r="F196" s="66">
        <f t="shared" si="42"/>
        <v>0</v>
      </c>
      <c r="G196" s="13">
        <f>SUMIF(sigaf!$B$2:$B$470,$A196,sigaf!$I$2:$I$470)</f>
        <v>93466512.689999998</v>
      </c>
      <c r="H196" s="66">
        <f t="shared" si="43"/>
        <v>4.8208046759900751E-2</v>
      </c>
      <c r="I196" s="13">
        <f>SUMIF(sigaf!$B$2:$B$470,$A196,sigaf!$J$2:$J$470)</f>
        <v>0</v>
      </c>
      <c r="J196" s="66">
        <f t="shared" si="43"/>
        <v>0</v>
      </c>
      <c r="K196" s="13">
        <f>SUMIF(sigaf!$B$2:$B$470,$A196,sigaf!$K$2:$K$470)</f>
        <v>1845349074</v>
      </c>
      <c r="L196" s="139">
        <f t="shared" si="47"/>
        <v>0.95179195080046541</v>
      </c>
      <c r="M196" s="13">
        <f>SUMIF(sigaf!$B$2:$B$470,$A196,sigaf!$L$2:$L$470)</f>
        <v>1845349074</v>
      </c>
      <c r="N196" s="66">
        <f t="shared" si="44"/>
        <v>0.95179195080046541</v>
      </c>
      <c r="O196" s="85">
        <f>SUMIF(sigaf!$B$2:$B$470,$A196,sigaf!$M$2:$M$470)</f>
        <v>4.7300000000000004</v>
      </c>
      <c r="P196" s="66">
        <f t="shared" si="45"/>
        <v>2.4396337748324584E-9</v>
      </c>
      <c r="Q196" s="13">
        <f>SUMIF(sigaf!$B$2:$B$470,$A196,sigaf!$N$2:$N$470)</f>
        <v>4.7300000000000004</v>
      </c>
      <c r="R196" s="66">
        <f t="shared" si="46"/>
        <v>2.4396337748324584E-9</v>
      </c>
    </row>
    <row r="197" spans="1:18" s="63" customFormat="1" x14ac:dyDescent="0.25">
      <c r="A197" s="264" t="s">
        <v>403</v>
      </c>
      <c r="B197" s="264" t="s">
        <v>530</v>
      </c>
      <c r="C197" s="265">
        <f>SUM(C198:C199)</f>
        <v>1938815591.4200001</v>
      </c>
      <c r="D197" s="265">
        <f>SUM(D198:D199)</f>
        <v>1938815591.4200001</v>
      </c>
      <c r="E197" s="265">
        <f>SUM(E198:E199)</f>
        <v>0</v>
      </c>
      <c r="F197" s="266">
        <f t="shared" si="42"/>
        <v>0</v>
      </c>
      <c r="G197" s="265">
        <f>SUM(G198:G199)</f>
        <v>93466512.689999998</v>
      </c>
      <c r="H197" s="266">
        <f t="shared" si="43"/>
        <v>4.8208046759900751E-2</v>
      </c>
      <c r="I197" s="265">
        <f>SUM(I198:I199)</f>
        <v>0</v>
      </c>
      <c r="J197" s="266">
        <f t="shared" si="43"/>
        <v>0</v>
      </c>
      <c r="K197" s="265">
        <f>SUM(K198:K199)</f>
        <v>1845349074</v>
      </c>
      <c r="L197" s="267">
        <f t="shared" si="47"/>
        <v>0.95179195080046541</v>
      </c>
      <c r="M197" s="265">
        <f>SUM(M198:M199)</f>
        <v>1845349074</v>
      </c>
      <c r="N197" s="266">
        <f t="shared" si="44"/>
        <v>0.95179195080046541</v>
      </c>
      <c r="O197" s="265">
        <f>SUM(O198:O199)</f>
        <v>4.7300000000000004</v>
      </c>
      <c r="P197" s="266">
        <f t="shared" si="45"/>
        <v>2.4396337748324584E-9</v>
      </c>
      <c r="Q197" s="265">
        <f>SUM(Q198:Q199)</f>
        <v>4.7300000000000004</v>
      </c>
      <c r="R197" s="266">
        <f t="shared" si="46"/>
        <v>2.4396337748324584E-9</v>
      </c>
    </row>
    <row r="198" spans="1:18" x14ac:dyDescent="0.25">
      <c r="A198" s="11" t="s">
        <v>380</v>
      </c>
      <c r="B198" s="11" t="s">
        <v>531</v>
      </c>
      <c r="C198" s="13">
        <f>SUMIF(sigaf!$B$2:$B$470,$A198,sigaf!$F$2:$F$470)</f>
        <v>1845349074</v>
      </c>
      <c r="D198" s="13">
        <f>SUMIF(sigaf!$B$2:$B$470,$A198,sigaf!$G$2:$G$470)</f>
        <v>1845349074</v>
      </c>
      <c r="E198" s="13">
        <f>SUMIF(sigaf!$B$2:$B$470,$A198,sigaf!$H$2:$H$470)</f>
        <v>0</v>
      </c>
      <c r="F198" s="66">
        <f t="shared" si="42"/>
        <v>0</v>
      </c>
      <c r="G198" s="13">
        <f>SUMIF(sigaf!$B$2:$B$470,$A198,sigaf!$I$2:$I$470)</f>
        <v>0</v>
      </c>
      <c r="H198" s="66">
        <f t="shared" si="43"/>
        <v>0</v>
      </c>
      <c r="I198" s="13">
        <f>SUMIF(sigaf!$B$2:$B$470,$A198,sigaf!$J$2:$J$470)</f>
        <v>0</v>
      </c>
      <c r="J198" s="66">
        <f t="shared" si="43"/>
        <v>0</v>
      </c>
      <c r="K198" s="13">
        <f>SUMIF(sigaf!$B$2:$B$470,$A198,sigaf!$K$2:$K$470)</f>
        <v>1845349074</v>
      </c>
      <c r="L198" s="139">
        <f t="shared" si="47"/>
        <v>1</v>
      </c>
      <c r="M198" s="13">
        <f>SUMIF(sigaf!$B$2:$B$470,$A198,sigaf!$L$2:$L$470)</f>
        <v>1845349074</v>
      </c>
      <c r="N198" s="66">
        <f t="shared" si="44"/>
        <v>1</v>
      </c>
      <c r="O198" s="85">
        <f>SUMIF(sigaf!$B$2:$B$470,$A198,sigaf!$M$2:$M$470)</f>
        <v>0</v>
      </c>
      <c r="P198" s="66">
        <f t="shared" si="45"/>
        <v>0</v>
      </c>
      <c r="Q198" s="13">
        <f>SUMIF(sigaf!$B$2:$B$470,$A198,sigaf!$N$2:$N$470)</f>
        <v>0</v>
      </c>
      <c r="R198" s="66">
        <f t="shared" si="46"/>
        <v>0</v>
      </c>
    </row>
    <row r="199" spans="1:18" x14ac:dyDescent="0.25">
      <c r="A199" s="11" t="s">
        <v>404</v>
      </c>
      <c r="B199" s="11" t="s">
        <v>514</v>
      </c>
      <c r="C199" s="13">
        <f>SUMIF(sigaf!$B$2:$B$470,$A199,sigaf!$F$2:$F$470)</f>
        <v>93466517.420000002</v>
      </c>
      <c r="D199" s="13">
        <f>SUMIF(sigaf!$B$2:$B$470,$A199,sigaf!$G$2:$G$470)</f>
        <v>93466517.420000002</v>
      </c>
      <c r="E199" s="13">
        <f>SUMIF(sigaf!$B$2:$B$470,$A199,sigaf!$H$2:$H$470)</f>
        <v>0</v>
      </c>
      <c r="F199" s="66">
        <f t="shared" si="42"/>
        <v>0</v>
      </c>
      <c r="G199" s="13">
        <f>SUMIF(sigaf!$B$2:$B$470,$A199,sigaf!$I$2:$I$470)</f>
        <v>93466512.689999998</v>
      </c>
      <c r="H199" s="66">
        <f t="shared" si="43"/>
        <v>0.99999994939364245</v>
      </c>
      <c r="I199" s="13">
        <f>SUMIF(sigaf!$B$2:$B$470,$A199,sigaf!$J$2:$J$470)</f>
        <v>0</v>
      </c>
      <c r="J199" s="66">
        <f t="shared" si="43"/>
        <v>0</v>
      </c>
      <c r="K199" s="13">
        <f>SUMIF(sigaf!$B$2:$B$470,$A199,sigaf!$K$2:$K$470)</f>
        <v>0</v>
      </c>
      <c r="L199" s="139">
        <f t="shared" si="47"/>
        <v>0</v>
      </c>
      <c r="M199" s="13">
        <f>SUMIF(sigaf!$B$2:$B$470,$A199,sigaf!$L$2:$L$470)</f>
        <v>0</v>
      </c>
      <c r="N199" s="66">
        <f t="shared" si="44"/>
        <v>0</v>
      </c>
      <c r="O199" s="85">
        <f>SUMIF(sigaf!$B$2:$B$470,$A199,sigaf!$M$2:$M$470)</f>
        <v>4.7300000000000004</v>
      </c>
      <c r="P199" s="66">
        <f t="shared" si="45"/>
        <v>5.0606357555244412E-8</v>
      </c>
      <c r="Q199" s="13">
        <f>SUMIF(sigaf!$B$2:$B$470,$A199,sigaf!$N$2:$N$470)</f>
        <v>4.7300000000000004</v>
      </c>
      <c r="R199" s="66">
        <f t="shared" si="46"/>
        <v>5.0606357555244412E-8</v>
      </c>
    </row>
    <row r="200" spans="1:18" s="272" customFormat="1" x14ac:dyDescent="0.25">
      <c r="A200" s="268" t="s">
        <v>576</v>
      </c>
      <c r="B200" s="268" t="s">
        <v>577</v>
      </c>
      <c r="C200" s="269">
        <f t="shared" ref="C200:E201" si="73">+C201</f>
        <v>0</v>
      </c>
      <c r="D200" s="269">
        <f t="shared" si="73"/>
        <v>0</v>
      </c>
      <c r="E200" s="269">
        <f t="shared" si="73"/>
        <v>0</v>
      </c>
      <c r="F200" s="266">
        <f t="shared" si="42"/>
        <v>0</v>
      </c>
      <c r="G200" s="269">
        <f>+G201</f>
        <v>0</v>
      </c>
      <c r="H200" s="266">
        <f t="shared" si="43"/>
        <v>0</v>
      </c>
      <c r="I200" s="269">
        <f>+I201</f>
        <v>0</v>
      </c>
      <c r="J200" s="266">
        <f t="shared" si="43"/>
        <v>0</v>
      </c>
      <c r="K200" s="269">
        <f>+K201</f>
        <v>0</v>
      </c>
      <c r="L200" s="267">
        <f t="shared" si="47"/>
        <v>0</v>
      </c>
      <c r="M200" s="269">
        <f>+M201</f>
        <v>0</v>
      </c>
      <c r="N200" s="266">
        <f t="shared" si="44"/>
        <v>0</v>
      </c>
      <c r="O200" s="269">
        <f>+O201</f>
        <v>0</v>
      </c>
      <c r="P200" s="266">
        <f t="shared" si="45"/>
        <v>0</v>
      </c>
      <c r="Q200" s="269">
        <f>+Q201</f>
        <v>0</v>
      </c>
      <c r="R200" s="266">
        <f t="shared" si="45"/>
        <v>0</v>
      </c>
    </row>
    <row r="201" spans="1:18" s="63" customFormat="1" ht="26.25" x14ac:dyDescent="0.25">
      <c r="A201" s="264" t="s">
        <v>574</v>
      </c>
      <c r="B201" s="273" t="s">
        <v>575</v>
      </c>
      <c r="C201" s="265">
        <f t="shared" si="73"/>
        <v>0</v>
      </c>
      <c r="D201" s="265">
        <f t="shared" si="73"/>
        <v>0</v>
      </c>
      <c r="E201" s="265">
        <f t="shared" si="73"/>
        <v>0</v>
      </c>
      <c r="F201" s="266">
        <f t="shared" si="42"/>
        <v>0</v>
      </c>
      <c r="G201" s="265">
        <f>+G202</f>
        <v>0</v>
      </c>
      <c r="H201" s="266">
        <f t="shared" si="43"/>
        <v>0</v>
      </c>
      <c r="I201" s="265">
        <f>+I202</f>
        <v>0</v>
      </c>
      <c r="J201" s="266">
        <f t="shared" si="43"/>
        <v>0</v>
      </c>
      <c r="K201" s="265">
        <f>+K202</f>
        <v>0</v>
      </c>
      <c r="L201" s="267">
        <f t="shared" si="47"/>
        <v>0</v>
      </c>
      <c r="M201" s="265">
        <f>+M202</f>
        <v>0</v>
      </c>
      <c r="N201" s="266">
        <f t="shared" si="44"/>
        <v>0</v>
      </c>
      <c r="O201" s="265">
        <f>+O202</f>
        <v>0</v>
      </c>
      <c r="P201" s="266">
        <f t="shared" si="45"/>
        <v>0</v>
      </c>
      <c r="Q201" s="265">
        <f>+Q202</f>
        <v>0</v>
      </c>
      <c r="R201" s="266">
        <f t="shared" si="45"/>
        <v>0</v>
      </c>
    </row>
    <row r="202" spans="1:18" ht="26.25" x14ac:dyDescent="0.25">
      <c r="A202" s="11" t="s">
        <v>572</v>
      </c>
      <c r="B202" s="152" t="s">
        <v>573</v>
      </c>
      <c r="C202" s="13">
        <f>SUMIF(sigaf!$B$2:$B$470,$A202,sigaf!$F$2:$F$470)</f>
        <v>0</v>
      </c>
      <c r="D202" s="13">
        <f>SUMIF(sigaf!$B$2:$B$470,$A202,sigaf!$G$2:$G$470)</f>
        <v>0</v>
      </c>
      <c r="E202" s="13">
        <f>SUMIF(sigaf!$B$2:$B$470,$A202,sigaf!$H$2:$H$470)</f>
        <v>0</v>
      </c>
      <c r="F202" s="66">
        <f t="shared" ref="F202" si="74">+IFERROR(+E202/$C202,0)</f>
        <v>0</v>
      </c>
      <c r="G202" s="13">
        <f>SUMIF(sigaf!$B$2:$B$470,$A202,sigaf!$I$2:$I$470)</f>
        <v>0</v>
      </c>
      <c r="H202" s="66">
        <f t="shared" ref="H202" si="75">+IFERROR(+G202/$C202,0)</f>
        <v>0</v>
      </c>
      <c r="I202" s="13">
        <f>SUMIF(sigaf!$B$2:$B$470,$A202,sigaf!$J$2:$J$470)</f>
        <v>0</v>
      </c>
      <c r="J202" s="66">
        <f t="shared" ref="J202" si="76">+IFERROR(+I202/$C202,0)</f>
        <v>0</v>
      </c>
      <c r="K202" s="13">
        <f>SUMIF(sigaf!$B$2:$B$470,$A202,sigaf!$K$2:$K$470)</f>
        <v>0</v>
      </c>
      <c r="L202" s="139">
        <f t="shared" ref="L202" si="77">+IFERROR(+K202/$C202,0)</f>
        <v>0</v>
      </c>
      <c r="M202" s="13">
        <f>SUMIF(sigaf!$B$2:$B$470,$A202,sigaf!$L$2:$L$470)</f>
        <v>0</v>
      </c>
      <c r="N202" s="66">
        <f t="shared" ref="N202" si="78">+IFERROR(+M202/$C202,0)</f>
        <v>0</v>
      </c>
      <c r="O202" s="85">
        <f>SUMIF(sigaf!$B$2:$B$470,$A202,sigaf!$M$2:$M$470)</f>
        <v>0</v>
      </c>
      <c r="P202" s="66">
        <f t="shared" ref="P202" si="79">+IFERROR(+O202/$C202,0)</f>
        <v>0</v>
      </c>
      <c r="Q202" s="13">
        <f>SUMIF(sigaf!$B$2:$B$470,$A202,sigaf!$N$2:$N$470)</f>
        <v>0</v>
      </c>
      <c r="R202" s="66">
        <f t="shared" ref="R202" si="80">+IFERROR(+Q202/$C202,0)</f>
        <v>0</v>
      </c>
    </row>
    <row r="203" spans="1:18" x14ac:dyDescent="0.25">
      <c r="A203" s="54">
        <v>214</v>
      </c>
      <c r="B203" s="54" t="s">
        <v>532</v>
      </c>
      <c r="C203" s="55">
        <f>+C11+C62+C116+C148+C163+C195+C200</f>
        <v>143111405132.42001</v>
      </c>
      <c r="D203" s="55">
        <f>+D11+D62+D116+D148+D163+D195+D200</f>
        <v>143098560293.42001</v>
      </c>
      <c r="E203" s="55">
        <f>+E11+E62+E116+E148+E163+E195+E200</f>
        <v>0</v>
      </c>
      <c r="F203" s="56">
        <f t="shared" si="42"/>
        <v>0</v>
      </c>
      <c r="G203" s="55">
        <f>+G11+G62+G116+G148+G163+G195+G200</f>
        <v>93466512.689999998</v>
      </c>
      <c r="H203" s="56">
        <f t="shared" si="43"/>
        <v>6.5310317233987093E-4</v>
      </c>
      <c r="I203" s="55">
        <f>+I11+I62+I116+I148+I163+I195+I200</f>
        <v>0</v>
      </c>
      <c r="J203" s="56">
        <f t="shared" si="43"/>
        <v>0</v>
      </c>
      <c r="K203" s="55">
        <f>+K11+K62+K116+K148+K163+K195+K200</f>
        <v>133752594481.5</v>
      </c>
      <c r="L203" s="136">
        <f>+IFERROR(+K203/$C203,0)</f>
        <v>0.93460471831535463</v>
      </c>
      <c r="M203" s="55">
        <f>+M11+M62+M116+M148+M163+M195+M200</f>
        <v>131401421073.56999</v>
      </c>
      <c r="N203" s="56">
        <f t="shared" si="44"/>
        <v>0.91817574533619561</v>
      </c>
      <c r="O203" s="55">
        <f>+O11+O62+O116+O148+O163+O195+O200</f>
        <v>9265344138.2299995</v>
      </c>
      <c r="P203" s="56">
        <f t="shared" si="45"/>
        <v>6.4742178512305432E-2</v>
      </c>
      <c r="Q203" s="55">
        <f>+Q11+Q62+Q116+Q148+Q163+Q195+Q200</f>
        <v>9252499299.2299995</v>
      </c>
      <c r="R203" s="56">
        <f t="shared" si="46"/>
        <v>6.4652424386922369E-2</v>
      </c>
    </row>
    <row r="204" spans="1:18" x14ac:dyDescent="0.25">
      <c r="C204" s="34">
        <f>+C203-sigaf!F2</f>
        <v>0</v>
      </c>
      <c r="D204" s="34">
        <f>+D203-sigaf!G2</f>
        <v>0</v>
      </c>
      <c r="E204" s="34">
        <f>+E203-sigaf!H2</f>
        <v>0</v>
      </c>
      <c r="F204" s="34"/>
      <c r="G204" s="34">
        <f>+G203-sigaf!I2</f>
        <v>0</v>
      </c>
      <c r="I204" s="34">
        <f>+I203-sigaf!J2</f>
        <v>0</v>
      </c>
      <c r="K204" s="34">
        <f>+K203-sigaf!K2</f>
        <v>0</v>
      </c>
      <c r="M204" s="34">
        <f>+M203-sigaf!L2</f>
        <v>0</v>
      </c>
      <c r="O204" s="34">
        <f>+O203-sigaf!M2</f>
        <v>0</v>
      </c>
      <c r="Q204" s="34">
        <f>+Q203-sigaf!N2</f>
        <v>0</v>
      </c>
    </row>
    <row r="206" spans="1:18" x14ac:dyDescent="0.25">
      <c r="K206" s="64" t="s">
        <v>581</v>
      </c>
      <c r="L206" s="62"/>
      <c r="O206" s="88" t="s">
        <v>582</v>
      </c>
      <c r="P206" s="63"/>
    </row>
    <row r="216" spans="11:11" x14ac:dyDescent="0.25">
      <c r="K216" s="33"/>
    </row>
    <row r="217" spans="11:11" x14ac:dyDescent="0.25">
      <c r="K217" s="155"/>
    </row>
  </sheetData>
  <mergeCells count="6">
    <mergeCell ref="A1:R1"/>
    <mergeCell ref="A2:R2"/>
    <mergeCell ref="A3:R3"/>
    <mergeCell ref="A5:R5"/>
    <mergeCell ref="A6:R6"/>
    <mergeCell ref="A4:R4"/>
  </mergeCells>
  <conditionalFormatting sqref="L10:L136 L139:L202">
    <cfRule type="cellIs" dxfId="17" priority="17" operator="lessThan">
      <formula>0.75</formula>
    </cfRule>
  </conditionalFormatting>
  <conditionalFormatting sqref="P10:P136 P139:P202">
    <cfRule type="cellIs" dxfId="16" priority="16" operator="greaterThan">
      <formula>0.25</formula>
    </cfRule>
  </conditionalFormatting>
  <conditionalFormatting sqref="R200">
    <cfRule type="cellIs" dxfId="15" priority="9" operator="greaterThan">
      <formula>0.5</formula>
    </cfRule>
  </conditionalFormatting>
  <conditionalFormatting sqref="R201">
    <cfRule type="cellIs" dxfId="14" priority="4" operator="greaterThan">
      <formula>0.5</formula>
    </cfRule>
  </conditionalFormatting>
  <conditionalFormatting sqref="R202">
    <cfRule type="cellIs" dxfId="13" priority="3" operator="greaterThan">
      <formula>0.5</formula>
    </cfRule>
  </conditionalFormatting>
  <conditionalFormatting sqref="L137:L138">
    <cfRule type="cellIs" dxfId="12" priority="2" operator="lessThan">
      <formula>0.75</formula>
    </cfRule>
  </conditionalFormatting>
  <conditionalFormatting sqref="P137:P138">
    <cfRule type="cellIs" dxfId="11" priority="1" operator="greaterThan">
      <formula>0.25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scale="61" fitToHeight="0" orientation="landscape" verticalDpi="597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C1A4-BD30-45B3-9DF2-72CBEDB94D9C}">
  <dimension ref="A1:D15"/>
  <sheetViews>
    <sheetView workbookViewId="0">
      <selection activeCell="F18" sqref="F18"/>
    </sheetView>
  </sheetViews>
  <sheetFormatPr baseColWidth="10" defaultRowHeight="15" x14ac:dyDescent="0.25"/>
  <sheetData>
    <row r="1" spans="1:4" ht="21" x14ac:dyDescent="0.35">
      <c r="A1" s="325">
        <v>2018</v>
      </c>
      <c r="B1" s="325"/>
      <c r="C1" s="325"/>
      <c r="D1" s="325"/>
    </row>
    <row r="2" spans="1:4" x14ac:dyDescent="0.25">
      <c r="A2" s="319" t="s">
        <v>578</v>
      </c>
      <c r="B2" s="321" t="s">
        <v>619</v>
      </c>
      <c r="C2" s="323" t="s">
        <v>568</v>
      </c>
      <c r="D2" s="323" t="s">
        <v>65</v>
      </c>
    </row>
    <row r="3" spans="1:4" x14ac:dyDescent="0.25">
      <c r="A3" s="320"/>
      <c r="B3" s="322"/>
      <c r="C3" s="324"/>
      <c r="D3" s="324"/>
    </row>
    <row r="4" spans="1:4" x14ac:dyDescent="0.25">
      <c r="A4" s="92" t="s">
        <v>569</v>
      </c>
      <c r="B4" s="49">
        <v>0.22775123044995979</v>
      </c>
      <c r="C4" s="49">
        <v>8.2191113884377734E-2</v>
      </c>
      <c r="D4" s="49">
        <v>0.77224876955004018</v>
      </c>
    </row>
    <row r="5" spans="1:4" x14ac:dyDescent="0.25">
      <c r="A5" s="92" t="s">
        <v>585</v>
      </c>
      <c r="B5" s="49">
        <v>0.2627315145902902</v>
      </c>
      <c r="C5" s="49">
        <v>0.14233704145987611</v>
      </c>
      <c r="D5" s="49">
        <v>0.73726848540970991</v>
      </c>
    </row>
    <row r="6" spans="1:4" x14ac:dyDescent="0.25">
      <c r="A6" s="92" t="s">
        <v>586</v>
      </c>
      <c r="B6" s="49">
        <v>0.31642449147007073</v>
      </c>
      <c r="C6" s="49">
        <v>0.1967294830040785</v>
      </c>
      <c r="D6" s="49">
        <v>0.68357550852992932</v>
      </c>
    </row>
    <row r="7" spans="1:4" x14ac:dyDescent="0.25">
      <c r="A7" s="92" t="s">
        <v>588</v>
      </c>
      <c r="B7" s="49">
        <v>0.3777756098375416</v>
      </c>
      <c r="C7" s="49">
        <v>0.25859620385971333</v>
      </c>
      <c r="D7" s="49">
        <v>0.62222439016245845</v>
      </c>
    </row>
    <row r="8" spans="1:4" x14ac:dyDescent="0.25">
      <c r="A8" s="92" t="s">
        <v>590</v>
      </c>
      <c r="B8" s="49">
        <v>0.43897842319494929</v>
      </c>
      <c r="C8" s="49">
        <v>0.32211938617488262</v>
      </c>
      <c r="D8" s="49">
        <v>0.56102157680505083</v>
      </c>
    </row>
    <row r="9" spans="1:4" x14ac:dyDescent="0.25">
      <c r="A9" s="92" t="s">
        <v>616</v>
      </c>
      <c r="B9" s="49">
        <v>0.1014</v>
      </c>
      <c r="C9" s="49">
        <v>0.38872695555501752</v>
      </c>
      <c r="D9" s="49">
        <v>0.50984527522832535</v>
      </c>
    </row>
    <row r="10" spans="1:4" x14ac:dyDescent="0.25">
      <c r="A10" s="92" t="s">
        <v>617</v>
      </c>
      <c r="B10" s="49">
        <v>0.1137</v>
      </c>
      <c r="C10" s="49">
        <v>0.44563946683373717</v>
      </c>
      <c r="D10" s="49">
        <v>0.44067477924165321</v>
      </c>
    </row>
    <row r="11" spans="1:4" x14ac:dyDescent="0.25">
      <c r="A11" s="92" t="s">
        <v>618</v>
      </c>
      <c r="B11" s="49">
        <v>9.0899999999999995E-2</v>
      </c>
      <c r="C11" s="49">
        <f>+(+'[3]COMPORT. RESUMEN'!$K$11)/'[3]COMPORT. RESUMEN'!$C$11</f>
        <v>0.51707991718764812</v>
      </c>
      <c r="D11" s="49">
        <f>+'[3]COMPORT. RESUMEN'!$P$11</f>
        <v>0.39196160816901515</v>
      </c>
    </row>
    <row r="12" spans="1:4" x14ac:dyDescent="0.25">
      <c r="A12" s="196" t="s">
        <v>639</v>
      </c>
      <c r="B12" s="49">
        <v>7.6799999999999993E-2</v>
      </c>
      <c r="C12" s="49">
        <v>0.58919999999999995</v>
      </c>
      <c r="D12" s="49">
        <v>0.33400000000000002</v>
      </c>
    </row>
    <row r="13" spans="1:4" x14ac:dyDescent="0.25">
      <c r="A13" s="92" t="s">
        <v>651</v>
      </c>
      <c r="B13" s="49">
        <v>7.5800000000000006E-2</v>
      </c>
      <c r="C13" s="49">
        <v>0.65669999999999995</v>
      </c>
      <c r="D13" s="49">
        <v>0.26750000000000002</v>
      </c>
    </row>
    <row r="14" spans="1:4" x14ac:dyDescent="0.25">
      <c r="A14" s="92" t="s">
        <v>654</v>
      </c>
      <c r="B14" s="49">
        <v>8.3000000000000004E-2</v>
      </c>
      <c r="C14" s="49">
        <v>0.745</v>
      </c>
      <c r="D14" s="49">
        <v>0.17199999999999999</v>
      </c>
    </row>
    <row r="15" spans="1:4" x14ac:dyDescent="0.25">
      <c r="A15" s="92" t="s">
        <v>658</v>
      </c>
      <c r="B15" s="49">
        <v>2.9399999999999999E-2</v>
      </c>
      <c r="C15" s="49">
        <v>0.92209999999999992</v>
      </c>
      <c r="D15" s="49">
        <v>4.8499999999999995E-2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E29"/>
  <sheetViews>
    <sheetView topLeftCell="A26" workbookViewId="0">
      <selection activeCell="A28" sqref="A28:D42"/>
    </sheetView>
  </sheetViews>
  <sheetFormatPr baseColWidth="10" defaultRowHeight="15" x14ac:dyDescent="0.25"/>
  <cols>
    <col min="1" max="1" width="12.28515625" customWidth="1"/>
    <col min="2" max="2" width="14.7109375" customWidth="1"/>
    <col min="3" max="3" width="12.28515625" customWidth="1"/>
    <col min="4" max="4" width="15.42578125" customWidth="1"/>
    <col min="5" max="5" width="7.85546875" customWidth="1"/>
  </cols>
  <sheetData>
    <row r="1" spans="1:5" ht="18.75" x14ac:dyDescent="0.3">
      <c r="A1" s="326">
        <v>2019</v>
      </c>
      <c r="B1" s="326"/>
      <c r="C1" s="326"/>
      <c r="D1" s="326"/>
    </row>
    <row r="2" spans="1:5" ht="38.25" customHeight="1" x14ac:dyDescent="0.25">
      <c r="A2" s="319" t="s">
        <v>578</v>
      </c>
      <c r="B2" s="321" t="s">
        <v>614</v>
      </c>
      <c r="C2" s="323" t="s">
        <v>568</v>
      </c>
      <c r="D2" s="323" t="s">
        <v>65</v>
      </c>
    </row>
    <row r="3" spans="1:5" ht="51" customHeight="1" x14ac:dyDescent="0.25">
      <c r="A3" s="320"/>
      <c r="B3" s="322"/>
      <c r="C3" s="324"/>
      <c r="D3" s="324"/>
    </row>
    <row r="4" spans="1:5" hidden="1" x14ac:dyDescent="0.25">
      <c r="A4" s="92" t="s">
        <v>569</v>
      </c>
      <c r="B4" s="49">
        <v>0.22775123044995979</v>
      </c>
      <c r="C4" s="49">
        <v>8.2191113884377734E-2</v>
      </c>
      <c r="D4" s="49">
        <v>0.77224876955004018</v>
      </c>
    </row>
    <row r="5" spans="1:5" hidden="1" x14ac:dyDescent="0.25">
      <c r="A5" s="92" t="s">
        <v>585</v>
      </c>
      <c r="B5" s="49">
        <v>0.2627315145902902</v>
      </c>
      <c r="C5" s="49">
        <v>0.14233704145987611</v>
      </c>
      <c r="D5" s="49">
        <v>0.73726848540970991</v>
      </c>
    </row>
    <row r="6" spans="1:5" hidden="1" x14ac:dyDescent="0.25">
      <c r="A6" s="92" t="s">
        <v>586</v>
      </c>
      <c r="B6" s="49">
        <v>0.31642449147007073</v>
      </c>
      <c r="C6" s="49">
        <v>0.1967294830040785</v>
      </c>
      <c r="D6" s="49">
        <v>0.68357550852992932</v>
      </c>
    </row>
    <row r="7" spans="1:5" hidden="1" x14ac:dyDescent="0.25">
      <c r="A7" s="92" t="s">
        <v>588</v>
      </c>
      <c r="B7" s="49">
        <v>0.3777756098375416</v>
      </c>
      <c r="C7" s="49">
        <v>0.25859620385971333</v>
      </c>
      <c r="D7" s="49">
        <v>0.62222439016245845</v>
      </c>
    </row>
    <row r="8" spans="1:5" hidden="1" x14ac:dyDescent="0.25">
      <c r="A8" s="92" t="s">
        <v>590</v>
      </c>
      <c r="B8" s="49">
        <v>0.43897842319494929</v>
      </c>
      <c r="C8" s="49">
        <v>0.32211938617488262</v>
      </c>
      <c r="D8" s="49">
        <v>0.56102157680505083</v>
      </c>
    </row>
    <row r="9" spans="1:5" hidden="1" x14ac:dyDescent="0.25">
      <c r="A9" s="92" t="s">
        <v>591</v>
      </c>
      <c r="B9" s="49">
        <v>0.49015472477167471</v>
      </c>
      <c r="C9" s="49">
        <v>0.38872695555501752</v>
      </c>
      <c r="D9" s="49">
        <v>0.50984527522832535</v>
      </c>
    </row>
    <row r="10" spans="1:5" hidden="1" x14ac:dyDescent="0.25">
      <c r="A10" s="92" t="s">
        <v>592</v>
      </c>
      <c r="B10" s="49">
        <v>0.55932522075834679</v>
      </c>
      <c r="C10" s="49">
        <v>0.44563946683373717</v>
      </c>
      <c r="D10" s="49">
        <v>0.44067477924165321</v>
      </c>
    </row>
    <row r="11" spans="1:5" hidden="1" x14ac:dyDescent="0.25">
      <c r="A11" s="92" t="s">
        <v>593</v>
      </c>
      <c r="B11" s="49">
        <v>0.60803839183098474</v>
      </c>
      <c r="C11" s="49">
        <v>0.51707991718764812</v>
      </c>
      <c r="D11" s="49">
        <v>0.39196160816901515</v>
      </c>
    </row>
    <row r="12" spans="1:5" hidden="1" x14ac:dyDescent="0.25">
      <c r="A12" s="92" t="s">
        <v>594</v>
      </c>
      <c r="B12" s="49">
        <v>0.66596485347274281</v>
      </c>
      <c r="C12" s="49">
        <v>0.58915874771246246</v>
      </c>
      <c r="D12" s="49">
        <v>0.33403514652725719</v>
      </c>
    </row>
    <row r="13" spans="1:5" hidden="1" x14ac:dyDescent="0.25">
      <c r="A13" s="92" t="s">
        <v>595</v>
      </c>
      <c r="B13" s="49">
        <v>0.73248854304978206</v>
      </c>
      <c r="C13" s="49">
        <v>0.65667856852072304</v>
      </c>
      <c r="D13" s="49">
        <v>0.26751145695021805</v>
      </c>
    </row>
    <row r="14" spans="1:5" x14ac:dyDescent="0.25">
      <c r="A14" s="92" t="s">
        <v>569</v>
      </c>
      <c r="B14" s="49">
        <v>0.26005831070520985</v>
      </c>
      <c r="C14" s="49">
        <v>9.0999502615619218E-2</v>
      </c>
      <c r="D14" s="49">
        <v>0.73994168929479021</v>
      </c>
    </row>
    <row r="15" spans="1:5" x14ac:dyDescent="0.25">
      <c r="A15" s="92" t="s">
        <v>585</v>
      </c>
      <c r="B15" s="49">
        <v>0.3039153743224382</v>
      </c>
      <c r="C15" s="49">
        <v>0.16208558058412564</v>
      </c>
      <c r="D15" s="49">
        <v>0.69608462567756169</v>
      </c>
    </row>
    <row r="16" spans="1:5" x14ac:dyDescent="0.25">
      <c r="A16" s="92" t="s">
        <v>586</v>
      </c>
      <c r="B16" s="49">
        <v>0.32960012885760459</v>
      </c>
      <c r="C16" s="49">
        <v>0.21103803730046736</v>
      </c>
      <c r="D16" s="49">
        <v>0.67039987114239541</v>
      </c>
      <c r="E16" s="48"/>
    </row>
    <row r="17" spans="1:4" x14ac:dyDescent="0.25">
      <c r="A17" s="92" t="s">
        <v>588</v>
      </c>
      <c r="B17" s="49">
        <v>0.40280058234374921</v>
      </c>
      <c r="C17" s="49">
        <v>0.2683059706236996</v>
      </c>
      <c r="D17" s="49">
        <v>0.59719941765625073</v>
      </c>
    </row>
    <row r="18" spans="1:4" x14ac:dyDescent="0.25">
      <c r="A18" s="92" t="s">
        <v>590</v>
      </c>
      <c r="B18" s="49">
        <v>0.45458487631689282</v>
      </c>
      <c r="C18" s="49">
        <v>0.33654852464590096</v>
      </c>
      <c r="D18" s="49">
        <v>0.54541512368310729</v>
      </c>
    </row>
    <row r="19" spans="1:4" x14ac:dyDescent="0.25">
      <c r="A19" s="92" t="s">
        <v>616</v>
      </c>
      <c r="B19" s="49">
        <v>9.69E-2</v>
      </c>
      <c r="C19" s="49">
        <v>0.40357339701204359</v>
      </c>
      <c r="D19" s="49">
        <v>0.49951345205419967</v>
      </c>
    </row>
    <row r="20" spans="1:4" x14ac:dyDescent="0.25">
      <c r="A20" s="92" t="s">
        <v>617</v>
      </c>
      <c r="B20" s="49">
        <v>0.14598819473842453</v>
      </c>
      <c r="C20" s="49">
        <v>0.4559637610202909</v>
      </c>
      <c r="D20" s="49">
        <v>0.39804804424128459</v>
      </c>
    </row>
    <row r="21" spans="1:4" x14ac:dyDescent="0.25">
      <c r="A21" s="92" t="s">
        <v>618</v>
      </c>
      <c r="B21" s="49">
        <v>0.10825792648540104</v>
      </c>
      <c r="C21" s="49">
        <v>0.57187960624439083</v>
      </c>
      <c r="D21" s="49">
        <v>0.31986246727020812</v>
      </c>
    </row>
    <row r="22" spans="1:4" x14ac:dyDescent="0.25">
      <c r="A22" s="92" t="s">
        <v>639</v>
      </c>
      <c r="B22" s="49">
        <v>8.9452745664617556E-2</v>
      </c>
      <c r="C22" s="49">
        <v>0.64524762629733545</v>
      </c>
      <c r="D22" s="49">
        <v>0.26529962803804696</v>
      </c>
    </row>
    <row r="23" spans="1:4" x14ac:dyDescent="0.25">
      <c r="A23" s="92" t="s">
        <v>651</v>
      </c>
      <c r="B23" s="49">
        <v>7.0491157513382627E-2</v>
      </c>
      <c r="C23" s="49">
        <v>0.72209878689562612</v>
      </c>
      <c r="D23" s="49">
        <v>0.20741005559099115</v>
      </c>
    </row>
    <row r="24" spans="1:4" x14ac:dyDescent="0.25">
      <c r="A24" s="92" t="s">
        <v>654</v>
      </c>
      <c r="B24" s="49">
        <v>7.8065672801339248E-2</v>
      </c>
      <c r="C24" s="49">
        <v>0.82065412655287384</v>
      </c>
      <c r="D24" s="49">
        <v>0.10128020064578699</v>
      </c>
    </row>
    <row r="25" spans="1:4" x14ac:dyDescent="0.25">
      <c r="A25" s="92" t="s">
        <v>658</v>
      </c>
      <c r="B25" s="49">
        <f>+(+'COMPORT. RESUMEN'!$E$11+'COMPORT. RESUMEN'!$G$11+'COMPORT. RESUMEN'!$I$11)/'COMPORT. RESUMEN'!$C$11</f>
        <v>6.5310317233987093E-4</v>
      </c>
      <c r="C25" s="49">
        <f>+(+'COMPORT. RESUMEN'!$K$11)/'COMPORT. RESUMEN'!$C$11</f>
        <v>0.93460471831535463</v>
      </c>
      <c r="D25" s="49">
        <f>+'COMPORT. RESUMEN'!$P$11</f>
        <v>6.4742178512305432E-2</v>
      </c>
    </row>
    <row r="26" spans="1:4" ht="51" customHeight="1" x14ac:dyDescent="0.25">
      <c r="A26" s="250"/>
      <c r="B26" s="251"/>
      <c r="C26" s="251"/>
      <c r="D26" s="251"/>
    </row>
    <row r="28" spans="1:4" ht="36" customHeight="1" x14ac:dyDescent="0.25"/>
    <row r="29" spans="1:4" ht="15" customHeight="1" x14ac:dyDescent="0.25"/>
  </sheetData>
  <mergeCells count="5">
    <mergeCell ref="A1:D1"/>
    <mergeCell ref="A2:A3"/>
    <mergeCell ref="D2:D3"/>
    <mergeCell ref="C2:C3"/>
    <mergeCell ref="B2:B3"/>
  </mergeCells>
  <pageMargins left="0.98425196850393704" right="0" top="0.35433070866141736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26"/>
  <sheetViews>
    <sheetView zoomScaleNormal="100" workbookViewId="0">
      <selection activeCell="D9" sqref="D9"/>
    </sheetView>
  </sheetViews>
  <sheetFormatPr baseColWidth="10" defaultRowHeight="15" x14ac:dyDescent="0.25"/>
  <cols>
    <col min="1" max="1" width="11.42578125" style="24"/>
    <col min="2" max="2" width="10.28515625" style="24" customWidth="1"/>
    <col min="3" max="3" width="5.140625" style="24" customWidth="1"/>
    <col min="4" max="4" width="16.28515625" style="24" customWidth="1"/>
    <col min="5" max="5" width="6.140625" style="24" bestFit="1" customWidth="1"/>
    <col min="6" max="6" width="17.28515625" style="24" bestFit="1" customWidth="1"/>
    <col min="7" max="7" width="6.140625" style="24" bestFit="1" customWidth="1"/>
    <col min="8" max="8" width="17.85546875" style="24" bestFit="1" customWidth="1"/>
    <col min="9" max="9" width="6.7109375" style="24" bestFit="1" customWidth="1"/>
    <col min="10" max="10" width="17.85546875" style="24" bestFit="1" customWidth="1"/>
    <col min="11" max="11" width="6.7109375" style="24" customWidth="1"/>
    <col min="12" max="12" width="17.85546875" style="24" bestFit="1" customWidth="1"/>
    <col min="13" max="13" width="6.7109375" style="24" customWidth="1"/>
    <col min="14" max="14" width="17.85546875" style="24" bestFit="1" customWidth="1"/>
    <col min="15" max="15" width="6.7109375" style="24" customWidth="1"/>
    <col min="16" max="16" width="17.85546875" style="24" customWidth="1"/>
    <col min="17" max="17" width="6.7109375" style="24" customWidth="1"/>
    <col min="18" max="18" width="18.7109375" style="24" customWidth="1"/>
    <col min="19" max="19" width="6.7109375" style="24" customWidth="1"/>
    <col min="20" max="20" width="18.5703125" style="24" hidden="1" customWidth="1"/>
    <col min="21" max="21" width="6.7109375" style="24" hidden="1" customWidth="1"/>
    <col min="22" max="22" width="17.85546875" style="24" bestFit="1" customWidth="1"/>
    <col min="23" max="23" width="6.7109375" style="24" customWidth="1"/>
    <col min="24" max="24" width="17.28515625" style="24" bestFit="1" customWidth="1"/>
    <col min="25" max="25" width="6.7109375" style="24" customWidth="1"/>
    <col min="26" max="26" width="18.140625" style="24" customWidth="1"/>
    <col min="27" max="27" width="7.42578125" style="24" customWidth="1"/>
    <col min="28" max="28" width="17" style="24" bestFit="1" customWidth="1"/>
    <col min="29" max="29" width="7.42578125" style="24" customWidth="1"/>
    <col min="30" max="30" width="18.140625" style="24" customWidth="1"/>
    <col min="31" max="31" width="7.42578125" style="24" customWidth="1"/>
    <col min="32" max="32" width="11.42578125" style="24" customWidth="1"/>
    <col min="33" max="49" width="11.42578125" style="93"/>
    <col min="50" max="57" width="11.42578125" style="64"/>
    <col min="58" max="16384" width="11.42578125" style="24"/>
  </cols>
  <sheetData>
    <row r="1" spans="1:55" ht="15.75" x14ac:dyDescent="0.25">
      <c r="A1" s="279" t="s">
        <v>70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</row>
    <row r="2" spans="1:55" ht="15.75" x14ac:dyDescent="0.25">
      <c r="A2" s="279" t="str">
        <f>+'ANALISIS POR PROG'!B2</f>
        <v xml:space="preserve">AL 31 DE DICIEMBRE 2019        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122"/>
      <c r="AY2" s="122"/>
      <c r="AZ2" s="122"/>
      <c r="BA2" s="122"/>
      <c r="BB2" s="122"/>
      <c r="BC2" s="122"/>
    </row>
    <row r="3" spans="1:55" ht="15.75" x14ac:dyDescent="0.25">
      <c r="A3" s="279" t="s">
        <v>55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122"/>
      <c r="AY3" s="122"/>
      <c r="AZ3" s="122"/>
      <c r="BA3" s="122"/>
      <c r="BB3" s="122"/>
      <c r="BC3" s="122"/>
    </row>
    <row r="4" spans="1:55" x14ac:dyDescent="0.25">
      <c r="AF4" s="121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122"/>
      <c r="AY4" s="122"/>
      <c r="AZ4" s="122"/>
      <c r="BA4" s="122"/>
      <c r="BB4" s="122"/>
      <c r="BC4" s="122"/>
    </row>
    <row r="5" spans="1:55" x14ac:dyDescent="0.25">
      <c r="A5" s="57" t="s">
        <v>71</v>
      </c>
      <c r="B5" s="327" t="s">
        <v>81</v>
      </c>
      <c r="C5" s="328"/>
      <c r="D5" s="327" t="s">
        <v>82</v>
      </c>
      <c r="E5" s="328"/>
      <c r="F5" s="329" t="s">
        <v>83</v>
      </c>
      <c r="G5" s="330"/>
      <c r="H5" s="329" t="s">
        <v>84</v>
      </c>
      <c r="I5" s="330"/>
      <c r="J5" s="98" t="s">
        <v>88</v>
      </c>
      <c r="K5" s="98"/>
      <c r="L5" s="327" t="s">
        <v>89</v>
      </c>
      <c r="M5" s="328"/>
      <c r="N5" s="115" t="s">
        <v>548</v>
      </c>
      <c r="O5" s="115"/>
      <c r="P5" s="115" t="s">
        <v>554</v>
      </c>
      <c r="Q5" s="115"/>
      <c r="R5" s="327" t="s">
        <v>557</v>
      </c>
      <c r="S5" s="328"/>
      <c r="T5" s="327" t="s">
        <v>558</v>
      </c>
      <c r="U5" s="328"/>
      <c r="V5" s="115" t="s">
        <v>559</v>
      </c>
      <c r="W5" s="115"/>
      <c r="X5" s="327" t="s">
        <v>560</v>
      </c>
      <c r="Y5" s="328"/>
      <c r="Z5" s="327" t="s">
        <v>562</v>
      </c>
      <c r="AA5" s="328"/>
      <c r="AB5" s="327" t="s">
        <v>563</v>
      </c>
      <c r="AC5" s="328"/>
      <c r="AD5" s="327" t="s">
        <v>565</v>
      </c>
      <c r="AE5" s="328"/>
      <c r="AF5" s="121"/>
      <c r="AG5" s="95"/>
      <c r="AH5" s="131" t="str">
        <f>+B5</f>
        <v>07-Enero</v>
      </c>
      <c r="AI5" s="132" t="str">
        <f>+D5</f>
        <v>02-Febrero</v>
      </c>
      <c r="AJ5" s="132" t="s">
        <v>83</v>
      </c>
      <c r="AK5" s="132" t="s">
        <v>84</v>
      </c>
      <c r="AL5" s="132" t="s">
        <v>88</v>
      </c>
      <c r="AM5" s="132" t="s">
        <v>89</v>
      </c>
      <c r="AN5" s="132" t="s">
        <v>548</v>
      </c>
      <c r="AO5" s="132" t="s">
        <v>554</v>
      </c>
      <c r="AP5" s="132" t="s">
        <v>557</v>
      </c>
      <c r="AQ5" s="132" t="s">
        <v>558</v>
      </c>
      <c r="AR5" s="132" t="s">
        <v>559</v>
      </c>
      <c r="AS5" s="132" t="s">
        <v>560</v>
      </c>
      <c r="AT5" s="132" t="s">
        <v>562</v>
      </c>
      <c r="AU5" s="132" t="s">
        <v>563</v>
      </c>
      <c r="AV5" s="132" t="s">
        <v>565</v>
      </c>
      <c r="AW5" s="95"/>
      <c r="AX5" s="122"/>
      <c r="AY5" s="122"/>
      <c r="AZ5" s="122"/>
      <c r="BA5" s="122"/>
      <c r="BB5" s="122"/>
      <c r="BC5" s="122"/>
    </row>
    <row r="6" spans="1:55" x14ac:dyDescent="0.25">
      <c r="A6" s="83"/>
      <c r="B6" s="61" t="s">
        <v>80</v>
      </c>
      <c r="C6" s="61" t="s">
        <v>72</v>
      </c>
      <c r="D6" s="61" t="s">
        <v>80</v>
      </c>
      <c r="E6" s="61" t="s">
        <v>72</v>
      </c>
      <c r="F6" s="61" t="s">
        <v>80</v>
      </c>
      <c r="G6" s="61" t="s">
        <v>72</v>
      </c>
      <c r="H6" s="61" t="s">
        <v>80</v>
      </c>
      <c r="I6" s="61" t="s">
        <v>72</v>
      </c>
      <c r="J6" s="61" t="s">
        <v>80</v>
      </c>
      <c r="K6" s="61" t="s">
        <v>72</v>
      </c>
      <c r="L6" s="61" t="s">
        <v>80</v>
      </c>
      <c r="M6" s="61" t="s">
        <v>72</v>
      </c>
      <c r="N6" s="61" t="s">
        <v>80</v>
      </c>
      <c r="O6" s="61" t="s">
        <v>72</v>
      </c>
      <c r="P6" s="61" t="s">
        <v>80</v>
      </c>
      <c r="Q6" s="61" t="s">
        <v>72</v>
      </c>
      <c r="R6" s="61" t="s">
        <v>80</v>
      </c>
      <c r="S6" s="61" t="s">
        <v>72</v>
      </c>
      <c r="T6" s="61" t="s">
        <v>80</v>
      </c>
      <c r="U6" s="61" t="s">
        <v>72</v>
      </c>
      <c r="V6" s="61" t="s">
        <v>80</v>
      </c>
      <c r="W6" s="61" t="s">
        <v>72</v>
      </c>
      <c r="X6" s="61" t="s">
        <v>80</v>
      </c>
      <c r="Y6" s="61" t="s">
        <v>72</v>
      </c>
      <c r="Z6" s="61" t="s">
        <v>80</v>
      </c>
      <c r="AA6" s="61" t="s">
        <v>72</v>
      </c>
      <c r="AB6" s="61" t="s">
        <v>80</v>
      </c>
      <c r="AC6" s="61" t="s">
        <v>72</v>
      </c>
      <c r="AD6" s="61" t="s">
        <v>80</v>
      </c>
      <c r="AE6" s="61" t="s">
        <v>72</v>
      </c>
      <c r="AF6" s="121"/>
      <c r="AG6" s="95" t="s">
        <v>75</v>
      </c>
      <c r="AH6" s="133">
        <f>+C7</f>
        <v>0</v>
      </c>
      <c r="AI6" s="133">
        <f>+E7</f>
        <v>7.0419120509668698E-2</v>
      </c>
      <c r="AJ6" s="133">
        <f>+G7</f>
        <v>0.1051920636379533</v>
      </c>
      <c r="AK6" s="133">
        <f>+I7</f>
        <v>0.16634194867651356</v>
      </c>
      <c r="AL6" s="133">
        <f>+K7</f>
        <v>0.16634194867651356</v>
      </c>
      <c r="AM6" s="133">
        <f>+M7</f>
        <v>0.21380633958732984</v>
      </c>
      <c r="AN6" s="133">
        <f>+O7</f>
        <v>0.26041464032126493</v>
      </c>
      <c r="AO6" s="133">
        <f>+Q7</f>
        <v>0.30336542002214928</v>
      </c>
      <c r="AP6" s="133">
        <f>+S7</f>
        <v>0.35385834581634595</v>
      </c>
      <c r="AQ6" s="133">
        <f>+U7</f>
        <v>0.52629880850785726</v>
      </c>
      <c r="AR6" s="133">
        <f>+W7</f>
        <v>0.54138361692075698</v>
      </c>
      <c r="AS6" s="133">
        <f>+Y7</f>
        <v>0.59700785352283037</v>
      </c>
      <c r="AT6" s="133">
        <v>0.70674797079911356</v>
      </c>
      <c r="AU6" s="133">
        <v>0.76869545581451726</v>
      </c>
      <c r="AV6" s="133">
        <f>+AE7</f>
        <v>0.89259456274377547</v>
      </c>
      <c r="AW6" s="134"/>
      <c r="AX6" s="123"/>
      <c r="AY6" s="123"/>
      <c r="AZ6" s="123"/>
      <c r="BA6" s="123"/>
      <c r="BB6" s="123"/>
      <c r="BC6" s="123"/>
    </row>
    <row r="7" spans="1:55" x14ac:dyDescent="0.25">
      <c r="A7" s="79" t="s">
        <v>75</v>
      </c>
      <c r="B7" s="74">
        <v>0</v>
      </c>
      <c r="C7" s="90">
        <v>0</v>
      </c>
      <c r="D7" s="74">
        <v>245250994.83000001</v>
      </c>
      <c r="E7" s="90">
        <v>7.0419120509668698E-2</v>
      </c>
      <c r="F7" s="74">
        <v>366355871.37</v>
      </c>
      <c r="G7" s="90">
        <v>0.1051920636379533</v>
      </c>
      <c r="H7" s="99">
        <v>579324593.94000006</v>
      </c>
      <c r="I7" s="90">
        <v>0.16634194867651356</v>
      </c>
      <c r="J7" s="99">
        <v>579324593.94000006</v>
      </c>
      <c r="K7" s="90">
        <v>0.16634194867651356</v>
      </c>
      <c r="L7" s="99">
        <v>744630394.49000001</v>
      </c>
      <c r="M7" s="90">
        <v>0.21380633958732984</v>
      </c>
      <c r="N7" s="99">
        <v>906954661.52999997</v>
      </c>
      <c r="O7" s="90">
        <v>0.26041464032126493</v>
      </c>
      <c r="P7" s="99">
        <v>1056540759.37</v>
      </c>
      <c r="Q7" s="90">
        <v>0.30336542002214928</v>
      </c>
      <c r="R7" s="74">
        <v>1232394138.3</v>
      </c>
      <c r="S7" s="90">
        <v>0.35385834581634595</v>
      </c>
      <c r="T7" s="124">
        <v>1479237863.0999999</v>
      </c>
      <c r="U7" s="90">
        <v>0.52629880850785726</v>
      </c>
      <c r="V7" s="99">
        <v>1521635868.5699999</v>
      </c>
      <c r="W7" s="90">
        <v>0.54138361692075698</v>
      </c>
      <c r="X7" s="90">
        <v>1677975718.78</v>
      </c>
      <c r="Y7" s="90">
        <v>0.59700785352283037</v>
      </c>
      <c r="Z7" s="74">
        <v>1986415969.74</v>
      </c>
      <c r="AA7" s="90">
        <v>0.70674797079911356</v>
      </c>
      <c r="AB7" s="74">
        <v>2160528211.4499998</v>
      </c>
      <c r="AC7" s="90">
        <v>0.76869545581451726</v>
      </c>
      <c r="AD7" s="74">
        <f>+'ANALISIS POR PROG'!$L$6</f>
        <v>2147263176.1900001</v>
      </c>
      <c r="AE7" s="90">
        <f>+'ANALISIS POR PROG'!$M$6</f>
        <v>0.89259456274377547</v>
      </c>
      <c r="AF7" s="121"/>
      <c r="AG7" s="95" t="s">
        <v>76</v>
      </c>
      <c r="AH7" s="133">
        <f>+C8</f>
        <v>0</v>
      </c>
      <c r="AI7" s="133">
        <f>+E8</f>
        <v>9.847306681403302E-2</v>
      </c>
      <c r="AJ7" s="133">
        <f>+G8</f>
        <v>0.14412050791800232</v>
      </c>
      <c r="AK7" s="133">
        <f>+I8</f>
        <v>0.22521648410063372</v>
      </c>
      <c r="AL7" s="133">
        <f>+K8</f>
        <v>0.22521648410063372</v>
      </c>
      <c r="AM7" s="133">
        <f>+M8</f>
        <v>0.28187128888614627</v>
      </c>
      <c r="AN7" s="133">
        <f>+O8</f>
        <v>0.33919628395495699</v>
      </c>
      <c r="AO7" s="133">
        <f>+Q8</f>
        <v>0.39732708495640168</v>
      </c>
      <c r="AP7" s="133">
        <f>+S8</f>
        <v>0.46004519725307963</v>
      </c>
      <c r="AQ7" s="133">
        <f>+U8</f>
        <v>0.5127507660757088</v>
      </c>
      <c r="AR7" s="133">
        <f>+W8</f>
        <v>0.54261820773149716</v>
      </c>
      <c r="AS7" s="133">
        <f>+Y8</f>
        <v>0.60221737638396511</v>
      </c>
      <c r="AT7" s="133">
        <v>0.67315665049193119</v>
      </c>
      <c r="AU7" s="133">
        <v>0.74984207286196081</v>
      </c>
      <c r="AV7" s="133">
        <f>+AE8</f>
        <v>0.8733843302341413</v>
      </c>
      <c r="AW7" s="134"/>
      <c r="AX7" s="123"/>
      <c r="AY7" s="123"/>
      <c r="AZ7" s="123"/>
      <c r="BA7" s="123"/>
      <c r="BB7" s="123"/>
      <c r="BC7" s="123"/>
    </row>
    <row r="8" spans="1:55" x14ac:dyDescent="0.25">
      <c r="A8" s="79" t="s">
        <v>76</v>
      </c>
      <c r="B8" s="74">
        <v>0</v>
      </c>
      <c r="C8" s="90">
        <v>0</v>
      </c>
      <c r="D8" s="74">
        <v>89363224.930000007</v>
      </c>
      <c r="E8" s="90">
        <v>9.847306681403302E-2</v>
      </c>
      <c r="F8" s="74">
        <v>130787775.61</v>
      </c>
      <c r="G8" s="90">
        <v>0.14412050791800232</v>
      </c>
      <c r="H8" s="99">
        <v>204381481.94</v>
      </c>
      <c r="I8" s="90">
        <v>0.22521648410063372</v>
      </c>
      <c r="J8" s="99">
        <v>204381481.94</v>
      </c>
      <c r="K8" s="90">
        <v>0.22521648410063372</v>
      </c>
      <c r="L8" s="99">
        <v>255795094.08000001</v>
      </c>
      <c r="M8" s="90">
        <v>0.28187128888614627</v>
      </c>
      <c r="N8" s="99">
        <v>307816896.52999997</v>
      </c>
      <c r="O8" s="90">
        <v>0.33919628395495699</v>
      </c>
      <c r="P8" s="99">
        <v>360569959</v>
      </c>
      <c r="Q8" s="90">
        <v>0.39732708495640168</v>
      </c>
      <c r="R8" s="74">
        <v>417485956.00999999</v>
      </c>
      <c r="S8" s="90">
        <v>0.46004519725307963</v>
      </c>
      <c r="T8" s="124">
        <v>449305830.50999999</v>
      </c>
      <c r="U8" s="90">
        <v>0.5127507660757088</v>
      </c>
      <c r="V8" s="99">
        <v>475477640.61000001</v>
      </c>
      <c r="W8" s="90">
        <v>0.54261820773149716</v>
      </c>
      <c r="X8" s="90">
        <v>527702338.73000002</v>
      </c>
      <c r="Y8" s="90">
        <v>0.60221737638396511</v>
      </c>
      <c r="Z8" s="74">
        <v>589863980.55999994</v>
      </c>
      <c r="AA8" s="90">
        <v>0.67315665049193119</v>
      </c>
      <c r="AB8" s="74">
        <v>657060774.13999999</v>
      </c>
      <c r="AC8" s="90">
        <v>0.74984207286196081</v>
      </c>
      <c r="AD8" s="74">
        <f>+'ANALISIS POR PROG'!$L$7</f>
        <v>1033142240.79</v>
      </c>
      <c r="AE8" s="90">
        <f>+'ANALISIS POR PROG'!$M$7</f>
        <v>0.8733843302341413</v>
      </c>
      <c r="AF8" s="121"/>
      <c r="AG8" s="95" t="s">
        <v>77</v>
      </c>
      <c r="AH8" s="133">
        <f>+C9</f>
        <v>0</v>
      </c>
      <c r="AI8" s="133">
        <f>+E9</f>
        <v>0.1034676705007908</v>
      </c>
      <c r="AJ8" s="133">
        <f>+G9</f>
        <v>0.14685775682797078</v>
      </c>
      <c r="AK8" s="133">
        <f>+I9</f>
        <v>0.23832923646647955</v>
      </c>
      <c r="AL8" s="133">
        <f>+K9</f>
        <v>0.23832923646647955</v>
      </c>
      <c r="AM8" s="133">
        <f>+M9</f>
        <v>0.30143125937641302</v>
      </c>
      <c r="AN8" s="133">
        <f>+O9</f>
        <v>0.35710474336060977</v>
      </c>
      <c r="AO8" s="133">
        <f>+Q9</f>
        <v>0.42067539423026834</v>
      </c>
      <c r="AP8" s="133">
        <f>+S9</f>
        <v>0.48457547136075985</v>
      </c>
      <c r="AQ8" s="133">
        <f>+U9</f>
        <v>0.5420373509532308</v>
      </c>
      <c r="AR8" s="133">
        <f>+W9</f>
        <v>0.57130568807912852</v>
      </c>
      <c r="AS8" s="133">
        <f>+Y9</f>
        <v>0.64107788372986207</v>
      </c>
      <c r="AT8" s="133">
        <v>0.71372859373685638</v>
      </c>
      <c r="AU8" s="133">
        <v>0.78155259840657876</v>
      </c>
      <c r="AV8" s="133">
        <f>+AE9</f>
        <v>0.91234350386523133</v>
      </c>
      <c r="AW8" s="134"/>
      <c r="AX8" s="123"/>
      <c r="AY8" s="123"/>
      <c r="AZ8" s="123"/>
      <c r="BA8" s="123"/>
      <c r="BB8" s="123"/>
      <c r="BC8" s="123"/>
    </row>
    <row r="9" spans="1:55" x14ac:dyDescent="0.25">
      <c r="A9" s="79" t="s">
        <v>77</v>
      </c>
      <c r="B9" s="74">
        <v>0</v>
      </c>
      <c r="C9" s="90">
        <v>0</v>
      </c>
      <c r="D9" s="74">
        <v>993084770.82000005</v>
      </c>
      <c r="E9" s="90">
        <v>0.1034676705007908</v>
      </c>
      <c r="F9" s="74">
        <v>1409543687.1900001</v>
      </c>
      <c r="G9" s="90">
        <v>0.14685775682797078</v>
      </c>
      <c r="H9" s="99">
        <v>2287488778.1900001</v>
      </c>
      <c r="I9" s="90">
        <v>0.23832923646647955</v>
      </c>
      <c r="J9" s="99">
        <v>2287488778.1900001</v>
      </c>
      <c r="K9" s="90">
        <v>0.23832923646647955</v>
      </c>
      <c r="L9" s="99">
        <v>2893143256.1199999</v>
      </c>
      <c r="M9" s="90">
        <v>0.30143125937641302</v>
      </c>
      <c r="N9" s="99">
        <v>3427498468.8699999</v>
      </c>
      <c r="O9" s="90">
        <v>0.35710474336060977</v>
      </c>
      <c r="P9" s="99">
        <v>4037650847.3299999</v>
      </c>
      <c r="Q9" s="90">
        <v>0.42067539423026834</v>
      </c>
      <c r="R9" s="74">
        <v>4650965065.6300001</v>
      </c>
      <c r="S9" s="90">
        <v>0.48457547136075985</v>
      </c>
      <c r="T9" s="124">
        <v>5018766614.3999996</v>
      </c>
      <c r="U9" s="90">
        <v>0.5420373509532308</v>
      </c>
      <c r="V9" s="99">
        <v>5289764457.9399996</v>
      </c>
      <c r="W9" s="90">
        <v>0.57130568807912852</v>
      </c>
      <c r="X9" s="90">
        <v>5935790724.4499998</v>
      </c>
      <c r="Y9" s="90">
        <v>0.64107788372986207</v>
      </c>
      <c r="Z9" s="74">
        <v>6608469382.5799999</v>
      </c>
      <c r="AA9" s="90">
        <v>0.71372859373685638</v>
      </c>
      <c r="AB9" s="74">
        <v>7236457195.0299997</v>
      </c>
      <c r="AC9" s="90">
        <v>0.78155259840657876</v>
      </c>
      <c r="AD9" s="74">
        <f>+'ANALISIS POR PROG'!$L$8</f>
        <v>9909325805.1000004</v>
      </c>
      <c r="AE9" s="90">
        <f>+'ANALISIS POR PROG'!$M$8</f>
        <v>0.91234350386523133</v>
      </c>
      <c r="AF9" s="121"/>
      <c r="AG9" s="95" t="s">
        <v>78</v>
      </c>
      <c r="AH9" s="133">
        <f>+C10</f>
        <v>0</v>
      </c>
      <c r="AI9" s="133">
        <f>+E10</f>
        <v>8.2754659490175769E-2</v>
      </c>
      <c r="AJ9" s="133">
        <f>+G10</f>
        <v>0.12395199074682743</v>
      </c>
      <c r="AK9" s="133">
        <f>+I10</f>
        <v>0.2057917742419221</v>
      </c>
      <c r="AL9" s="133">
        <f>+K10</f>
        <v>0.2057917742419221</v>
      </c>
      <c r="AM9" s="133">
        <f>+M10</f>
        <v>0.26576438671716529</v>
      </c>
      <c r="AN9" s="133">
        <f>+O10</f>
        <v>0.32424020876802151</v>
      </c>
      <c r="AO9" s="133">
        <f>+Q10</f>
        <v>0.38137051910877928</v>
      </c>
      <c r="AP9" s="133">
        <f>+S10</f>
        <v>0.44617821619113329</v>
      </c>
      <c r="AQ9" s="133">
        <f>+U10</f>
        <v>0.48714224106997811</v>
      </c>
      <c r="AR9" s="133">
        <f>+W10</f>
        <v>0.5099788499543082</v>
      </c>
      <c r="AS9" s="133">
        <f>+Y10</f>
        <v>0.57139356645109007</v>
      </c>
      <c r="AT9" s="133">
        <v>0.63477107375470487</v>
      </c>
      <c r="AU9" s="133">
        <v>0.70808288615654291</v>
      </c>
      <c r="AV9" s="133">
        <f>+AE10</f>
        <v>0.93763792048164374</v>
      </c>
      <c r="AW9" s="134"/>
      <c r="AX9" s="123"/>
      <c r="AY9" s="123"/>
      <c r="AZ9" s="123"/>
      <c r="BA9" s="123"/>
      <c r="BB9" s="123"/>
      <c r="BC9" s="123"/>
    </row>
    <row r="10" spans="1:55" x14ac:dyDescent="0.25">
      <c r="A10" s="79" t="s">
        <v>78</v>
      </c>
      <c r="B10" s="74">
        <v>0</v>
      </c>
      <c r="C10" s="90">
        <v>0</v>
      </c>
      <c r="D10" s="74">
        <v>7496056829.2399998</v>
      </c>
      <c r="E10" s="90">
        <v>8.2754659490175769E-2</v>
      </c>
      <c r="F10" s="74">
        <v>11227780676.76</v>
      </c>
      <c r="G10" s="90">
        <v>0.12395199074682743</v>
      </c>
      <c r="H10" s="99">
        <v>18640966493.139999</v>
      </c>
      <c r="I10" s="90">
        <v>0.2057917742419221</v>
      </c>
      <c r="J10" s="99">
        <v>18640966493.139999</v>
      </c>
      <c r="K10" s="90">
        <v>0.2057917742419221</v>
      </c>
      <c r="L10" s="99">
        <v>24073387024.889999</v>
      </c>
      <c r="M10" s="90">
        <v>0.26576438671716529</v>
      </c>
      <c r="N10" s="99">
        <v>29370225751.919998</v>
      </c>
      <c r="O10" s="90">
        <v>0.32424020876802151</v>
      </c>
      <c r="P10" s="99">
        <v>34545185755.68</v>
      </c>
      <c r="Q10" s="90">
        <v>0.38137051910877928</v>
      </c>
      <c r="R10" s="74">
        <v>40415576417.599998</v>
      </c>
      <c r="S10" s="90">
        <v>0.44617821619113329</v>
      </c>
      <c r="T10" s="124">
        <v>44159402879.379997</v>
      </c>
      <c r="U10" s="90">
        <v>0.48714224106997811</v>
      </c>
      <c r="V10" s="99">
        <v>46229539539.889999</v>
      </c>
      <c r="W10" s="90">
        <v>0.5099788499543082</v>
      </c>
      <c r="X10" s="90">
        <v>51796778386.900002</v>
      </c>
      <c r="Y10" s="90">
        <v>0.57139356645109007</v>
      </c>
      <c r="Z10" s="74">
        <v>57541944054.25</v>
      </c>
      <c r="AA10" s="90">
        <v>0.63477107375470487</v>
      </c>
      <c r="AB10" s="74">
        <v>64187653637.059998</v>
      </c>
      <c r="AC10" s="90">
        <v>0.70808288615654291</v>
      </c>
      <c r="AD10" s="74">
        <f>+'ANALISIS POR PROG'!$L$9</f>
        <v>108051057664.92</v>
      </c>
      <c r="AE10" s="90">
        <f>+'ANALISIS POR PROG'!$M$9</f>
        <v>0.93763792048164374</v>
      </c>
      <c r="AF10" s="121"/>
      <c r="AG10" s="95" t="s">
        <v>79</v>
      </c>
      <c r="AH10" s="133">
        <f>+C11</f>
        <v>0</v>
      </c>
      <c r="AI10" s="133">
        <f>+E11</f>
        <v>0.11570925218181546</v>
      </c>
      <c r="AJ10" s="133">
        <f>+G11</f>
        <v>0.1626488165739505</v>
      </c>
      <c r="AK10" s="133">
        <f>+I11</f>
        <v>0.25129019514931733</v>
      </c>
      <c r="AL10" s="133">
        <f>+K11</f>
        <v>0.25129019514931733</v>
      </c>
      <c r="AM10" s="133">
        <f>+M11</f>
        <v>0.31431923888391666</v>
      </c>
      <c r="AN10" s="133">
        <f>+O11</f>
        <v>0.38348291768852633</v>
      </c>
      <c r="AO10" s="133">
        <f>+Q11</f>
        <v>0.44740282664124387</v>
      </c>
      <c r="AP10" s="133">
        <f>+S11</f>
        <v>0.51275678897521071</v>
      </c>
      <c r="AQ10" s="133">
        <f>+U11</f>
        <v>0.5531082270342087</v>
      </c>
      <c r="AR10" s="133">
        <f>+W11</f>
        <v>0.57968585922017446</v>
      </c>
      <c r="AS10" s="133">
        <f>+Y11</f>
        <v>0.64460673182559847</v>
      </c>
      <c r="AT10" s="133">
        <v>0.70797571855644348</v>
      </c>
      <c r="AU10" s="133">
        <v>0.77281210486863083</v>
      </c>
      <c r="AV10" s="133">
        <f>+AE11</f>
        <v>0.9395011475584113</v>
      </c>
      <c r="AW10" s="134"/>
      <c r="AX10" s="123"/>
      <c r="AY10" s="123"/>
      <c r="AZ10" s="123"/>
      <c r="BA10" s="123"/>
      <c r="BB10" s="123"/>
      <c r="BC10" s="123"/>
    </row>
    <row r="11" spans="1:55" x14ac:dyDescent="0.25">
      <c r="A11" s="79" t="s">
        <v>79</v>
      </c>
      <c r="B11" s="74">
        <v>0</v>
      </c>
      <c r="C11" s="90">
        <v>0</v>
      </c>
      <c r="D11" s="74">
        <v>1570413954.55</v>
      </c>
      <c r="E11" s="90">
        <v>0.11570925218181546</v>
      </c>
      <c r="F11" s="74">
        <v>2207480961.3099999</v>
      </c>
      <c r="G11" s="90">
        <v>0.1626488165739505</v>
      </c>
      <c r="H11" s="99">
        <v>3410527867.5900002</v>
      </c>
      <c r="I11" s="90">
        <v>0.25129019514931733</v>
      </c>
      <c r="J11" s="99">
        <v>3410527867.5900002</v>
      </c>
      <c r="K11" s="90">
        <v>0.25129019514931733</v>
      </c>
      <c r="L11" s="99">
        <v>4265962398.1599998</v>
      </c>
      <c r="M11" s="90">
        <v>0.31431923888391666</v>
      </c>
      <c r="N11" s="99">
        <v>5204656619.1899996</v>
      </c>
      <c r="O11" s="90">
        <v>0.38348291768852633</v>
      </c>
      <c r="P11" s="99">
        <v>6072182033.9700003</v>
      </c>
      <c r="Q11" s="90">
        <v>0.44740282664124387</v>
      </c>
      <c r="R11" s="74">
        <v>6959170520.1899996</v>
      </c>
      <c r="S11" s="90">
        <v>0.51275678897521071</v>
      </c>
      <c r="T11" s="124">
        <v>7463433045.3299999</v>
      </c>
      <c r="U11" s="90">
        <v>0.5531082270342087</v>
      </c>
      <c r="V11" s="99">
        <v>7822061553.5100002</v>
      </c>
      <c r="W11" s="90">
        <v>0.57968585922017446</v>
      </c>
      <c r="X11" s="90">
        <v>8698079233.6900005</v>
      </c>
      <c r="Y11" s="90">
        <v>0.64460673182559847</v>
      </c>
      <c r="Z11" s="74">
        <v>9553156353.3199997</v>
      </c>
      <c r="AA11" s="90">
        <v>0.70797571855644348</v>
      </c>
      <c r="AB11" s="74">
        <v>10428034007.440001</v>
      </c>
      <c r="AC11" s="90">
        <v>0.77281210486863083</v>
      </c>
      <c r="AD11" s="74">
        <f>+'ANALISIS POR PROG'!$L$10</f>
        <v>12611805594.5</v>
      </c>
      <c r="AE11" s="90">
        <f>+'ANALISIS POR PROG'!$M$10</f>
        <v>0.9395011475584113</v>
      </c>
      <c r="AF11" s="121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122"/>
      <c r="AY11" s="122"/>
      <c r="AZ11" s="122"/>
      <c r="BA11" s="122"/>
      <c r="BB11" s="122"/>
      <c r="BC11" s="122"/>
    </row>
    <row r="12" spans="1:55" x14ac:dyDescent="0.25">
      <c r="A12" s="54" t="s">
        <v>15</v>
      </c>
      <c r="B12" s="55">
        <f>SUM(B7:B11)</f>
        <v>0</v>
      </c>
      <c r="C12" s="91">
        <f t="shared" ref="C12" si="0">SUM(C7:C11)</f>
        <v>0</v>
      </c>
      <c r="D12" s="55">
        <f>SUM(D7:D11)</f>
        <v>10394169774.369999</v>
      </c>
      <c r="E12" s="91"/>
      <c r="F12" s="55">
        <f>SUM(F7:F11)</f>
        <v>15341948972.24</v>
      </c>
      <c r="G12" s="91"/>
      <c r="H12" s="100">
        <v>25122689214.799999</v>
      </c>
      <c r="I12" s="91"/>
      <c r="J12" s="100">
        <v>25122689214.799999</v>
      </c>
      <c r="K12" s="91"/>
      <c r="L12" s="55">
        <f>SUM(L7:L11)</f>
        <v>32232918167.739998</v>
      </c>
      <c r="M12" s="91"/>
      <c r="N12" s="100">
        <v>39217152398.040001</v>
      </c>
      <c r="O12" s="91"/>
      <c r="P12" s="100">
        <v>46072129355.349998</v>
      </c>
      <c r="Q12" s="91"/>
      <c r="R12" s="100">
        <f>SUM(R7:R11)</f>
        <v>53675592097.730003</v>
      </c>
      <c r="S12" s="91"/>
      <c r="T12" s="100">
        <f>SUM(T7:T11)</f>
        <v>58570146232.720001</v>
      </c>
      <c r="U12" s="91"/>
      <c r="V12" s="100">
        <f>SUM(V7:V11)</f>
        <v>61338479060.519997</v>
      </c>
      <c r="W12" s="91"/>
      <c r="X12" s="100">
        <f>SUM(X7:X11)</f>
        <v>68636326402.550003</v>
      </c>
      <c r="Y12" s="91"/>
      <c r="Z12" s="100">
        <v>76279849740.450012</v>
      </c>
      <c r="AA12" s="91"/>
      <c r="AB12" s="100">
        <v>84669733825.119995</v>
      </c>
      <c r="AC12" s="91"/>
      <c r="AD12" s="100">
        <f>SUM(AD7:AD11)</f>
        <v>133752594481.5</v>
      </c>
      <c r="AE12" s="91"/>
      <c r="AF12" s="121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122"/>
      <c r="AY12" s="122"/>
      <c r="AZ12" s="122"/>
      <c r="BA12" s="122"/>
      <c r="BB12" s="122"/>
      <c r="BC12" s="122"/>
    </row>
    <row r="13" spans="1:55" x14ac:dyDescent="0.25">
      <c r="A13" s="78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21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122"/>
      <c r="AY13" s="122"/>
      <c r="AZ13" s="122"/>
      <c r="BA13" s="122"/>
      <c r="BB13" s="122"/>
      <c r="BC13" s="122"/>
    </row>
    <row r="14" spans="1:55" x14ac:dyDescent="0.25">
      <c r="AF14" s="121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122"/>
      <c r="AY14" s="122"/>
      <c r="AZ14" s="122"/>
      <c r="BA14" s="122"/>
      <c r="BB14" s="122"/>
      <c r="BC14" s="122"/>
    </row>
    <row r="15" spans="1:55" x14ac:dyDescent="0.25"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122"/>
      <c r="AY15" s="122"/>
      <c r="AZ15" s="122"/>
      <c r="BA15" s="122"/>
      <c r="BB15" s="122"/>
      <c r="BC15" s="122"/>
    </row>
    <row r="16" spans="1:55" x14ac:dyDescent="0.25"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122"/>
      <c r="AY16" s="122"/>
      <c r="AZ16" s="122"/>
      <c r="BA16" s="122"/>
      <c r="BB16" s="122"/>
      <c r="BC16" s="122"/>
    </row>
    <row r="17" spans="33:55" x14ac:dyDescent="0.25"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122"/>
      <c r="AY17" s="122"/>
      <c r="AZ17" s="122"/>
      <c r="BA17" s="122"/>
      <c r="BB17" s="122"/>
      <c r="BC17" s="122"/>
    </row>
    <row r="18" spans="33:55" x14ac:dyDescent="0.25"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122"/>
      <c r="AY18" s="122"/>
      <c r="AZ18" s="122"/>
      <c r="BA18" s="122"/>
      <c r="BB18" s="122"/>
      <c r="BC18" s="122"/>
    </row>
    <row r="19" spans="33:55" x14ac:dyDescent="0.25"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122"/>
      <c r="AY19" s="122"/>
      <c r="AZ19" s="122"/>
      <c r="BA19" s="122"/>
      <c r="BB19" s="122"/>
      <c r="BC19" s="122"/>
    </row>
    <row r="20" spans="33:55" x14ac:dyDescent="0.25"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122"/>
      <c r="AY20" s="122"/>
      <c r="AZ20" s="122"/>
      <c r="BA20" s="122"/>
      <c r="BB20" s="122"/>
      <c r="BC20" s="122"/>
    </row>
    <row r="21" spans="33:55" x14ac:dyDescent="0.25"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122"/>
      <c r="AY21" s="122"/>
      <c r="AZ21" s="122"/>
      <c r="BA21" s="122"/>
      <c r="BB21" s="122"/>
      <c r="BC21" s="122"/>
    </row>
    <row r="22" spans="33:55" x14ac:dyDescent="0.25"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122"/>
      <c r="AY22" s="122"/>
      <c r="AZ22" s="122"/>
      <c r="BA22" s="122"/>
      <c r="BB22" s="122"/>
      <c r="BC22" s="122"/>
    </row>
    <row r="23" spans="33:55" x14ac:dyDescent="0.25"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122"/>
      <c r="AY23" s="122"/>
      <c r="AZ23" s="122"/>
      <c r="BA23" s="122"/>
      <c r="BB23" s="122"/>
      <c r="BC23" s="122"/>
    </row>
    <row r="24" spans="33:55" x14ac:dyDescent="0.25"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122"/>
      <c r="AY24" s="122"/>
      <c r="AZ24" s="122"/>
      <c r="BA24" s="122"/>
      <c r="BB24" s="122"/>
      <c r="BC24" s="122"/>
    </row>
    <row r="25" spans="33:55" x14ac:dyDescent="0.25"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122"/>
      <c r="AY25" s="122"/>
      <c r="AZ25" s="122"/>
      <c r="BA25" s="122"/>
      <c r="BB25" s="122"/>
      <c r="BC25" s="122"/>
    </row>
    <row r="26" spans="33:55" x14ac:dyDescent="0.25"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122"/>
      <c r="AY26" s="122"/>
      <c r="AZ26" s="122"/>
      <c r="BA26" s="122"/>
      <c r="BB26" s="122"/>
      <c r="BC26" s="122"/>
    </row>
  </sheetData>
  <mergeCells count="14">
    <mergeCell ref="D5:E5"/>
    <mergeCell ref="A1:AE1"/>
    <mergeCell ref="A2:AE2"/>
    <mergeCell ref="A3:AE3"/>
    <mergeCell ref="B5:C5"/>
    <mergeCell ref="AD5:AE5"/>
    <mergeCell ref="F5:G5"/>
    <mergeCell ref="H5:I5"/>
    <mergeCell ref="L5:M5"/>
    <mergeCell ref="R5:S5"/>
    <mergeCell ref="T5:U5"/>
    <mergeCell ref="X5:Y5"/>
    <mergeCell ref="Z5:AA5"/>
    <mergeCell ref="AB5:AC5"/>
  </mergeCells>
  <pageMargins left="0.7" right="0.7" top="0.75" bottom="0.75" header="0.3" footer="0.3"/>
  <pageSetup orientation="portrait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4628-E0DC-4BF9-AC60-AA3D7B5E16A9}">
  <dimension ref="A1:E26"/>
  <sheetViews>
    <sheetView topLeftCell="B1" workbookViewId="0">
      <selection activeCell="B1" sqref="B1:E23"/>
    </sheetView>
  </sheetViews>
  <sheetFormatPr baseColWidth="10" defaultRowHeight="15" x14ac:dyDescent="0.25"/>
  <cols>
    <col min="1" max="1" width="0" hidden="1" customWidth="1"/>
    <col min="2" max="2" width="24.5703125" customWidth="1"/>
    <col min="3" max="3" width="21.7109375" customWidth="1"/>
    <col min="4" max="4" width="19.42578125" customWidth="1"/>
  </cols>
  <sheetData>
    <row r="1" spans="1:5" ht="18.75" customHeight="1" x14ac:dyDescent="0.25">
      <c r="B1" s="334" t="s">
        <v>615</v>
      </c>
      <c r="C1" s="335"/>
      <c r="D1" s="335"/>
      <c r="E1" s="336"/>
    </row>
    <row r="2" spans="1:5" ht="24" customHeight="1" x14ac:dyDescent="0.25">
      <c r="B2" s="159" t="s">
        <v>85</v>
      </c>
      <c r="C2" s="159" t="s">
        <v>33</v>
      </c>
      <c r="D2" s="159" t="s">
        <v>86</v>
      </c>
      <c r="E2" s="160" t="s">
        <v>87</v>
      </c>
    </row>
    <row r="3" spans="1:5" ht="15.75" x14ac:dyDescent="0.25">
      <c r="B3" s="161" t="e">
        <f>+$B$7+$B$11+$B$15+$B$19+$B$23</f>
        <v>#VALUE!</v>
      </c>
      <c r="C3" s="161" t="e">
        <f>+$C$7+$C$11+$C$15+$C$19+$C$23</f>
        <v>#VALUE!</v>
      </c>
      <c r="D3" s="161" t="e">
        <f>+$D$7+$D$11+$D$15+$D$19+$D$23</f>
        <v>#VALUE!</v>
      </c>
      <c r="E3" s="162" t="e">
        <f>+C3/B3</f>
        <v>#VALUE!</v>
      </c>
    </row>
    <row r="4" spans="1:5" ht="15.75" x14ac:dyDescent="0.25">
      <c r="B4" s="163"/>
      <c r="C4" s="163"/>
      <c r="D4" s="163"/>
      <c r="E4" s="163"/>
    </row>
    <row r="5" spans="1:5" ht="18.75" customHeight="1" x14ac:dyDescent="0.25">
      <c r="B5" s="331" t="str">
        <f>+'[4]ANALISIS POR PROG'!$B$6</f>
        <v>PROG 779</v>
      </c>
      <c r="C5" s="332"/>
      <c r="D5" s="332"/>
      <c r="E5" s="333"/>
    </row>
    <row r="6" spans="1:5" ht="31.5" x14ac:dyDescent="0.25">
      <c r="B6" s="159" t="s">
        <v>85</v>
      </c>
      <c r="C6" s="159" t="s">
        <v>33</v>
      </c>
      <c r="D6" s="159" t="s">
        <v>86</v>
      </c>
      <c r="E6" s="160" t="s">
        <v>87</v>
      </c>
    </row>
    <row r="7" spans="1:5" ht="15.75" x14ac:dyDescent="0.25">
      <c r="A7">
        <v>214779</v>
      </c>
      <c r="B7" s="161" t="e">
        <f>SUMIF([4]SIGAF!$A$2:$A$459,$A7,[4]SIGAF!$F$2:$F$459)</f>
        <v>#VALUE!</v>
      </c>
      <c r="C7" s="161" t="e">
        <f>SUMIF([4]SIGAF!$A$2:$A$459,$A7,[4]SIGAF!$K$2:$K$459)</f>
        <v>#VALUE!</v>
      </c>
      <c r="D7" s="161" t="e">
        <f>SUMIF([4]SIGAF!$A$2:$A$459,$A7,[4]SIGAF!$M$2:$M$459)</f>
        <v>#VALUE!</v>
      </c>
      <c r="E7" s="162" t="e">
        <f>+C7/B7</f>
        <v>#VALUE!</v>
      </c>
    </row>
    <row r="8" spans="1:5" ht="15.75" x14ac:dyDescent="0.25">
      <c r="B8" s="163"/>
      <c r="C8" s="163"/>
      <c r="D8" s="163"/>
      <c r="E8" s="163"/>
    </row>
    <row r="9" spans="1:5" ht="18.75" customHeight="1" x14ac:dyDescent="0.25">
      <c r="B9" s="331" t="str">
        <f>+'[4]ANALISIS POR PROG'!$B$7</f>
        <v>PROG 780</v>
      </c>
      <c r="C9" s="332"/>
      <c r="D9" s="332"/>
      <c r="E9" s="333"/>
    </row>
    <row r="10" spans="1:5" ht="31.5" x14ac:dyDescent="0.25">
      <c r="B10" s="159" t="s">
        <v>85</v>
      </c>
      <c r="C10" s="159" t="s">
        <v>33</v>
      </c>
      <c r="D10" s="159" t="s">
        <v>86</v>
      </c>
      <c r="E10" s="160" t="s">
        <v>87</v>
      </c>
    </row>
    <row r="11" spans="1:5" ht="15.75" x14ac:dyDescent="0.25">
      <c r="A11">
        <v>214780</v>
      </c>
      <c r="B11" s="161" t="e">
        <f>SUMIF([4]SIGAF!$A$2:$A$459,$A11,[4]SIGAF!$F$2:$F$459)</f>
        <v>#VALUE!</v>
      </c>
      <c r="C11" s="161" t="e">
        <f>SUMIF([4]SIGAF!$A$2:$A$459,$A11,[4]SIGAF!$K$2:$K$459)</f>
        <v>#VALUE!</v>
      </c>
      <c r="D11" s="161" t="e">
        <f>SUMIF([4]SIGAF!$A$2:$A$459,$A11,[4]SIGAF!$M$2:$M$459)</f>
        <v>#VALUE!</v>
      </c>
      <c r="E11" s="162" t="e">
        <f>+C11/B11</f>
        <v>#VALUE!</v>
      </c>
    </row>
    <row r="12" spans="1:5" ht="15.75" x14ac:dyDescent="0.25">
      <c r="B12" s="164"/>
      <c r="C12" s="164"/>
      <c r="D12" s="164"/>
      <c r="E12" s="164"/>
    </row>
    <row r="13" spans="1:5" ht="18.75" customHeight="1" x14ac:dyDescent="0.25">
      <c r="B13" s="331" t="str">
        <f>+'[4]ANALISIS POR PROG'!$B$8</f>
        <v>PROG 781</v>
      </c>
      <c r="C13" s="332"/>
      <c r="D13" s="332"/>
      <c r="E13" s="333"/>
    </row>
    <row r="14" spans="1:5" ht="31.5" x14ac:dyDescent="0.25">
      <c r="B14" s="159" t="s">
        <v>85</v>
      </c>
      <c r="C14" s="159" t="s">
        <v>33</v>
      </c>
      <c r="D14" s="159" t="s">
        <v>86</v>
      </c>
      <c r="E14" s="160" t="s">
        <v>87</v>
      </c>
    </row>
    <row r="15" spans="1:5" ht="15.75" x14ac:dyDescent="0.25">
      <c r="A15">
        <v>214781</v>
      </c>
      <c r="B15" s="161" t="e">
        <f>SUMIF([4]SIGAF!$A$2:$A$459,$A15,[4]SIGAF!$F$2:$F$459)</f>
        <v>#VALUE!</v>
      </c>
      <c r="C15" s="161" t="e">
        <f>SUMIF([4]SIGAF!$A$2:$A$459,$A15,[4]SIGAF!$K$2:$K$459)</f>
        <v>#VALUE!</v>
      </c>
      <c r="D15" s="161" t="e">
        <f>SUMIF([4]SIGAF!$A$2:$A$459,$A15,[4]SIGAF!$M$2:$M$459)</f>
        <v>#VALUE!</v>
      </c>
      <c r="E15" s="162" t="e">
        <f>+C15/B15</f>
        <v>#VALUE!</v>
      </c>
    </row>
    <row r="16" spans="1:5" ht="15.75" x14ac:dyDescent="0.25">
      <c r="B16" s="164"/>
      <c r="C16" s="164"/>
      <c r="D16" s="164"/>
      <c r="E16" s="164"/>
    </row>
    <row r="17" spans="1:5" ht="18.75" customHeight="1" x14ac:dyDescent="0.25">
      <c r="B17" s="331" t="str">
        <f>+'[4]ANALISIS POR PROG'!$B$9</f>
        <v>PROG 783</v>
      </c>
      <c r="C17" s="332"/>
      <c r="D17" s="332"/>
      <c r="E17" s="333"/>
    </row>
    <row r="18" spans="1:5" ht="31.5" x14ac:dyDescent="0.25">
      <c r="B18" s="159" t="s">
        <v>85</v>
      </c>
      <c r="C18" s="159" t="s">
        <v>33</v>
      </c>
      <c r="D18" s="159" t="s">
        <v>86</v>
      </c>
      <c r="E18" s="160" t="s">
        <v>87</v>
      </c>
    </row>
    <row r="19" spans="1:5" ht="15.75" x14ac:dyDescent="0.25">
      <c r="A19">
        <v>214783</v>
      </c>
      <c r="B19" s="161" t="e">
        <f>SUMIF([4]SIGAF!$A$2:$A$459,$A19,[4]SIGAF!$F$2:$F$459)</f>
        <v>#VALUE!</v>
      </c>
      <c r="C19" s="161" t="e">
        <f>SUMIF([4]SIGAF!$A$2:$A$459,$A19,[4]SIGAF!$K$2:$K$459)</f>
        <v>#VALUE!</v>
      </c>
      <c r="D19" s="161" t="e">
        <f>SUMIF([4]SIGAF!$A$2:$A$459,$A19,[4]SIGAF!$M$2:$M$459)</f>
        <v>#VALUE!</v>
      </c>
      <c r="E19" s="162" t="e">
        <f>+C19/B19</f>
        <v>#VALUE!</v>
      </c>
    </row>
    <row r="20" spans="1:5" ht="15.75" x14ac:dyDescent="0.25">
      <c r="B20" s="164"/>
      <c r="C20" s="164"/>
      <c r="D20" s="164"/>
      <c r="E20" s="164"/>
    </row>
    <row r="21" spans="1:5" ht="18.75" customHeight="1" x14ac:dyDescent="0.25">
      <c r="B21" s="331" t="str">
        <f>+'[4]ANALISIS POR PROG'!$B$10</f>
        <v>PROG 784</v>
      </c>
      <c r="C21" s="332"/>
      <c r="D21" s="332"/>
      <c r="E21" s="333"/>
    </row>
    <row r="22" spans="1:5" ht="31.5" x14ac:dyDescent="0.25">
      <c r="B22" s="159" t="s">
        <v>85</v>
      </c>
      <c r="C22" s="159" t="s">
        <v>33</v>
      </c>
      <c r="D22" s="159" t="s">
        <v>86</v>
      </c>
      <c r="E22" s="160" t="s">
        <v>87</v>
      </c>
    </row>
    <row r="23" spans="1:5" ht="15.75" x14ac:dyDescent="0.25">
      <c r="A23">
        <v>214784</v>
      </c>
      <c r="B23" s="161" t="e">
        <f>SUMIF([4]SIGAF!$A$2:$A$459,$A23,[4]SIGAF!$F$2:$F$459)</f>
        <v>#VALUE!</v>
      </c>
      <c r="C23" s="161" t="e">
        <f>SUMIF([4]SIGAF!$A$2:$A$459,$A23,[4]SIGAF!$K$2:$K$459)</f>
        <v>#VALUE!</v>
      </c>
      <c r="D23" s="161" t="e">
        <f>SUMIF([4]SIGAF!$A$2:$A$459,$A23,[4]SIGAF!$M$2:$M$459)</f>
        <v>#VALUE!</v>
      </c>
      <c r="E23" s="162" t="e">
        <f>+C23/B23</f>
        <v>#VALUE!</v>
      </c>
    </row>
    <row r="24" spans="1:5" ht="15.75" x14ac:dyDescent="0.25">
      <c r="B24" s="165"/>
      <c r="C24" s="165"/>
      <c r="D24" s="165"/>
      <c r="E24" s="165"/>
    </row>
    <row r="25" spans="1:5" ht="15.75" x14ac:dyDescent="0.25">
      <c r="B25" s="165"/>
      <c r="C25" s="165"/>
      <c r="D25" s="165"/>
      <c r="E25" s="165"/>
    </row>
    <row r="26" spans="1:5" ht="15.75" x14ac:dyDescent="0.25">
      <c r="B26" s="165"/>
      <c r="C26" s="165"/>
      <c r="D26" s="165"/>
      <c r="E26" s="165"/>
    </row>
  </sheetData>
  <mergeCells count="6">
    <mergeCell ref="B21:E21"/>
    <mergeCell ref="B1:E1"/>
    <mergeCell ref="B5:E5"/>
    <mergeCell ref="B9:E9"/>
    <mergeCell ref="B13:E13"/>
    <mergeCell ref="B17:E17"/>
  </mergeCells>
  <pageMargins left="0.7" right="0.7" top="0.75" bottom="0.75" header="0.3" footer="0.3"/>
  <pageSetup paperSize="9" orientation="portrait" verticalDpi="599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F2FC-9F3D-4F33-BB99-7C4B388D25AA}">
  <dimension ref="A1:Q20"/>
  <sheetViews>
    <sheetView topLeftCell="B1" workbookViewId="0">
      <selection activeCell="R17" sqref="R17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20.140625" style="24" bestFit="1" customWidth="1"/>
    <col min="4" max="4" width="5" style="24" bestFit="1" customWidth="1"/>
    <col min="5" max="5" width="16.28515625" style="24" bestFit="1" customWidth="1"/>
    <col min="6" max="6" width="6.5703125" style="24" bestFit="1" customWidth="1"/>
    <col min="7" max="7" width="19.140625" style="24" bestFit="1" customWidth="1"/>
    <col min="8" max="8" width="12" style="24" hidden="1" customWidth="1"/>
    <col min="9" max="9" width="6.5703125" style="24" bestFit="1" customWidth="1"/>
    <col min="10" max="10" width="14.5703125" style="24" bestFit="1" customWidth="1"/>
    <col min="11" max="11" width="8.5703125" style="24" bestFit="1" customWidth="1"/>
    <col min="12" max="12" width="20.140625" style="24" bestFit="1" customWidth="1"/>
    <col min="13" max="13" width="13.85546875" style="24" bestFit="1" customWidth="1"/>
    <col min="14" max="14" width="23.42578125" style="24" bestFit="1" customWidth="1"/>
    <col min="15" max="15" width="9.42578125" style="24" customWidth="1"/>
    <col min="16" max="16" width="7.85546875" style="24" customWidth="1"/>
    <col min="17" max="16384" width="17.5703125" style="24"/>
  </cols>
  <sheetData>
    <row r="1" spans="1:17" ht="15.75" x14ac:dyDescent="0.25">
      <c r="B1" s="279" t="s">
        <v>70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7" ht="15.75" x14ac:dyDescent="0.25">
      <c r="B2" s="279" t="str">
        <f>+[4]Estado!A4</f>
        <v xml:space="preserve">AL 31 DE JULIO 2018        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15.75" x14ac:dyDescent="0.25">
      <c r="B3" s="279" t="s">
        <v>55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x14ac:dyDescent="0.25">
      <c r="L4" s="51"/>
    </row>
    <row r="5" spans="1:17" ht="25.5" x14ac:dyDescent="0.25">
      <c r="A5" s="60"/>
      <c r="B5" s="57" t="s">
        <v>71</v>
      </c>
      <c r="C5" s="61" t="s">
        <v>1</v>
      </c>
      <c r="D5" s="61" t="s">
        <v>72</v>
      </c>
      <c r="E5" s="61" t="s">
        <v>3</v>
      </c>
      <c r="F5" s="61"/>
      <c r="G5" s="61" t="s">
        <v>43</v>
      </c>
      <c r="H5" s="61" t="s">
        <v>73</v>
      </c>
      <c r="I5" s="61"/>
      <c r="J5" s="61" t="s">
        <v>31</v>
      </c>
      <c r="K5" s="61" t="s">
        <v>72</v>
      </c>
      <c r="L5" s="61" t="s">
        <v>33</v>
      </c>
      <c r="M5" s="61" t="s">
        <v>74</v>
      </c>
      <c r="N5" s="61" t="s">
        <v>6</v>
      </c>
      <c r="O5" s="61" t="s">
        <v>8</v>
      </c>
    </row>
    <row r="6" spans="1:17" x14ac:dyDescent="0.25">
      <c r="B6" s="79" t="s">
        <v>75</v>
      </c>
      <c r="C6" s="74">
        <f>+[5]Estado!$C$10</f>
        <v>2837761000</v>
      </c>
      <c r="D6" s="135">
        <f>IFERROR(C6/$C$11,0)</f>
        <v>2.0521267803394246E-2</v>
      </c>
      <c r="E6" s="74">
        <f>++[5]Estado!$E$10</f>
        <v>2559950</v>
      </c>
      <c r="F6" s="75">
        <f>+E6/C6</f>
        <v>9.0210204453440579E-4</v>
      </c>
      <c r="G6" s="74">
        <f>++[5]Estado!$G$10</f>
        <v>327308788.18000001</v>
      </c>
      <c r="H6" s="80">
        <f>IFERROR(G6/C6,0)</f>
        <v>0.11534050548301988</v>
      </c>
      <c r="I6" s="80">
        <f>+G6/C6</f>
        <v>0.11534050548301988</v>
      </c>
      <c r="J6" s="74">
        <f>++[5]Estado!$I$10</f>
        <v>6914900</v>
      </c>
      <c r="K6" s="80">
        <f>IFERROR(J6/G6,0)</f>
        <v>2.1126533260687225E-2</v>
      </c>
      <c r="L6" s="74">
        <f>++[5]Estado!$K$10</f>
        <v>1154788802.04</v>
      </c>
      <c r="M6" s="135">
        <f>IFERROR(L6/C6,0)</f>
        <v>0.4069365961545035</v>
      </c>
      <c r="N6" s="74">
        <f>++[5]Estado!$O$10</f>
        <v>1346188559.78</v>
      </c>
      <c r="O6" s="135">
        <f>IFERROR(N6/C6,0)</f>
        <v>0.47438405129255068</v>
      </c>
      <c r="P6" s="82"/>
      <c r="Q6" s="125">
        <f>(+E11+G11+J11+L11)/C11</f>
        <v>0.5593252207583469</v>
      </c>
    </row>
    <row r="7" spans="1:17" x14ac:dyDescent="0.25">
      <c r="B7" s="79" t="s">
        <v>76</v>
      </c>
      <c r="C7" s="74">
        <f>++[6]Estado!$C$10</f>
        <v>1255933000</v>
      </c>
      <c r="D7" s="135">
        <f t="shared" ref="D7:D10" si="0">IFERROR(C7/$C$11,0)</f>
        <v>9.0822791052947542E-3</v>
      </c>
      <c r="E7" s="74">
        <f>++[6]Estado!$E$10</f>
        <v>11789185</v>
      </c>
      <c r="F7" s="75">
        <f t="shared" ref="F7:F10" si="1">+E7/C7</f>
        <v>9.3867945184974034E-3</v>
      </c>
      <c r="G7" s="74">
        <f>++[6]Estado!$G$10</f>
        <v>92649264.080000013</v>
      </c>
      <c r="H7" s="80">
        <f t="shared" ref="H7:H10" si="2">IFERROR(G7/C7,0)</f>
        <v>7.3769272787640755E-2</v>
      </c>
      <c r="I7" s="80">
        <f t="shared" ref="I7:I8" si="3">+G7/C7</f>
        <v>7.3769272787640755E-2</v>
      </c>
      <c r="J7" s="74">
        <f>++[6]Estado!$I$10</f>
        <v>0</v>
      </c>
      <c r="K7" s="80">
        <f t="shared" ref="K7:K10" si="4">IFERROR(J7/G7,0)</f>
        <v>0</v>
      </c>
      <c r="L7" s="74">
        <f>++[6]Estado!$K$10</f>
        <v>501787304.44999999</v>
      </c>
      <c r="M7" s="135">
        <f>IFERROR(L7/C7,0)</f>
        <v>0.39953349776620251</v>
      </c>
      <c r="N7" s="74">
        <f>++[6]Estado!$O$10</f>
        <v>649707246.46999991</v>
      </c>
      <c r="O7" s="135">
        <f>IFERROR(N7/C7,0)</f>
        <v>0.51731043492765927</v>
      </c>
      <c r="P7" s="82"/>
    </row>
    <row r="8" spans="1:17" x14ac:dyDescent="0.25">
      <c r="B8" s="79" t="s">
        <v>77</v>
      </c>
      <c r="C8" s="74">
        <f>++[7]Estado!$C$10</f>
        <v>11471881000</v>
      </c>
      <c r="D8" s="135">
        <f t="shared" si="0"/>
        <v>8.2958903942111473E-2</v>
      </c>
      <c r="E8" s="74">
        <f>++[7]Estado!$E$10</f>
        <v>170024102.88999999</v>
      </c>
      <c r="F8" s="75">
        <f t="shared" si="1"/>
        <v>1.4820943739740675E-2</v>
      </c>
      <c r="G8" s="74">
        <f>++[7]Estado!$G$10</f>
        <v>965170708.76999998</v>
      </c>
      <c r="H8" s="80">
        <f t="shared" si="2"/>
        <v>8.4133605358179708E-2</v>
      </c>
      <c r="I8" s="80">
        <f t="shared" si="3"/>
        <v>8.4133605358179708E-2</v>
      </c>
      <c r="J8" s="74">
        <f>++[7]Estado!$I$10</f>
        <v>25196242.949999999</v>
      </c>
      <c r="K8" s="80">
        <f t="shared" si="4"/>
        <v>2.6105478254836119E-2</v>
      </c>
      <c r="L8" s="74">
        <f>++[7]Estado!$K$10</f>
        <v>5099646516.2700005</v>
      </c>
      <c r="M8" s="135">
        <f>IFERROR(L8/C8,0)</f>
        <v>0.44453446791071144</v>
      </c>
      <c r="N8" s="74">
        <f>++[7]Estado!$O$10</f>
        <v>5211843429.1199999</v>
      </c>
      <c r="O8" s="135">
        <f>IFERROR(N8/C8,0)</f>
        <v>0.45431463498618929</v>
      </c>
    </row>
    <row r="9" spans="1:17" x14ac:dyDescent="0.25">
      <c r="B9" s="79" t="s">
        <v>78</v>
      </c>
      <c r="C9" s="74">
        <f>++[8]Estado!$C$10</f>
        <v>108467611690</v>
      </c>
      <c r="D9" s="135">
        <f t="shared" si="0"/>
        <v>0.78438350075466767</v>
      </c>
      <c r="E9" s="74">
        <f>++[8]Estado!$E$10</f>
        <v>1500283364.5999999</v>
      </c>
      <c r="F9" s="75">
        <f t="shared" si="1"/>
        <v>1.3831625323214488E-2</v>
      </c>
      <c r="G9" s="74">
        <f>++[8]Estado!$G$10</f>
        <v>11426485130.74</v>
      </c>
      <c r="H9" s="80">
        <f t="shared" si="2"/>
        <v>0.10534467342561989</v>
      </c>
      <c r="I9" s="80">
        <f>+G9/C9</f>
        <v>0.10534467342561989</v>
      </c>
      <c r="J9" s="74">
        <f>++[8]Estado!$I$10</f>
        <v>20231382.48</v>
      </c>
      <c r="K9" s="80">
        <f t="shared" si="4"/>
        <v>1.770569186282202E-3</v>
      </c>
      <c r="L9" s="74">
        <f>++[8]Estado!$K$10</f>
        <v>47749693493.410004</v>
      </c>
      <c r="M9" s="135">
        <f>IFERROR(L9/C9,0)</f>
        <v>0.44022075114807946</v>
      </c>
      <c r="N9" s="74">
        <f>++[8]Estado!$O$10</f>
        <v>47770918318.769997</v>
      </c>
      <c r="O9" s="135">
        <f>IFERROR(N9/C9,0)</f>
        <v>0.44041643007037978</v>
      </c>
    </row>
    <row r="10" spans="1:17" x14ac:dyDescent="0.25">
      <c r="B10" s="79" t="s">
        <v>79</v>
      </c>
      <c r="C10" s="74">
        <f>++[9]Estado!$C$10</f>
        <v>14250716000</v>
      </c>
      <c r="D10" s="135">
        <f t="shared" si="0"/>
        <v>0.1030540483945319</v>
      </c>
      <c r="E10" s="74">
        <f>++[9]Estado!$E$10</f>
        <v>0</v>
      </c>
      <c r="F10" s="75">
        <f t="shared" si="1"/>
        <v>0</v>
      </c>
      <c r="G10" s="74">
        <f>++[9]Estado!$G$10</f>
        <v>1172296713.26</v>
      </c>
      <c r="H10" s="80">
        <f t="shared" si="2"/>
        <v>8.2262302698334594E-2</v>
      </c>
      <c r="I10" s="80">
        <f t="shared" ref="I10" si="5">+G10/C10</f>
        <v>8.2262302698334594E-2</v>
      </c>
      <c r="J10" s="74">
        <f>++[9]Estado!$J$10</f>
        <v>0</v>
      </c>
      <c r="K10" s="80">
        <f t="shared" si="4"/>
        <v>0</v>
      </c>
      <c r="L10" s="74">
        <f>++[9]Estado!$K$10</f>
        <v>7118848550.29</v>
      </c>
      <c r="M10" s="135">
        <f>IFERROR(L10/C10,0)</f>
        <v>0.49954321946279751</v>
      </c>
      <c r="N10" s="74">
        <f>++[9]Estado!$O$10</f>
        <v>5959570736.4499998</v>
      </c>
      <c r="O10" s="135">
        <f>IFERROR(N10/C10,0)</f>
        <v>0.41819447783886787</v>
      </c>
    </row>
    <row r="11" spans="1:17" x14ac:dyDescent="0.25">
      <c r="A11" s="60"/>
      <c r="B11" s="54" t="s">
        <v>15</v>
      </c>
      <c r="C11" s="55">
        <f>SUM(C6:C10)</f>
        <v>138283902690</v>
      </c>
      <c r="D11" s="56"/>
      <c r="E11" s="55">
        <f>SUM(E6:E10)</f>
        <v>1684656602.4899998</v>
      </c>
      <c r="F11" s="56">
        <f>+E11/C11</f>
        <v>1.21825937055494E-2</v>
      </c>
      <c r="G11" s="55">
        <f>SUM(G6:G10)</f>
        <v>13983910605.030001</v>
      </c>
      <c r="H11" s="56">
        <f>+G11/C11</f>
        <v>0.10112464526242539</v>
      </c>
      <c r="I11" s="91">
        <f>+G11/C11</f>
        <v>0.10112464526242539</v>
      </c>
      <c r="J11" s="55">
        <f>SUM(J6:J10)</f>
        <v>52342525.43</v>
      </c>
      <c r="K11" s="56">
        <f>+J11/G11</f>
        <v>3.7430534925739899E-3</v>
      </c>
      <c r="L11" s="55">
        <f>SUM(L6:L10)</f>
        <v>61624764666.460007</v>
      </c>
      <c r="M11" s="137">
        <f>+L11/C11</f>
        <v>0.44563946683373729</v>
      </c>
      <c r="N11" s="55">
        <f>SUM(N6:N10)</f>
        <v>60938228290.589996</v>
      </c>
      <c r="O11" s="137">
        <f>+N11/C11</f>
        <v>0.44067477924165316</v>
      </c>
    </row>
    <row r="12" spans="1:17" x14ac:dyDescent="0.25">
      <c r="B12" s="78"/>
      <c r="C12" s="44">
        <f>+C11-[4]Estado!C10</f>
        <v>0</v>
      </c>
      <c r="D12" s="44"/>
      <c r="E12" s="44">
        <f>+E11-[4]Estado!E10</f>
        <v>0</v>
      </c>
      <c r="F12" s="44"/>
      <c r="G12" s="44">
        <f>+G11-[4]Estado!G10</f>
        <v>0</v>
      </c>
      <c r="H12" s="44"/>
      <c r="I12" s="44"/>
      <c r="J12" s="44"/>
      <c r="K12" s="44"/>
      <c r="L12" s="44">
        <f>+L11-[4]Estado!K10</f>
        <v>0</v>
      </c>
      <c r="M12" s="44"/>
      <c r="N12" s="44">
        <f>+N11-[4]Estado!O10</f>
        <v>0</v>
      </c>
      <c r="O12" s="43"/>
    </row>
    <row r="13" spans="1:17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81"/>
      <c r="O13" s="78"/>
    </row>
    <row r="17" spans="2:4" x14ac:dyDescent="0.25">
      <c r="B17" s="82"/>
      <c r="C17" s="82"/>
      <c r="D17" s="82"/>
    </row>
    <row r="18" spans="2:4" x14ac:dyDescent="0.25">
      <c r="B18" s="82"/>
      <c r="C18" s="82"/>
      <c r="D18" s="82"/>
    </row>
    <row r="19" spans="2:4" x14ac:dyDescent="0.25">
      <c r="B19" s="82"/>
      <c r="C19" s="82"/>
      <c r="D19" s="82"/>
    </row>
    <row r="20" spans="2:4" x14ac:dyDescent="0.25">
      <c r="B20" s="82"/>
      <c r="C20" s="82"/>
      <c r="D20" s="82"/>
    </row>
  </sheetData>
  <mergeCells count="3">
    <mergeCell ref="B1:O1"/>
    <mergeCell ref="B2:O2"/>
    <mergeCell ref="B3:O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7"/>
  <sheetViews>
    <sheetView topLeftCell="B16" workbookViewId="0">
      <selection activeCell="Q6" sqref="Q6"/>
    </sheetView>
  </sheetViews>
  <sheetFormatPr baseColWidth="10" defaultRowHeight="15" x14ac:dyDescent="0.25"/>
  <cols>
    <col min="1" max="1" width="15.85546875" hidden="1" customWidth="1"/>
    <col min="2" max="3" width="19.5703125" bestFit="1" customWidth="1"/>
    <col min="4" max="4" width="18.85546875" bestFit="1" customWidth="1"/>
    <col min="5" max="5" width="14.7109375" customWidth="1"/>
    <col min="6" max="6" width="2.5703125" customWidth="1"/>
    <col min="7" max="7" width="0" hidden="1" customWidth="1"/>
    <col min="8" max="8" width="18.85546875" hidden="1" customWidth="1"/>
    <col min="9" max="9" width="25.5703125" hidden="1" customWidth="1"/>
    <col min="10" max="10" width="19.7109375" customWidth="1"/>
    <col min="11" max="11" width="21.140625" customWidth="1"/>
    <col min="12" max="12" width="19.7109375" customWidth="1"/>
  </cols>
  <sheetData>
    <row r="1" spans="1:13" ht="15.75" thickBot="1" x14ac:dyDescent="0.3">
      <c r="B1" s="340" t="s">
        <v>659</v>
      </c>
      <c r="C1" s="341"/>
      <c r="D1" s="341"/>
      <c r="E1" s="341"/>
      <c r="I1" s="342" t="s">
        <v>660</v>
      </c>
      <c r="J1" s="343"/>
      <c r="K1" s="343"/>
      <c r="L1" s="343"/>
    </row>
    <row r="2" spans="1:13" ht="18.75" customHeight="1" x14ac:dyDescent="0.25">
      <c r="A2" s="166"/>
      <c r="B2" s="345" t="s">
        <v>613</v>
      </c>
      <c r="C2" s="346"/>
      <c r="D2" s="346"/>
      <c r="E2" s="347"/>
      <c r="F2" s="93"/>
      <c r="J2" s="334" t="s">
        <v>615</v>
      </c>
      <c r="K2" s="335"/>
      <c r="L2" s="335"/>
      <c r="M2" s="336"/>
    </row>
    <row r="3" spans="1:13" ht="30" customHeight="1" x14ac:dyDescent="0.3">
      <c r="A3" s="167"/>
      <c r="B3" s="97" t="s">
        <v>85</v>
      </c>
      <c r="C3" s="97" t="s">
        <v>33</v>
      </c>
      <c r="D3" s="97" t="s">
        <v>86</v>
      </c>
      <c r="E3" s="168" t="s">
        <v>87</v>
      </c>
      <c r="J3" s="97" t="s">
        <v>85</v>
      </c>
      <c r="K3" s="97" t="s">
        <v>33</v>
      </c>
      <c r="L3" s="97" t="s">
        <v>86</v>
      </c>
      <c r="M3" s="176" t="s">
        <v>87</v>
      </c>
    </row>
    <row r="4" spans="1:13" x14ac:dyDescent="0.25">
      <c r="A4" s="167"/>
      <c r="B4" s="94">
        <f>+$B$8+$B$12+$B$16+$B$20+$B$24</f>
        <v>143111405132.41998</v>
      </c>
      <c r="C4" s="94">
        <f>+$C$8+$C$12+$C$16+$C$20+$C$24</f>
        <v>133752594481.5</v>
      </c>
      <c r="D4" s="94">
        <f>+$D$8+$D$12+$D$16+$D$20+$D$24</f>
        <v>9265344138.2299995</v>
      </c>
      <c r="E4" s="169">
        <f>+C4/B4</f>
        <v>0.93460471831535485</v>
      </c>
      <c r="J4" s="94">
        <v>134302218983</v>
      </c>
      <c r="K4" s="94">
        <v>123842516565.67</v>
      </c>
      <c r="L4" s="94">
        <v>6519673159.6099997</v>
      </c>
      <c r="M4" s="177">
        <f>+K4/J4</f>
        <v>0.92211817126674589</v>
      </c>
    </row>
    <row r="5" spans="1:13" x14ac:dyDescent="0.25">
      <c r="A5" s="167"/>
      <c r="B5" s="170"/>
      <c r="C5" s="170"/>
      <c r="D5" s="170"/>
      <c r="E5" s="171"/>
      <c r="J5" s="95"/>
      <c r="K5" s="95"/>
      <c r="L5" s="95"/>
      <c r="M5" s="95"/>
    </row>
    <row r="6" spans="1:13" ht="18.75" customHeight="1" x14ac:dyDescent="0.25">
      <c r="A6" s="167"/>
      <c r="B6" s="337" t="str">
        <f>+'ANALISIS POR PROG'!$B$6</f>
        <v>PROG 779</v>
      </c>
      <c r="C6" s="338"/>
      <c r="D6" s="338"/>
      <c r="E6" s="344"/>
      <c r="F6" s="93"/>
      <c r="J6" s="337" t="str">
        <f>+'[10]ANALISIS POR PROG'!$B$6</f>
        <v>PROG 779</v>
      </c>
      <c r="K6" s="338"/>
      <c r="L6" s="338"/>
      <c r="M6" s="339"/>
    </row>
    <row r="7" spans="1:13" ht="27.75" customHeight="1" x14ac:dyDescent="0.3">
      <c r="A7" s="167"/>
      <c r="B7" s="97" t="s">
        <v>85</v>
      </c>
      <c r="C7" s="97" t="s">
        <v>33</v>
      </c>
      <c r="D7" s="97" t="s">
        <v>86</v>
      </c>
      <c r="E7" s="168" t="s">
        <v>87</v>
      </c>
      <c r="J7" s="97" t="s">
        <v>85</v>
      </c>
      <c r="K7" s="97" t="s">
        <v>33</v>
      </c>
      <c r="L7" s="97" t="s">
        <v>86</v>
      </c>
      <c r="M7" s="176" t="s">
        <v>87</v>
      </c>
    </row>
    <row r="8" spans="1:13" x14ac:dyDescent="0.25">
      <c r="A8" s="167">
        <v>214779</v>
      </c>
      <c r="B8" s="94">
        <f>SUMIF(sigaf!$A$2:$A$451,$A8,sigaf!$F$2:$F$451)</f>
        <v>2405642232</v>
      </c>
      <c r="C8" s="94">
        <f>SUMIF(sigaf!$A$2:$A$451,$A8,sigaf!$K$2:$K$451)</f>
        <v>2147263176.1900001</v>
      </c>
      <c r="D8" s="94">
        <f>SUMIF(sigaf!$A$2:$A$451,$A8,sigaf!$M$2:$M$451)</f>
        <v>258379055.81</v>
      </c>
      <c r="E8" s="169">
        <f>+C8/B8</f>
        <v>0.89259456274377547</v>
      </c>
      <c r="G8">
        <v>214779</v>
      </c>
      <c r="H8">
        <v>214779</v>
      </c>
      <c r="I8">
        <v>214779</v>
      </c>
      <c r="J8" s="94">
        <v>2608813216</v>
      </c>
      <c r="K8" s="94">
        <v>2334886845.4299998</v>
      </c>
      <c r="L8" s="94">
        <v>237664526.88</v>
      </c>
      <c r="M8" s="177">
        <f>+K8/J8</f>
        <v>0.89499962324247895</v>
      </c>
    </row>
    <row r="9" spans="1:13" x14ac:dyDescent="0.25">
      <c r="A9" s="167"/>
      <c r="B9" s="170"/>
      <c r="C9" s="170"/>
      <c r="D9" s="170"/>
      <c r="E9" s="171"/>
      <c r="J9" s="95"/>
      <c r="K9" s="95"/>
      <c r="L9" s="95"/>
      <c r="M9" s="95"/>
    </row>
    <row r="10" spans="1:13" ht="18.75" customHeight="1" x14ac:dyDescent="0.25">
      <c r="A10" s="167"/>
      <c r="B10" s="337" t="str">
        <f>+'ANALISIS POR PROG'!$B$7</f>
        <v>PROG 780</v>
      </c>
      <c r="C10" s="338"/>
      <c r="D10" s="338"/>
      <c r="E10" s="344"/>
      <c r="J10" s="337" t="str">
        <f>+'[10]ANALISIS POR PROG'!$B$7</f>
        <v>PROG 780</v>
      </c>
      <c r="K10" s="338"/>
      <c r="L10" s="338"/>
      <c r="M10" s="339"/>
    </row>
    <row r="11" spans="1:13" ht="26.25" customHeight="1" x14ac:dyDescent="0.3">
      <c r="A11" s="167"/>
      <c r="B11" s="97" t="s">
        <v>85</v>
      </c>
      <c r="C11" s="97" t="s">
        <v>33</v>
      </c>
      <c r="D11" s="97" t="s">
        <v>86</v>
      </c>
      <c r="E11" s="168" t="s">
        <v>87</v>
      </c>
      <c r="J11" s="97" t="s">
        <v>85</v>
      </c>
      <c r="K11" s="97" t="s">
        <v>33</v>
      </c>
      <c r="L11" s="97" t="s">
        <v>86</v>
      </c>
      <c r="M11" s="176" t="s">
        <v>87</v>
      </c>
    </row>
    <row r="12" spans="1:13" x14ac:dyDescent="0.25">
      <c r="A12" s="167">
        <v>214780</v>
      </c>
      <c r="B12" s="94">
        <f>SUMIF(sigaf!$A$2:$A$451,$A12,sigaf!$F$2:$F$451)</f>
        <v>1182918224</v>
      </c>
      <c r="C12" s="94">
        <f>SUMIF(sigaf!$A$2:$A$451,$A12,sigaf!$K$2:$K$451)</f>
        <v>1033142240.79</v>
      </c>
      <c r="D12" s="94">
        <f>SUMIF(sigaf!$A$2:$A$451,$A12,sigaf!$M$2:$M$451)</f>
        <v>149775983.21000001</v>
      </c>
      <c r="E12" s="169">
        <f>+C12/B12</f>
        <v>0.8733843302341413</v>
      </c>
      <c r="G12">
        <v>214780</v>
      </c>
      <c r="H12">
        <v>214780</v>
      </c>
      <c r="I12">
        <v>214780</v>
      </c>
      <c r="J12" s="94">
        <v>1034622551</v>
      </c>
      <c r="K12" s="94">
        <v>937922572.63</v>
      </c>
      <c r="L12" s="94">
        <v>89247287.730000004</v>
      </c>
      <c r="M12" s="177">
        <f>+K12/J12</f>
        <v>0.90653598428089932</v>
      </c>
    </row>
    <row r="13" spans="1:13" x14ac:dyDescent="0.25">
      <c r="A13" s="167"/>
      <c r="B13" s="172"/>
      <c r="C13" s="172"/>
      <c r="D13" s="172"/>
      <c r="E13" s="173"/>
      <c r="J13" s="96"/>
      <c r="K13" s="96"/>
      <c r="L13" s="96"/>
      <c r="M13" s="96"/>
    </row>
    <row r="14" spans="1:13" ht="18.75" customHeight="1" x14ac:dyDescent="0.25">
      <c r="A14" s="167"/>
      <c r="B14" s="337" t="str">
        <f>+'ANALISIS POR PROG'!$B$8</f>
        <v>PROG 781</v>
      </c>
      <c r="C14" s="338"/>
      <c r="D14" s="338"/>
      <c r="E14" s="344"/>
      <c r="J14" s="337" t="str">
        <f>+'[10]ANALISIS POR PROG'!$B$8</f>
        <v>PROG 781</v>
      </c>
      <c r="K14" s="338"/>
      <c r="L14" s="338"/>
      <c r="M14" s="339"/>
    </row>
    <row r="15" spans="1:13" ht="32.25" customHeight="1" x14ac:dyDescent="0.3">
      <c r="A15" s="167"/>
      <c r="B15" s="97" t="s">
        <v>85</v>
      </c>
      <c r="C15" s="97" t="s">
        <v>33</v>
      </c>
      <c r="D15" s="97" t="s">
        <v>86</v>
      </c>
      <c r="E15" s="168" t="s">
        <v>87</v>
      </c>
      <c r="J15" s="97" t="s">
        <v>85</v>
      </c>
      <c r="K15" s="97" t="s">
        <v>33</v>
      </c>
      <c r="L15" s="97" t="s">
        <v>86</v>
      </c>
      <c r="M15" s="176" t="s">
        <v>87</v>
      </c>
    </row>
    <row r="16" spans="1:13" x14ac:dyDescent="0.25">
      <c r="A16" s="167">
        <v>214781</v>
      </c>
      <c r="B16" s="94">
        <f>SUMIF(sigaf!$A$2:$A$451,$A16,sigaf!$F$2:$F$451)</f>
        <v>10861397887</v>
      </c>
      <c r="C16" s="94">
        <f>SUMIF(sigaf!$A$2:$A$451,$A16,sigaf!$K$2:$K$451)</f>
        <v>9909325805.1000004</v>
      </c>
      <c r="D16" s="94">
        <f>SUMIF(sigaf!$A$2:$A$451,$A16,sigaf!$M$2:$M$451)</f>
        <v>952072081.89999998</v>
      </c>
      <c r="E16" s="169">
        <f>+C16/B16</f>
        <v>0.91234350386523133</v>
      </c>
      <c r="G16">
        <v>214781</v>
      </c>
      <c r="H16">
        <v>214781</v>
      </c>
      <c r="I16">
        <v>214781</v>
      </c>
      <c r="J16" s="94">
        <v>10740968852</v>
      </c>
      <c r="K16" s="94">
        <v>9843333943.6599998</v>
      </c>
      <c r="L16" s="94">
        <v>805215246.95000005</v>
      </c>
      <c r="M16" s="177">
        <f>+K16/J16</f>
        <v>0.91642886961981485</v>
      </c>
    </row>
    <row r="17" spans="1:13" x14ac:dyDescent="0.25">
      <c r="A17" s="167"/>
      <c r="B17" s="172"/>
      <c r="C17" s="172"/>
      <c r="D17" s="172"/>
      <c r="E17" s="173"/>
      <c r="J17" s="96"/>
      <c r="K17" s="96"/>
      <c r="L17" s="96"/>
      <c r="M17" s="96"/>
    </row>
    <row r="18" spans="1:13" ht="18.75" customHeight="1" x14ac:dyDescent="0.25">
      <c r="A18" s="167"/>
      <c r="B18" s="337" t="str">
        <f>+'ANALISIS POR PROG'!$B$9</f>
        <v>PROG 783</v>
      </c>
      <c r="C18" s="338"/>
      <c r="D18" s="338"/>
      <c r="E18" s="344"/>
      <c r="J18" s="337" t="str">
        <f>+'[10]ANALISIS POR PROG'!$B$9</f>
        <v>PROG 783</v>
      </c>
      <c r="K18" s="338"/>
      <c r="L18" s="338"/>
      <c r="M18" s="339"/>
    </row>
    <row r="19" spans="1:13" ht="39" customHeight="1" x14ac:dyDescent="0.3">
      <c r="A19" s="167"/>
      <c r="B19" s="97" t="s">
        <v>85</v>
      </c>
      <c r="C19" s="97" t="s">
        <v>33</v>
      </c>
      <c r="D19" s="97" t="s">
        <v>86</v>
      </c>
      <c r="E19" s="168" t="s">
        <v>87</v>
      </c>
      <c r="J19" s="97" t="s">
        <v>85</v>
      </c>
      <c r="K19" s="97" t="s">
        <v>33</v>
      </c>
      <c r="L19" s="97" t="s">
        <v>86</v>
      </c>
      <c r="M19" s="176" t="s">
        <v>87</v>
      </c>
    </row>
    <row r="20" spans="1:13" x14ac:dyDescent="0.25">
      <c r="A20" s="167">
        <v>214783</v>
      </c>
      <c r="B20" s="94">
        <f>SUMIF(sigaf!$A$2:$A$451,$A20,sigaf!$F$2:$F$451)</f>
        <v>115237508322.42</v>
      </c>
      <c r="C20" s="94">
        <f>SUMIF(sigaf!$A$2:$A$451,$A20,sigaf!$K$2:$K$451)</f>
        <v>108051057664.92</v>
      </c>
      <c r="D20" s="94">
        <f>SUMIF(sigaf!$A$2:$A$451,$A20,sigaf!$M$2:$M$451)</f>
        <v>7092984144.8100004</v>
      </c>
      <c r="E20" s="169">
        <f>+C20/B20</f>
        <v>0.93763792048164374</v>
      </c>
      <c r="G20">
        <v>214783</v>
      </c>
      <c r="H20">
        <v>214783</v>
      </c>
      <c r="I20">
        <v>214783</v>
      </c>
      <c r="J20" s="94">
        <v>106772514109</v>
      </c>
      <c r="K20" s="94">
        <v>98043556410.990005</v>
      </c>
      <c r="L20" s="94">
        <v>4925473153.0100002</v>
      </c>
      <c r="M20" s="177">
        <f>+K20/J20</f>
        <v>0.91824714655403794</v>
      </c>
    </row>
    <row r="21" spans="1:13" x14ac:dyDescent="0.25">
      <c r="A21" s="167"/>
      <c r="B21" s="172"/>
      <c r="C21" s="172"/>
      <c r="D21" s="172"/>
      <c r="E21" s="173"/>
      <c r="J21" s="96"/>
      <c r="K21" s="96"/>
      <c r="L21" s="96"/>
      <c r="M21" s="96"/>
    </row>
    <row r="22" spans="1:13" ht="18.75" customHeight="1" x14ac:dyDescent="0.25">
      <c r="A22" s="167"/>
      <c r="B22" s="337" t="str">
        <f>+'ANALISIS POR PROG'!$B$10</f>
        <v>PROG 784</v>
      </c>
      <c r="C22" s="338"/>
      <c r="D22" s="338"/>
      <c r="E22" s="344"/>
      <c r="J22" s="337" t="str">
        <f>+'[10]ANALISIS POR PROG'!$B$10</f>
        <v>PROG 784</v>
      </c>
      <c r="K22" s="338"/>
      <c r="L22" s="338"/>
      <c r="M22" s="339"/>
    </row>
    <row r="23" spans="1:13" ht="30.75" customHeight="1" x14ac:dyDescent="0.3">
      <c r="A23" s="167"/>
      <c r="B23" s="97" t="s">
        <v>85</v>
      </c>
      <c r="C23" s="97" t="s">
        <v>33</v>
      </c>
      <c r="D23" s="97" t="s">
        <v>86</v>
      </c>
      <c r="E23" s="168" t="s">
        <v>87</v>
      </c>
      <c r="J23" s="97" t="s">
        <v>85</v>
      </c>
      <c r="K23" s="97" t="s">
        <v>33</v>
      </c>
      <c r="L23" s="97" t="s">
        <v>86</v>
      </c>
      <c r="M23" s="176" t="s">
        <v>87</v>
      </c>
    </row>
    <row r="24" spans="1:13" ht="15.75" thickBot="1" x14ac:dyDescent="0.3">
      <c r="A24" s="1">
        <v>214784</v>
      </c>
      <c r="B24" s="174">
        <f>SUMIF(sigaf!$A$2:$A$451,$A24,sigaf!$F$2:$F$451)</f>
        <v>13423938467</v>
      </c>
      <c r="C24" s="174">
        <f>SUMIF(sigaf!$A$2:$A$451,$A24,sigaf!$K$2:$K$451)</f>
        <v>12611805594.5</v>
      </c>
      <c r="D24" s="174">
        <f>SUMIF(sigaf!$A$2:$A$451,$A24,sigaf!$M$2:$M$451)</f>
        <v>812132872.5</v>
      </c>
      <c r="E24" s="175">
        <f>+C24/B24</f>
        <v>0.9395011475584113</v>
      </c>
      <c r="G24">
        <v>214784</v>
      </c>
      <c r="H24">
        <v>214784</v>
      </c>
      <c r="I24">
        <v>214784</v>
      </c>
      <c r="J24" s="94">
        <v>13145300255</v>
      </c>
      <c r="K24" s="94">
        <v>12682816792.959999</v>
      </c>
      <c r="L24" s="94">
        <v>462072945.04000002</v>
      </c>
      <c r="M24" s="177">
        <f>+K24/J24</f>
        <v>0.96481758095528558</v>
      </c>
    </row>
    <row r="25" spans="1:13" x14ac:dyDescent="0.25">
      <c r="B25" s="96"/>
      <c r="C25" s="96"/>
      <c r="D25" s="96"/>
      <c r="E25" s="96"/>
      <c r="H25" s="96"/>
      <c r="I25" s="96"/>
      <c r="J25" s="96"/>
      <c r="K25" s="96"/>
    </row>
    <row r="26" spans="1:13" x14ac:dyDescent="0.25">
      <c r="B26" s="25">
        <f>+B4-sigaf!F2</f>
        <v>0</v>
      </c>
      <c r="C26" s="25">
        <f>+C4-sigaf!K2</f>
        <v>0</v>
      </c>
      <c r="D26" s="25"/>
      <c r="E26" s="25"/>
    </row>
    <row r="27" spans="1:13" ht="18.75" customHeight="1" x14ac:dyDescent="0.25"/>
  </sheetData>
  <mergeCells count="14">
    <mergeCell ref="J10:M10"/>
    <mergeCell ref="J14:M14"/>
    <mergeCell ref="J18:M18"/>
    <mergeCell ref="J22:M22"/>
    <mergeCell ref="B1:E1"/>
    <mergeCell ref="I1:L1"/>
    <mergeCell ref="B22:E22"/>
    <mergeCell ref="B2:E2"/>
    <mergeCell ref="B6:E6"/>
    <mergeCell ref="B10:E10"/>
    <mergeCell ref="B14:E14"/>
    <mergeCell ref="B18:E18"/>
    <mergeCell ref="J2:M2"/>
    <mergeCell ref="J6:M6"/>
  </mergeCells>
  <pageMargins left="0.9055118110236221" right="0.70866141732283472" top="0.74803149606299213" bottom="0.74803149606299213" header="0.31496062992125984" footer="0.31496062992125984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S17" sqref="S17"/>
    </sheetView>
  </sheetViews>
  <sheetFormatPr baseColWidth="10" defaultRowHeight="15" x14ac:dyDescent="0.25"/>
  <cols>
    <col min="2" max="2" width="17.42578125" bestFit="1" customWidth="1"/>
    <col min="3" max="3" width="7.140625" bestFit="1" customWidth="1"/>
    <col min="4" max="4" width="17.42578125" bestFit="1" customWidth="1"/>
    <col min="5" max="5" width="7.140625" bestFit="1" customWidth="1"/>
    <col min="10" max="10" width="12" bestFit="1" customWidth="1"/>
  </cols>
  <sheetData>
    <row r="1" spans="1:10" x14ac:dyDescent="0.25">
      <c r="A1" s="348" t="s">
        <v>71</v>
      </c>
      <c r="B1" s="350">
        <v>2019</v>
      </c>
      <c r="C1" s="351"/>
      <c r="D1" s="350">
        <v>2018</v>
      </c>
      <c r="E1" s="352"/>
    </row>
    <row r="2" spans="1:10" x14ac:dyDescent="0.25">
      <c r="A2" s="349"/>
      <c r="B2" s="61" t="s">
        <v>60</v>
      </c>
      <c r="C2" s="61" t="s">
        <v>72</v>
      </c>
      <c r="D2" s="61" t="s">
        <v>60</v>
      </c>
      <c r="E2" s="61" t="s">
        <v>72</v>
      </c>
      <c r="G2" s="93">
        <f>+B1</f>
        <v>2019</v>
      </c>
      <c r="H2" s="93">
        <f>+D1</f>
        <v>2018</v>
      </c>
    </row>
    <row r="3" spans="1:10" x14ac:dyDescent="0.25">
      <c r="A3" s="244" t="s">
        <v>75</v>
      </c>
      <c r="B3" s="74">
        <f>+'ANALISIS POR PROG'!C6</f>
        <v>2405642232</v>
      </c>
      <c r="C3" s="135">
        <f>+'ANALISIS POR PROG'!D6</f>
        <v>1.680957733434366E-2</v>
      </c>
      <c r="D3" s="74">
        <v>2639813216</v>
      </c>
      <c r="E3" s="158">
        <f>+D3/D8</f>
        <v>1.9389765824505162E-2</v>
      </c>
    </row>
    <row r="4" spans="1:10" x14ac:dyDescent="0.25">
      <c r="A4" s="244" t="s">
        <v>76</v>
      </c>
      <c r="B4" s="74">
        <f>+'ANALISIS POR PROG'!C7</f>
        <v>1182918224</v>
      </c>
      <c r="C4" s="135">
        <f>+'ANALISIS POR PROG'!D7</f>
        <v>8.2657159497906817E-3</v>
      </c>
      <c r="D4" s="74">
        <v>1086009501</v>
      </c>
      <c r="E4" s="158">
        <f>+D4/D8</f>
        <v>7.9768787351876431E-3</v>
      </c>
    </row>
    <row r="5" spans="1:10" x14ac:dyDescent="0.25">
      <c r="A5" s="244" t="s">
        <v>77</v>
      </c>
      <c r="B5" s="74">
        <f>+'ANALISIS POR PROG'!C8</f>
        <v>10861397887</v>
      </c>
      <c r="C5" s="135">
        <f>+'ANALISIS POR PROG'!D8</f>
        <v>7.5894705086223035E-2</v>
      </c>
      <c r="D5" s="74">
        <v>11040026152</v>
      </c>
      <c r="E5" s="158">
        <f>+D5/D8</f>
        <v>8.1090404611298392E-2</v>
      </c>
    </row>
    <row r="6" spans="1:10" x14ac:dyDescent="0.25">
      <c r="A6" s="244" t="s">
        <v>78</v>
      </c>
      <c r="B6" s="74">
        <f>+'ANALISIS POR PROG'!C9</f>
        <v>115237508322.42</v>
      </c>
      <c r="C6" s="135">
        <f>+'ANALISIS POR PROG'!D9</f>
        <v>0.80522938207329831</v>
      </c>
      <c r="D6" s="74">
        <v>107484280409</v>
      </c>
      <c r="E6" s="158">
        <f>+D6/D8</f>
        <v>0.78948579176518452</v>
      </c>
    </row>
    <row r="7" spans="1:10" x14ac:dyDescent="0.25">
      <c r="A7" s="244" t="s">
        <v>79</v>
      </c>
      <c r="B7" s="74">
        <f>+'ANALISIS POR PROG'!C10</f>
        <v>13423938467</v>
      </c>
      <c r="C7" s="135">
        <f>+'ANALISIS POR PROG'!D10</f>
        <v>9.3800619556344403E-2</v>
      </c>
      <c r="D7" s="74">
        <v>13894537960</v>
      </c>
      <c r="E7" s="158">
        <f>+D7/D8</f>
        <v>0.10205715906382434</v>
      </c>
    </row>
    <row r="8" spans="1:10" x14ac:dyDescent="0.25">
      <c r="A8" s="54" t="s">
        <v>15</v>
      </c>
      <c r="B8" s="55">
        <f>SUM(B3:B7)</f>
        <v>143111405132.41998</v>
      </c>
      <c r="C8" s="56"/>
      <c r="D8" s="55">
        <f>SUM(D3:D7)</f>
        <v>136144667238</v>
      </c>
      <c r="E8" s="56"/>
    </row>
    <row r="9" spans="1:10" x14ac:dyDescent="0.25">
      <c r="J9">
        <v>141087133000</v>
      </c>
    </row>
    <row r="10" spans="1:10" x14ac:dyDescent="0.25">
      <c r="A10" s="245" t="s">
        <v>71</v>
      </c>
      <c r="B10" s="246">
        <v>2019</v>
      </c>
      <c r="C10" s="247"/>
      <c r="D10" s="246">
        <v>2018</v>
      </c>
      <c r="E10" s="248"/>
    </row>
    <row r="11" spans="1:10" x14ac:dyDescent="0.25">
      <c r="A11" s="249"/>
      <c r="B11" s="61" t="s">
        <v>589</v>
      </c>
      <c r="C11" s="61" t="s">
        <v>72</v>
      </c>
      <c r="D11" s="61" t="s">
        <v>589</v>
      </c>
      <c r="E11" s="61" t="s">
        <v>72</v>
      </c>
    </row>
    <row r="12" spans="1:10" x14ac:dyDescent="0.25">
      <c r="A12" s="244" t="s">
        <v>75</v>
      </c>
      <c r="B12" s="74">
        <f>+'ANALISIS POR PROG'!L6</f>
        <v>2147263176.1900001</v>
      </c>
      <c r="C12" s="135">
        <f>+'ANALISIS POR PROG'!M6</f>
        <v>0.89259456274377547</v>
      </c>
      <c r="D12" s="74">
        <v>1477660668.8299999</v>
      </c>
      <c r="E12" s="158">
        <v>0.56000000000000005</v>
      </c>
    </row>
    <row r="13" spans="1:10" x14ac:dyDescent="0.25">
      <c r="A13" s="244" t="s">
        <v>76</v>
      </c>
      <c r="B13" s="74">
        <f>+'ANALISIS POR PROG'!L7</f>
        <v>1033142240.79</v>
      </c>
      <c r="C13" s="135">
        <f>+'ANALISIS POR PROG'!M7</f>
        <v>0.8733843302341413</v>
      </c>
      <c r="D13" s="74">
        <v>635414138.04999983</v>
      </c>
      <c r="E13" s="158">
        <v>0.59</v>
      </c>
    </row>
    <row r="14" spans="1:10" x14ac:dyDescent="0.25">
      <c r="A14" s="244" t="s">
        <v>77</v>
      </c>
      <c r="B14" s="74">
        <f>+'ANALISIS POR PROG'!L8</f>
        <v>9909325805.1000004</v>
      </c>
      <c r="C14" s="135">
        <f>+'ANALISIS POR PROG'!M8</f>
        <v>0.91234350386523133</v>
      </c>
      <c r="D14" s="74">
        <v>6565394922.4399996</v>
      </c>
      <c r="E14" s="158">
        <v>0.59</v>
      </c>
    </row>
    <row r="15" spans="1:10" x14ac:dyDescent="0.25">
      <c r="A15" s="244" t="s">
        <v>78</v>
      </c>
      <c r="B15" s="74">
        <f>+'ANALISIS POR PROG'!L9</f>
        <v>108051057664.92</v>
      </c>
      <c r="C15" s="135">
        <f>+'ANALISIS POR PROG'!M9</f>
        <v>0.93763792048164374</v>
      </c>
      <c r="D15" s="74">
        <v>62479499667.559998</v>
      </c>
      <c r="E15" s="158">
        <v>0.57999999999999996</v>
      </c>
    </row>
    <row r="16" spans="1:10" x14ac:dyDescent="0.25">
      <c r="A16" s="244" t="s">
        <v>79</v>
      </c>
      <c r="B16" s="74">
        <f>+'ANALISIS POR PROG'!L10</f>
        <v>12611805594.5</v>
      </c>
      <c r="C16" s="135">
        <f>+'ANALISIS POR PROG'!M10</f>
        <v>0.9395011475584113</v>
      </c>
      <c r="D16" s="74">
        <v>9052852260.7900009</v>
      </c>
      <c r="E16" s="158">
        <v>0.65</v>
      </c>
    </row>
    <row r="17" spans="1:5" x14ac:dyDescent="0.25">
      <c r="A17" s="54" t="s">
        <v>15</v>
      </c>
      <c r="B17" s="55">
        <f>SUM(B12:B16)</f>
        <v>133752594481.5</v>
      </c>
      <c r="C17" s="137">
        <f>+'ANALISIS POR PROG'!M11</f>
        <v>0.93460471831535485</v>
      </c>
      <c r="D17" s="55">
        <f>SUM(D12:D16)</f>
        <v>80210821657.670013</v>
      </c>
      <c r="E17" s="137">
        <v>0.59</v>
      </c>
    </row>
  </sheetData>
  <mergeCells count="3">
    <mergeCell ref="A1:A2"/>
    <mergeCell ref="B1:C1"/>
    <mergeCell ref="D1:E1"/>
  </mergeCells>
  <pageMargins left="0.9055118110236221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644-C185-4298-A2EA-C3B532EE7507}">
  <dimension ref="A1:M132"/>
  <sheetViews>
    <sheetView workbookViewId="0">
      <selection activeCell="J21" sqref="J21"/>
    </sheetView>
  </sheetViews>
  <sheetFormatPr baseColWidth="10" defaultRowHeight="15" x14ac:dyDescent="0.25"/>
  <cols>
    <col min="1" max="1" width="15.140625" customWidth="1"/>
    <col min="2" max="2" width="19.7109375" customWidth="1"/>
    <col min="3" max="3" width="18.85546875" hidden="1" customWidth="1"/>
    <col min="4" max="5" width="17.7109375" customWidth="1"/>
    <col min="6" max="6" width="19.42578125" customWidth="1"/>
    <col min="7" max="7" width="17.85546875" customWidth="1"/>
    <col min="8" max="8" width="1.5703125" customWidth="1"/>
    <col min="9" max="9" width="16.7109375" customWidth="1"/>
    <col min="10" max="10" width="19.42578125" customWidth="1"/>
    <col min="11" max="11" width="22.28515625" hidden="1" customWidth="1"/>
    <col min="12" max="12" width="18.85546875" customWidth="1"/>
    <col min="13" max="13" width="19.7109375" customWidth="1"/>
    <col min="14" max="14" width="16.28515625" customWidth="1"/>
  </cols>
  <sheetData>
    <row r="1" spans="1:13" ht="27" customHeight="1" thickBot="1" x14ac:dyDescent="0.3">
      <c r="A1" s="354" t="s">
        <v>633</v>
      </c>
      <c r="B1" s="354"/>
      <c r="C1" s="354"/>
      <c r="D1" s="354"/>
      <c r="E1" s="354"/>
      <c r="F1" s="354"/>
      <c r="G1" s="354"/>
    </row>
    <row r="2" spans="1:13" ht="26.25" customHeight="1" thickBot="1" x14ac:dyDescent="0.3">
      <c r="A2" s="219" t="s">
        <v>1</v>
      </c>
      <c r="B2" s="220">
        <f>[11]COMPARATIVO!B3</f>
        <v>2519449227</v>
      </c>
      <c r="C2" s="187"/>
      <c r="D2" s="187"/>
      <c r="E2" s="187"/>
      <c r="F2" s="187"/>
      <c r="G2" s="187"/>
    </row>
    <row r="3" spans="1:13" x14ac:dyDescent="0.25">
      <c r="A3" s="357" t="s">
        <v>578</v>
      </c>
      <c r="B3" s="355" t="s">
        <v>644</v>
      </c>
      <c r="C3" s="213"/>
      <c r="D3" s="207"/>
      <c r="E3" s="207"/>
      <c r="F3" s="207"/>
      <c r="G3" s="204"/>
    </row>
    <row r="4" spans="1:13" ht="30" customHeight="1" x14ac:dyDescent="0.25">
      <c r="A4" s="358"/>
      <c r="B4" s="356"/>
      <c r="C4" s="235"/>
      <c r="D4" s="236" t="s">
        <v>553</v>
      </c>
      <c r="E4" s="236" t="s">
        <v>649</v>
      </c>
      <c r="F4" s="236" t="s">
        <v>650</v>
      </c>
      <c r="G4" s="237" t="s">
        <v>65</v>
      </c>
    </row>
    <row r="5" spans="1:13" x14ac:dyDescent="0.25">
      <c r="A5" s="92" t="s">
        <v>569</v>
      </c>
      <c r="B5" s="178">
        <f>[11]Hoja10!L6</f>
        <v>242582833.88</v>
      </c>
      <c r="C5" s="238">
        <f t="shared" ref="C5:C13" si="0">B5/$B$2</f>
        <v>9.6284073233280518E-2</v>
      </c>
      <c r="D5" s="178">
        <f>+'ENERO 2019'!J3</f>
        <v>84624</v>
      </c>
      <c r="E5" s="178">
        <f>+F5</f>
        <v>227020561.94999999</v>
      </c>
      <c r="F5" s="178">
        <f>+'ENERO 2019'!L3</f>
        <v>227020561.94999999</v>
      </c>
      <c r="G5" s="178">
        <f>+'ENERO 2019'!M3</f>
        <v>1900857569.9200001</v>
      </c>
    </row>
    <row r="6" spans="1:13" x14ac:dyDescent="0.25">
      <c r="A6" s="92" t="s">
        <v>585</v>
      </c>
      <c r="B6" s="178">
        <f>'[11]FEBRERO 2019'!K3-'[11]ENERO 2019'!K3</f>
        <v>147580628.47000003</v>
      </c>
      <c r="C6" s="238">
        <f t="shared" si="0"/>
        <v>5.8576543987643545E-2</v>
      </c>
      <c r="D6" s="178">
        <f>+'ENERO 2019'!J4</f>
        <v>0</v>
      </c>
      <c r="E6" s="178">
        <f>+F6-E5</f>
        <v>154201049.73000002</v>
      </c>
      <c r="F6" s="178">
        <f>+'FEBRERO 2019'!L3</f>
        <v>381221611.68000001</v>
      </c>
      <c r="G6" s="178">
        <f>+'FEBRERO 2019'!M3</f>
        <v>1839952607.6600001</v>
      </c>
    </row>
    <row r="7" spans="1:13" x14ac:dyDescent="0.25">
      <c r="A7" s="92" t="s">
        <v>586</v>
      </c>
      <c r="B7" s="178">
        <f>'[11]MARZO 2019'!K3-'[11]FEBRERO 2019'!K3</f>
        <v>137214665.37</v>
      </c>
      <c r="C7" s="238">
        <f t="shared" si="0"/>
        <v>5.4462167325906585E-2</v>
      </c>
      <c r="D7" s="178">
        <f>+'MARZO 2019'!J3</f>
        <v>1118813.8500000001</v>
      </c>
      <c r="E7" s="178">
        <f t="shared" ref="E7:E13" si="1">+F7-F6</f>
        <v>143981946.48000002</v>
      </c>
      <c r="F7" s="178">
        <f>+'MARZO 2019'!L3</f>
        <v>525203558.16000003</v>
      </c>
      <c r="G7" s="178">
        <f>+'MARZO 2019'!M3</f>
        <v>1749162336.9400001</v>
      </c>
    </row>
    <row r="8" spans="1:13" x14ac:dyDescent="0.25">
      <c r="A8" s="92" t="s">
        <v>588</v>
      </c>
      <c r="B8" s="178">
        <f>'[11]ABRIL 2019'!K3-'[11]MARZO 2019'!K3</f>
        <v>179038653.61000001</v>
      </c>
      <c r="C8" s="238">
        <f t="shared" si="0"/>
        <v>7.1062616262042272E-2</v>
      </c>
      <c r="D8" s="178">
        <f>+'ABRIL 2019'!J3</f>
        <v>75350</v>
      </c>
      <c r="E8" s="178">
        <f t="shared" si="1"/>
        <v>164909238.39999992</v>
      </c>
      <c r="F8" s="178">
        <f>+'ABRIL 2019'!L3</f>
        <v>690112796.55999994</v>
      </c>
      <c r="G8" s="178">
        <f>+'ABRIL 2019'!M3</f>
        <v>1449641152.49</v>
      </c>
    </row>
    <row r="9" spans="1:13" x14ac:dyDescent="0.25">
      <c r="A9" s="92" t="s">
        <v>590</v>
      </c>
      <c r="B9" s="178">
        <f>'[11]MAYO 2019'!K3-'[11]ABRIL 2019'!K3</f>
        <v>166985879.90999997</v>
      </c>
      <c r="C9" s="238">
        <f t="shared" si="0"/>
        <v>6.6278723984779853E-2</v>
      </c>
      <c r="D9" s="178">
        <f>+'MAYO 2019'!J3</f>
        <v>692877.52</v>
      </c>
      <c r="E9" s="178">
        <f t="shared" si="1"/>
        <v>173233822.1400001</v>
      </c>
      <c r="F9" s="178">
        <f>+'MAYO 2019'!L3</f>
        <v>863346618.70000005</v>
      </c>
      <c r="G9" s="178">
        <f>+'MAYO 2019'!M3</f>
        <v>1348589908.28</v>
      </c>
    </row>
    <row r="10" spans="1:13" x14ac:dyDescent="0.25">
      <c r="A10" s="92" t="s">
        <v>591</v>
      </c>
      <c r="B10" s="178">
        <f>'[11]JUNIO 2019'!K3-'[11]MAYO 2019'!K3</f>
        <v>164905609.83000004</v>
      </c>
      <c r="C10" s="238">
        <f t="shared" si="0"/>
        <v>6.5453039522594056E-2</v>
      </c>
      <c r="D10" s="178">
        <f>+'JUNIO 2019'!J3</f>
        <v>2915877.79</v>
      </c>
      <c r="E10" s="178">
        <f t="shared" si="1"/>
        <v>170133249.37</v>
      </c>
      <c r="F10" s="178">
        <f>+'JUNIO 2019'!L3</f>
        <v>1033479868.0700001</v>
      </c>
      <c r="G10" s="178">
        <f>+'JUNIO 2019'!M3</f>
        <v>1277043110.1300001</v>
      </c>
    </row>
    <row r="11" spans="1:13" x14ac:dyDescent="0.25">
      <c r="A11" s="92" t="s">
        <v>592</v>
      </c>
      <c r="B11" s="178">
        <f>'[11]JULIO 2019'!K3-'[11]JUNIO 2019'!K3</f>
        <v>166478547.00999987</v>
      </c>
      <c r="C11" s="238">
        <f t="shared" si="0"/>
        <v>6.6077357394588948E-2</v>
      </c>
      <c r="D11" s="178">
        <f>+'JULIO 2019'!J3</f>
        <v>685273.83</v>
      </c>
      <c r="E11" s="178">
        <f t="shared" si="1"/>
        <v>166172511.23999989</v>
      </c>
      <c r="F11" s="178">
        <f>+'JULIO 2019'!L3</f>
        <v>1199652379.3099999</v>
      </c>
      <c r="G11" s="178">
        <f>+'JULIO 2019'!M3</f>
        <v>996262227.47000003</v>
      </c>
    </row>
    <row r="12" spans="1:13" x14ac:dyDescent="0.25">
      <c r="A12" s="92" t="s">
        <v>593</v>
      </c>
      <c r="B12" s="178">
        <f>'[11]Partidas mayor al 50%'!K3-'[11]JULIO 2019'!K3</f>
        <v>157974480.55000019</v>
      </c>
      <c r="C12" s="238">
        <f t="shared" si="0"/>
        <v>6.2701990124288454E-2</v>
      </c>
      <c r="D12" s="178">
        <f>+AGOST!J3</f>
        <v>7833500.1299999999</v>
      </c>
      <c r="E12" s="178">
        <f t="shared" si="1"/>
        <v>156672485.29999995</v>
      </c>
      <c r="F12" s="178">
        <f>+AGOST!L3</f>
        <v>1356324864.6099999</v>
      </c>
      <c r="G12" s="178">
        <f>+AGOST!M3</f>
        <v>916728348.88999999</v>
      </c>
    </row>
    <row r="13" spans="1:13" x14ac:dyDescent="0.25">
      <c r="A13" s="92" t="s">
        <v>594</v>
      </c>
      <c r="B13" s="178">
        <f>sigaf!K3-AGOST!K3</f>
        <v>784501877.55999994</v>
      </c>
      <c r="C13" s="238">
        <f t="shared" si="0"/>
        <v>0.31137832394190967</v>
      </c>
      <c r="D13" s="178">
        <f>+sigaf!J3</f>
        <v>0</v>
      </c>
      <c r="E13" s="178">
        <f t="shared" si="1"/>
        <v>740995847.85000014</v>
      </c>
      <c r="F13" s="178">
        <f>+sigaf!L3</f>
        <v>2097320712.46</v>
      </c>
      <c r="G13" s="178">
        <f>+sigaf!M3</f>
        <v>258379055.81</v>
      </c>
    </row>
    <row r="14" spans="1:13" ht="15.75" thickBot="1" x14ac:dyDescent="0.3">
      <c r="A14" s="214"/>
      <c r="B14" s="223">
        <f>SUM(B5:B13)</f>
        <v>2147263176.1900001</v>
      </c>
      <c r="C14" s="224"/>
      <c r="D14" s="223"/>
      <c r="E14" s="223">
        <f>SUM(E5:E13)</f>
        <v>2097320712.46</v>
      </c>
      <c r="F14" s="223"/>
      <c r="G14" s="225"/>
    </row>
    <row r="15" spans="1:13" ht="15.75" hidden="1" thickBot="1" x14ac:dyDescent="0.3">
      <c r="A15" s="359" t="s">
        <v>634</v>
      </c>
      <c r="B15" s="360"/>
      <c r="C15" s="198">
        <f>SUM(C5:C13)</f>
        <v>0.85227483577703389</v>
      </c>
      <c r="D15" s="197"/>
      <c r="E15" s="197"/>
      <c r="F15" s="198"/>
      <c r="G15" s="210"/>
      <c r="I15" s="359" t="s">
        <v>634</v>
      </c>
      <c r="J15" s="360"/>
      <c r="K15" s="198">
        <f>+B31/B19</f>
        <v>8.7977166574554396E-3</v>
      </c>
      <c r="L15" s="197"/>
      <c r="M15" s="205"/>
    </row>
    <row r="16" spans="1:13" s="96" customFormat="1" x14ac:dyDescent="0.25">
      <c r="A16" s="211"/>
      <c r="B16" s="211"/>
      <c r="C16" s="212"/>
      <c r="D16" s="211"/>
      <c r="E16" s="211"/>
      <c r="F16" s="212"/>
      <c r="G16" s="212"/>
      <c r="I16" s="211"/>
      <c r="J16" s="211"/>
      <c r="K16" s="212"/>
      <c r="L16" s="211"/>
      <c r="M16" s="211"/>
    </row>
    <row r="17" spans="1:13" s="96" customFormat="1" x14ac:dyDescent="0.25">
      <c r="A17" s="211"/>
      <c r="B17" s="211"/>
      <c r="C17" s="212"/>
      <c r="D17" s="211"/>
      <c r="E17" s="211"/>
      <c r="F17" s="212"/>
      <c r="G17" s="212"/>
      <c r="I17" s="211"/>
      <c r="J17" s="211"/>
      <c r="K17" s="212"/>
      <c r="L17" s="211"/>
      <c r="M17" s="211"/>
    </row>
    <row r="18" spans="1:13" s="96" customFormat="1" ht="15.75" customHeight="1" thickBot="1" x14ac:dyDescent="0.3">
      <c r="A18" s="354" t="s">
        <v>636</v>
      </c>
      <c r="B18" s="354"/>
      <c r="C18" s="354"/>
      <c r="D18" s="354"/>
      <c r="E18" s="354"/>
      <c r="F18" s="354"/>
      <c r="G18" s="354"/>
      <c r="I18" s="211"/>
      <c r="J18" s="211"/>
      <c r="K18" s="212"/>
      <c r="L18" s="211"/>
      <c r="M18" s="211"/>
    </row>
    <row r="19" spans="1:13" s="96" customFormat="1" ht="26.25" thickBot="1" x14ac:dyDescent="0.3">
      <c r="A19" s="219" t="s">
        <v>1</v>
      </c>
      <c r="B19" s="220">
        <f>+'[11]AGOSTO 2019'!F104</f>
        <v>1241247489</v>
      </c>
      <c r="C19" s="187"/>
      <c r="D19" s="187"/>
      <c r="E19" s="187"/>
      <c r="F19" s="187"/>
      <c r="G19" s="187"/>
      <c r="I19" s="211"/>
      <c r="J19" s="211"/>
      <c r="K19" s="212"/>
      <c r="L19" s="211"/>
      <c r="M19" s="211"/>
    </row>
    <row r="20" spans="1:13" s="96" customFormat="1" x14ac:dyDescent="0.25">
      <c r="A20" s="357" t="s">
        <v>578</v>
      </c>
      <c r="B20" s="355" t="s">
        <v>644</v>
      </c>
      <c r="C20" s="213"/>
      <c r="D20" s="207"/>
      <c r="E20" s="207"/>
      <c r="F20" s="207"/>
      <c r="G20" s="204"/>
      <c r="I20" s="211"/>
      <c r="J20" s="211"/>
      <c r="K20" s="212"/>
      <c r="L20" s="211"/>
      <c r="M20" s="211"/>
    </row>
    <row r="21" spans="1:13" s="96" customFormat="1" ht="26.25" x14ac:dyDescent="0.25">
      <c r="A21" s="358"/>
      <c r="B21" s="356"/>
      <c r="C21" s="235"/>
      <c r="D21" s="236" t="s">
        <v>553</v>
      </c>
      <c r="E21" s="236" t="s">
        <v>649</v>
      </c>
      <c r="F21" s="236" t="s">
        <v>650</v>
      </c>
      <c r="G21" s="237" t="s">
        <v>65</v>
      </c>
      <c r="I21" s="211"/>
      <c r="J21" s="211"/>
      <c r="K21" s="212"/>
      <c r="L21" s="211"/>
      <c r="M21" s="211"/>
    </row>
    <row r="22" spans="1:13" s="96" customFormat="1" x14ac:dyDescent="0.25">
      <c r="A22" s="92" t="s">
        <v>569</v>
      </c>
      <c r="B22" s="178">
        <f>+'[11]ENERO 2019'!K103</f>
        <v>113368080.03</v>
      </c>
      <c r="C22" s="238">
        <f t="shared" ref="C22:C30" si="2">B22/$B$19</f>
        <v>9.1333985393464115E-2</v>
      </c>
      <c r="D22" s="178">
        <f>+'ENERO 2019'!J103</f>
        <v>0</v>
      </c>
      <c r="E22" s="178">
        <f>F22</f>
        <v>104553199.81999999</v>
      </c>
      <c r="F22" s="178">
        <f>+'ENERO 2019'!L103</f>
        <v>104553199.81999999</v>
      </c>
      <c r="G22" s="239">
        <f>+'ENERO 2019'!M103</f>
        <v>947517615.75</v>
      </c>
      <c r="I22" s="211"/>
      <c r="J22" s="211"/>
      <c r="K22" s="212"/>
      <c r="L22" s="211"/>
      <c r="M22" s="211"/>
    </row>
    <row r="23" spans="1:13" s="96" customFormat="1" x14ac:dyDescent="0.25">
      <c r="A23" s="92" t="s">
        <v>585</v>
      </c>
      <c r="B23" s="178">
        <f>+'[11]FEBRERO 2019'!K103-'[11]ENERO 2019'!K103</f>
        <v>76593994.870000005</v>
      </c>
      <c r="C23" s="238">
        <f t="shared" si="2"/>
        <v>6.1707270748807136E-2</v>
      </c>
      <c r="D23" s="178">
        <f>+'FEBRERO 2019'!J103</f>
        <v>371426</v>
      </c>
      <c r="E23" s="178">
        <f>F23-E22</f>
        <v>77099348.24000001</v>
      </c>
      <c r="F23" s="178">
        <f>+'FEBRERO 2019'!L103</f>
        <v>181652548.06</v>
      </c>
      <c r="G23" s="239">
        <f>+'FEBRERO 2019'!M103</f>
        <v>889963800.52999997</v>
      </c>
      <c r="I23" s="211"/>
      <c r="J23" s="211"/>
      <c r="K23" s="212"/>
      <c r="L23" s="211"/>
      <c r="M23" s="211"/>
    </row>
    <row r="24" spans="1:13" s="96" customFormat="1" x14ac:dyDescent="0.25">
      <c r="A24" s="92" t="s">
        <v>586</v>
      </c>
      <c r="B24" s="178">
        <f>+'[11]MARZO 2019'!K104-'[11]FEBRERO 2019'!K103</f>
        <v>61085614.219999999</v>
      </c>
      <c r="C24" s="238">
        <f t="shared" si="2"/>
        <v>4.9213081807893994E-2</v>
      </c>
      <c r="D24" s="178">
        <f>+'MARZO 2019'!J104</f>
        <v>760238.3</v>
      </c>
      <c r="E24" s="178">
        <f t="shared" ref="E24:E30" si="3">F24-F23</f>
        <v>66253609.729999989</v>
      </c>
      <c r="F24" s="178">
        <f>+'MARZO 2019'!L104</f>
        <v>247906157.78999999</v>
      </c>
      <c r="G24" s="239">
        <f>+'MARZO 2019'!M104</f>
        <v>839722204.02999997</v>
      </c>
      <c r="I24" s="211"/>
      <c r="J24" s="211"/>
      <c r="K24" s="212"/>
      <c r="L24" s="211"/>
      <c r="M24" s="211"/>
    </row>
    <row r="25" spans="1:13" s="96" customFormat="1" ht="18" customHeight="1" x14ac:dyDescent="0.25">
      <c r="A25" s="92" t="s">
        <v>588</v>
      </c>
      <c r="B25" s="178">
        <f>+'[11]ABRIL 2019'!K104-'[11]MARZO 2019'!K104</f>
        <v>83852163.939999998</v>
      </c>
      <c r="C25" s="238">
        <f t="shared" si="2"/>
        <v>6.7554750106729122E-2</v>
      </c>
      <c r="D25" s="178">
        <f>+'ABRIL 2019'!J104</f>
        <v>831845.77</v>
      </c>
      <c r="E25" s="178">
        <f t="shared" si="3"/>
        <v>80908484.430000037</v>
      </c>
      <c r="F25" s="178">
        <f>+'ABRIL 2019'!L104</f>
        <v>328814642.22000003</v>
      </c>
      <c r="G25" s="239">
        <f>+'ABRIL 2019'!M104</f>
        <v>744816209.62</v>
      </c>
      <c r="I25" s="211"/>
      <c r="J25" s="211"/>
      <c r="K25" s="212"/>
      <c r="L25" s="211"/>
      <c r="M25" s="211"/>
    </row>
    <row r="26" spans="1:13" s="96" customFormat="1" ht="18" customHeight="1" x14ac:dyDescent="0.25">
      <c r="A26" s="92" t="s">
        <v>590</v>
      </c>
      <c r="B26" s="178">
        <f>+'[11]MAYO 2019'!K104-'[11]ABRIL 2019'!K104</f>
        <v>77462013.209999979</v>
      </c>
      <c r="C26" s="238">
        <f t="shared" si="2"/>
        <v>6.2406582004372518E-2</v>
      </c>
      <c r="D26" s="178">
        <f>+'MAYO 2019'!J104</f>
        <v>659414.19999999995</v>
      </c>
      <c r="E26" s="178">
        <f t="shared" si="3"/>
        <v>76870830</v>
      </c>
      <c r="F26" s="178">
        <f>+'MAYO 2019'!L104</f>
        <v>405685472.22000003</v>
      </c>
      <c r="G26" s="239">
        <f>+'MAYO 2019'!M104</f>
        <v>698984049.37</v>
      </c>
      <c r="I26" s="211"/>
      <c r="J26" s="211"/>
      <c r="K26" s="212"/>
      <c r="L26" s="211"/>
      <c r="M26" s="211"/>
    </row>
    <row r="27" spans="1:13" s="96" customFormat="1" ht="18" customHeight="1" x14ac:dyDescent="0.25">
      <c r="A27" s="92" t="s">
        <v>591</v>
      </c>
      <c r="B27" s="178">
        <f>+'[11]JUNIO 2019'!K104-'[11]MAYO 2019'!K104</f>
        <v>72568181.400000036</v>
      </c>
      <c r="C27" s="238">
        <f t="shared" si="2"/>
        <v>5.8463909931825077E-2</v>
      </c>
      <c r="D27" s="178">
        <f>+'JUNIO 2019'!J104</f>
        <v>311100.45</v>
      </c>
      <c r="E27" s="178">
        <f t="shared" si="3"/>
        <v>75565024.579999983</v>
      </c>
      <c r="F27" s="178">
        <f>+'JUNIO 2019'!L104</f>
        <v>481250496.80000001</v>
      </c>
      <c r="G27" s="239">
        <f>+'JUNIO 2019'!M104</f>
        <v>637737818.38</v>
      </c>
      <c r="I27" s="211"/>
      <c r="J27" s="211"/>
      <c r="K27" s="212"/>
      <c r="L27" s="211"/>
      <c r="M27" s="211"/>
    </row>
    <row r="28" spans="1:13" s="96" customFormat="1" ht="18" customHeight="1" x14ac:dyDescent="0.25">
      <c r="A28" s="92" t="s">
        <v>592</v>
      </c>
      <c r="B28" s="178">
        <f>+'[11]JULIO 2019'!K104-'[11]JUNIO 2019'!K104</f>
        <v>72081299.650000036</v>
      </c>
      <c r="C28" s="238">
        <f t="shared" si="2"/>
        <v>5.8071657980208038E-2</v>
      </c>
      <c r="D28" s="178">
        <f>+'JULIO 2019'!J104</f>
        <v>0</v>
      </c>
      <c r="E28" s="178">
        <f t="shared" si="3"/>
        <v>74233566.119999945</v>
      </c>
      <c r="F28" s="178">
        <f>+'JULIO 2019'!L104</f>
        <v>555484062.91999996</v>
      </c>
      <c r="G28" s="239">
        <f>+'JULIO 2019'!M104</f>
        <v>572461715.64999998</v>
      </c>
      <c r="I28" s="211"/>
      <c r="J28" s="211"/>
      <c r="K28" s="212"/>
      <c r="L28" s="211"/>
      <c r="M28" s="211"/>
    </row>
    <row r="29" spans="1:13" s="96" customFormat="1" ht="18" customHeight="1" x14ac:dyDescent="0.25">
      <c r="A29" s="92" t="s">
        <v>593</v>
      </c>
      <c r="B29" s="178">
        <f>+'[11]AGOSTO 2019'!K104-'[11]JULIO 2019'!K104</f>
        <v>71737366.00999999</v>
      </c>
      <c r="C29" s="238">
        <f t="shared" si="2"/>
        <v>5.7794570902048356E-2</v>
      </c>
      <c r="D29" s="178">
        <f>+AGOST!J104</f>
        <v>250540</v>
      </c>
      <c r="E29" s="178">
        <f t="shared" si="3"/>
        <v>67611779.560000062</v>
      </c>
      <c r="F29" s="178">
        <f>+AGOST!L104</f>
        <v>623095842.48000002</v>
      </c>
      <c r="G29" s="239">
        <f>+AGOST!M104</f>
        <v>506195878.05000001</v>
      </c>
      <c r="I29" s="211"/>
      <c r="J29" s="211"/>
      <c r="K29" s="212"/>
      <c r="L29" s="211"/>
      <c r="M29" s="211"/>
    </row>
    <row r="30" spans="1:13" s="96" customFormat="1" ht="18" customHeight="1" x14ac:dyDescent="0.25">
      <c r="A30" s="92" t="s">
        <v>594</v>
      </c>
      <c r="B30" s="178">
        <f>sigaf!K104-AGOST!K104</f>
        <v>-617828569.62</v>
      </c>
      <c r="C30" s="238">
        <f t="shared" si="2"/>
        <v>-0.4977480922178929</v>
      </c>
      <c r="D30" s="178">
        <f>+sigaf!J104</f>
        <v>0</v>
      </c>
      <c r="E30" s="178">
        <f t="shared" si="3"/>
        <v>-612175698.76999998</v>
      </c>
      <c r="F30" s="178">
        <f>+sigaf!L104</f>
        <v>10920143.710000001</v>
      </c>
      <c r="G30" s="239">
        <f>+sigaf!M104</f>
        <v>2443856.29</v>
      </c>
      <c r="I30" s="211"/>
      <c r="J30" s="211"/>
      <c r="K30" s="212"/>
      <c r="L30" s="211"/>
      <c r="M30" s="211"/>
    </row>
    <row r="31" spans="1:13" s="96" customFormat="1" ht="18" customHeight="1" thickBot="1" x14ac:dyDescent="0.3">
      <c r="A31" s="214"/>
      <c r="B31" s="215">
        <f>SUM(B22:B30)</f>
        <v>10920143.710000038</v>
      </c>
      <c r="C31" s="221"/>
      <c r="D31" s="215"/>
      <c r="E31" s="215">
        <f>SUM(E22:E30)</f>
        <v>10920143.710000038</v>
      </c>
      <c r="F31" s="215"/>
      <c r="G31" s="222"/>
      <c r="I31" s="211"/>
      <c r="J31" s="211"/>
      <c r="K31" s="212"/>
      <c r="L31" s="211"/>
      <c r="M31" s="211"/>
    </row>
    <row r="32" spans="1:13" s="96" customFormat="1" x14ac:dyDescent="0.25">
      <c r="A32" s="211"/>
      <c r="B32" s="211"/>
      <c r="C32" s="212"/>
      <c r="D32" s="211"/>
      <c r="E32" s="211"/>
      <c r="F32" s="212"/>
      <c r="G32" s="212"/>
      <c r="I32" s="211"/>
      <c r="J32" s="211"/>
      <c r="K32" s="212"/>
      <c r="L32" s="211"/>
      <c r="M32" s="211"/>
    </row>
    <row r="34" spans="1:13" ht="15.75" customHeight="1" thickBot="1" x14ac:dyDescent="0.3">
      <c r="A34" s="354" t="s">
        <v>637</v>
      </c>
      <c r="B34" s="354"/>
      <c r="C34" s="354"/>
      <c r="D34" s="354"/>
      <c r="E34" s="354"/>
      <c r="F34" s="354"/>
      <c r="G34" s="354"/>
    </row>
    <row r="35" spans="1:13" ht="26.25" thickBot="1" x14ac:dyDescent="0.3">
      <c r="A35" s="219" t="s">
        <v>1</v>
      </c>
      <c r="B35" s="220">
        <f>+[11]COMPARATIVO!B5</f>
        <v>11325587195</v>
      </c>
      <c r="C35" s="187"/>
      <c r="D35" s="187"/>
      <c r="E35" s="187"/>
      <c r="F35" s="187"/>
      <c r="G35" s="187"/>
    </row>
    <row r="36" spans="1:13" ht="15.75" customHeight="1" x14ac:dyDescent="0.25">
      <c r="A36" s="357" t="s">
        <v>578</v>
      </c>
      <c r="B36" s="355" t="s">
        <v>644</v>
      </c>
      <c r="C36" s="213"/>
      <c r="D36" s="207"/>
      <c r="E36" s="207"/>
      <c r="F36" s="207"/>
      <c r="G36" s="204"/>
    </row>
    <row r="37" spans="1:13" ht="26.25" x14ac:dyDescent="0.25">
      <c r="A37" s="358"/>
      <c r="B37" s="356"/>
      <c r="C37" s="235"/>
      <c r="D37" s="236" t="s">
        <v>553</v>
      </c>
      <c r="E37" s="236" t="s">
        <v>649</v>
      </c>
      <c r="F37" s="236" t="s">
        <v>650</v>
      </c>
      <c r="G37" s="237" t="s">
        <v>65</v>
      </c>
      <c r="J37" s="199"/>
    </row>
    <row r="38" spans="1:13" x14ac:dyDescent="0.25">
      <c r="A38" s="92" t="s">
        <v>569</v>
      </c>
      <c r="B38" s="178">
        <f>+'[11]ENERO 2019'!K182</f>
        <v>1129866383.6400001</v>
      </c>
      <c r="C38" s="238">
        <f t="shared" ref="C38:C46" si="4">B38/$B$35</f>
        <v>9.9762278474957264E-2</v>
      </c>
      <c r="D38" s="178">
        <f>+'ENERO 2019'!J182</f>
        <v>26735455.469999999</v>
      </c>
      <c r="E38" s="178">
        <f>+F38</f>
        <v>1124680217.5599999</v>
      </c>
      <c r="F38" s="178">
        <f>+'ENERO 2019'!L182</f>
        <v>1124680217.5599999</v>
      </c>
      <c r="G38" s="178">
        <f>+'ENERO 2019'!M182</f>
        <v>8470542064.0299997</v>
      </c>
      <c r="J38" s="199"/>
    </row>
    <row r="39" spans="1:13" x14ac:dyDescent="0.25">
      <c r="A39" s="92" t="s">
        <v>585</v>
      </c>
      <c r="B39" s="178">
        <f>+'[11]FEBRERO 2019'!K182-'[11]ENERO 2019'!K182</f>
        <v>801263470.6099999</v>
      </c>
      <c r="C39" s="238">
        <f t="shared" si="4"/>
        <v>7.074807308567102E-2</v>
      </c>
      <c r="D39" s="178">
        <f>+'FEBRERO 2019'!J182</f>
        <v>15912467.449999999</v>
      </c>
      <c r="E39" s="178">
        <f t="shared" ref="E39:E46" si="5">F39-F38</f>
        <v>751566149.32000017</v>
      </c>
      <c r="F39" s="178">
        <f>+'FEBRERO 2019'!L182</f>
        <v>1876246366.8800001</v>
      </c>
      <c r="G39" s="178">
        <f>+'FEBRERO 2019'!M182</f>
        <v>7887821154.3800001</v>
      </c>
      <c r="J39" s="199"/>
    </row>
    <row r="40" spans="1:13" x14ac:dyDescent="0.25">
      <c r="A40" s="92" t="s">
        <v>586</v>
      </c>
      <c r="B40" s="178">
        <f>+'[11]MARZO 2019'!K183-'[11]FEBRERO 2019'!K182</f>
        <v>711264358.17999983</v>
      </c>
      <c r="C40" s="238">
        <f t="shared" si="4"/>
        <v>6.2801543613915892E-2</v>
      </c>
      <c r="D40" s="178">
        <f>+'MARZO 2019'!J183</f>
        <v>5048142.54</v>
      </c>
      <c r="E40" s="178">
        <f t="shared" si="5"/>
        <v>754056791.94999981</v>
      </c>
      <c r="F40" s="178">
        <f>+'MARZO 2019'!L183</f>
        <v>2630303158.8299999</v>
      </c>
      <c r="G40" s="178">
        <f>+'MARZO 2019'!M183</f>
        <v>7341649809.8500004</v>
      </c>
      <c r="J40" s="199"/>
    </row>
    <row r="41" spans="1:13" x14ac:dyDescent="0.25">
      <c r="A41" s="92" t="s">
        <v>588</v>
      </c>
      <c r="B41" s="178">
        <f>+'[11]ABRIL 2019'!K183-'[11]MARZO 2019'!K183</f>
        <v>712246259.44000006</v>
      </c>
      <c r="C41" s="238">
        <f t="shared" si="4"/>
        <v>6.2888241216706303E-2</v>
      </c>
      <c r="D41" s="178">
        <f>+'ABRIL 2019'!J183</f>
        <v>6789084.2000000002</v>
      </c>
      <c r="E41" s="178">
        <f t="shared" si="5"/>
        <v>677442273.76000023</v>
      </c>
      <c r="F41" s="178">
        <f>+'ABRIL 2019'!L183</f>
        <v>3307745432.5900002</v>
      </c>
      <c r="G41" s="178">
        <f>+'ABRIL 2019'!M183</f>
        <v>6685332991.9399996</v>
      </c>
    </row>
    <row r="42" spans="1:13" x14ac:dyDescent="0.25">
      <c r="A42" s="92" t="s">
        <v>590</v>
      </c>
      <c r="B42" s="178">
        <f>+'[11]MAYO 2019'!K183-'[11]ABRIL 2019'!K183</f>
        <v>709363294.91000032</v>
      </c>
      <c r="C42" s="238">
        <f t="shared" si="4"/>
        <v>6.2633688010734559E-2</v>
      </c>
      <c r="D42" s="178">
        <f>+'MAYO 2019'!J183</f>
        <v>10448100.220000001</v>
      </c>
      <c r="E42" s="178">
        <f t="shared" si="5"/>
        <v>712338523.03999996</v>
      </c>
      <c r="F42" s="178">
        <f>+'MAYO 2019'!L183</f>
        <v>4020083955.6300001</v>
      </c>
      <c r="G42" s="178">
        <f>+'MAYO 2019'!M183</f>
        <v>6135953435.2799997</v>
      </c>
    </row>
    <row r="43" spans="1:13" x14ac:dyDescent="0.25">
      <c r="A43" s="92" t="s">
        <v>591</v>
      </c>
      <c r="B43" s="178">
        <f>+'[11]JUNIO 2019'!K183-'[11]MAYO 2019'!K183</f>
        <v>718076685.57000017</v>
      </c>
      <c r="C43" s="238">
        <f t="shared" si="4"/>
        <v>6.3403042438895829E-2</v>
      </c>
      <c r="D43" s="178">
        <f>+'JUNIO 2019'!J183</f>
        <v>8583941.0099999998</v>
      </c>
      <c r="E43" s="178">
        <f t="shared" si="5"/>
        <v>741813220.30000019</v>
      </c>
      <c r="F43" s="178">
        <f>+'JUNIO 2019'!L183</f>
        <v>4761897175.9300003</v>
      </c>
      <c r="G43" s="178">
        <f>+'JUNIO 2019'!M183</f>
        <v>5574807026.71</v>
      </c>
    </row>
    <row r="44" spans="1:13" x14ac:dyDescent="0.25">
      <c r="A44" s="92" t="s">
        <v>592</v>
      </c>
      <c r="B44" s="178">
        <f>+'[11]JULIO 2019'!K183-'[11]JUNIO 2019'!K183</f>
        <v>679753498.80999947</v>
      </c>
      <c r="C44" s="238">
        <f t="shared" si="4"/>
        <v>6.0019272034751173E-2</v>
      </c>
      <c r="D44" s="178">
        <f>+'JULIO 2019'!J183</f>
        <v>34696035.859999999</v>
      </c>
      <c r="E44" s="178">
        <f t="shared" si="5"/>
        <v>688441383.64999962</v>
      </c>
      <c r="F44" s="178">
        <f>+'JULIO 2019'!L183</f>
        <v>5450338559.5799999</v>
      </c>
      <c r="G44" s="178">
        <f>+'JULIO 2019'!M183</f>
        <v>4911602676.4200001</v>
      </c>
    </row>
    <row r="45" spans="1:13" x14ac:dyDescent="0.25">
      <c r="A45" s="92" t="s">
        <v>593</v>
      </c>
      <c r="B45" s="178">
        <f>+'[11]AGOSTO 2019'!K183-'[11]JULIO 2019'!K183</f>
        <v>762001627.89000034</v>
      </c>
      <c r="C45" s="238">
        <f t="shared" si="4"/>
        <v>6.7281423450292047E-2</v>
      </c>
      <c r="D45" s="178">
        <f>+AGOST!J183</f>
        <v>10791848.289999999</v>
      </c>
      <c r="E45" s="178">
        <f t="shared" si="5"/>
        <v>768915506.94999981</v>
      </c>
      <c r="F45" s="178">
        <f>+AGOST!L183</f>
        <v>6219254066.5299997</v>
      </c>
      <c r="G45" s="178">
        <f>+AGOST!M183</f>
        <v>4249128753.0799999</v>
      </c>
    </row>
    <row r="46" spans="1:13" x14ac:dyDescent="0.25">
      <c r="A46" s="92" t="s">
        <v>594</v>
      </c>
      <c r="B46" s="178">
        <f>+sigaf!K183-AGOST!K183</f>
        <v>-6219442316.5500002</v>
      </c>
      <c r="C46" s="238">
        <f t="shared" si="4"/>
        <v>-0.54914965639006763</v>
      </c>
      <c r="D46" s="178">
        <f>+sigaf!J183</f>
        <v>0</v>
      </c>
      <c r="E46" s="178">
        <f t="shared" si="5"/>
        <v>-6214860804.0299997</v>
      </c>
      <c r="F46" s="178">
        <f>+sigaf!L183</f>
        <v>4393262.5</v>
      </c>
      <c r="G46" s="178">
        <f>+sigaf!M183</f>
        <v>3424737.5</v>
      </c>
    </row>
    <row r="47" spans="1:13" ht="15.75" thickBot="1" x14ac:dyDescent="0.3">
      <c r="A47" s="214"/>
      <c r="B47" s="215">
        <f>SUM(B38:B46)</f>
        <v>4393262.5</v>
      </c>
      <c r="C47" s="221"/>
      <c r="D47" s="215"/>
      <c r="E47" s="215">
        <f>SUM(E38:E46)</f>
        <v>4393262.5</v>
      </c>
      <c r="F47" s="215"/>
      <c r="G47" s="222"/>
    </row>
    <row r="48" spans="1:13" ht="15.75" hidden="1" thickBot="1" x14ac:dyDescent="0.3">
      <c r="A48" s="359" t="s">
        <v>634</v>
      </c>
      <c r="B48" s="360"/>
      <c r="C48" s="198">
        <f>SUM(C38:C46)</f>
        <v>3.8790593585635857E-4</v>
      </c>
      <c r="D48" s="197"/>
      <c r="E48" s="197"/>
      <c r="F48" s="205"/>
      <c r="G48" s="209"/>
      <c r="I48" s="361" t="s">
        <v>634</v>
      </c>
      <c r="J48" s="362"/>
      <c r="K48" s="198">
        <f>SUM(C54:C62)</f>
        <v>9.873548131866805E-4</v>
      </c>
      <c r="L48" s="188"/>
      <c r="M48" s="206"/>
    </row>
    <row r="49" spans="1:7" ht="18.75" customHeight="1" x14ac:dyDescent="0.25"/>
    <row r="50" spans="1:7" ht="15.75" customHeight="1" thickBot="1" x14ac:dyDescent="0.3">
      <c r="A50" s="354" t="s">
        <v>635</v>
      </c>
      <c r="B50" s="354"/>
      <c r="C50" s="354"/>
      <c r="D50" s="354"/>
      <c r="E50" s="354"/>
      <c r="F50" s="354"/>
      <c r="G50" s="354"/>
    </row>
    <row r="51" spans="1:7" ht="26.25" thickBot="1" x14ac:dyDescent="0.3">
      <c r="A51" s="218" t="s">
        <v>1</v>
      </c>
      <c r="B51" s="217">
        <f>[11]COMPARATIVO!B6</f>
        <v>112163237755</v>
      </c>
      <c r="C51" s="187"/>
      <c r="D51" s="187"/>
      <c r="E51" s="187"/>
      <c r="F51" s="187"/>
      <c r="G51" s="187"/>
    </row>
    <row r="52" spans="1:7" x14ac:dyDescent="0.25">
      <c r="A52" s="357" t="s">
        <v>578</v>
      </c>
      <c r="B52" s="355" t="s">
        <v>644</v>
      </c>
      <c r="C52" s="213"/>
      <c r="D52" s="207"/>
      <c r="E52" s="207"/>
      <c r="F52" s="207"/>
      <c r="G52" s="204"/>
    </row>
    <row r="53" spans="1:7" ht="26.25" x14ac:dyDescent="0.25">
      <c r="A53" s="358"/>
      <c r="B53" s="356"/>
      <c r="C53" s="235"/>
      <c r="D53" s="236" t="s">
        <v>553</v>
      </c>
      <c r="E53" s="236" t="s">
        <v>649</v>
      </c>
      <c r="F53" s="236" t="s">
        <v>650</v>
      </c>
      <c r="G53" s="237" t="s">
        <v>65</v>
      </c>
    </row>
    <row r="54" spans="1:7" x14ac:dyDescent="0.25">
      <c r="A54" s="92" t="s">
        <v>569</v>
      </c>
      <c r="B54" s="178">
        <f>[11]Hoja10!L9</f>
        <v>9177986155.2900009</v>
      </c>
      <c r="C54" s="238">
        <f t="shared" ref="C54:C62" si="6">B54/$B$51</f>
        <v>8.1827043681973827E-2</v>
      </c>
      <c r="D54" s="178">
        <f>+'ENERO 2019'!J291</f>
        <v>308247108.77999997</v>
      </c>
      <c r="E54" s="178">
        <f>+F54</f>
        <v>8754246747.2600002</v>
      </c>
      <c r="F54" s="178">
        <f>+'ENERO 2019'!L291</f>
        <v>8754246747.2600002</v>
      </c>
      <c r="G54" s="239">
        <f>+'ENERO 2019'!M291</f>
        <v>78601118134.449997</v>
      </c>
    </row>
    <row r="55" spans="1:7" x14ac:dyDescent="0.25">
      <c r="A55" s="92" t="s">
        <v>585</v>
      </c>
      <c r="B55" s="178">
        <f>'[11]FEBRERO 2019'!K291-[11]Hoja10!L9</f>
        <v>7505709239</v>
      </c>
      <c r="C55" s="238">
        <f t="shared" si="6"/>
        <v>6.6917729812640075E-2</v>
      </c>
      <c r="D55" s="178">
        <f>+'FEBRERO 2019'!J291</f>
        <v>165605428.21000001</v>
      </c>
      <c r="E55" s="178">
        <f t="shared" ref="E55:E62" si="7">F55-F54</f>
        <v>6886601150.3400002</v>
      </c>
      <c r="F55" s="178">
        <f>+'FEBRERO 2019'!L291</f>
        <v>15640847897.6</v>
      </c>
      <c r="G55" s="239">
        <f>+'FEBRERO 2019'!M291</f>
        <v>74115647653.570007</v>
      </c>
    </row>
    <row r="56" spans="1:7" x14ac:dyDescent="0.25">
      <c r="A56" s="92" t="s">
        <v>586</v>
      </c>
      <c r="B56" s="185">
        <f>'[11]MARZO 2019'!K292-'[11]FEBRERO 2019'!K291</f>
        <v>6081277239.1899986</v>
      </c>
      <c r="C56" s="238">
        <f t="shared" si="6"/>
        <v>5.4218096418306258E-2</v>
      </c>
      <c r="D56" s="185">
        <f>+'MARZO 2019'!J292</f>
        <v>256926796.47</v>
      </c>
      <c r="E56" s="185">
        <f t="shared" si="7"/>
        <v>7013525292.1999989</v>
      </c>
      <c r="F56" s="185">
        <f>+'MARZO 2019'!L292</f>
        <v>22654373189.799999</v>
      </c>
      <c r="G56" s="239">
        <f>+'MARZO 2019'!M292</f>
        <v>76089922383.940002</v>
      </c>
    </row>
    <row r="57" spans="1:7" x14ac:dyDescent="0.25">
      <c r="A57" s="92" t="s">
        <v>588</v>
      </c>
      <c r="B57" s="178">
        <f>'[11]ABRIL 2019'!K292-'[11]MARZO 2019'!K292</f>
        <v>6216354916.8199997</v>
      </c>
      <c r="C57" s="238">
        <f t="shared" si="6"/>
        <v>5.542239187494289E-2</v>
      </c>
      <c r="D57" s="178">
        <f>+'ABRIL 2019'!J292</f>
        <v>204626191.80000001</v>
      </c>
      <c r="E57" s="178">
        <f t="shared" si="7"/>
        <v>5783185903.2200012</v>
      </c>
      <c r="F57" s="178">
        <f>+'ABRIL 2019'!L292</f>
        <v>28437559093.02</v>
      </c>
      <c r="G57" s="239">
        <f>+'ABRIL 2019'!M292</f>
        <v>67613918128.610001</v>
      </c>
    </row>
    <row r="58" spans="1:7" x14ac:dyDescent="0.25">
      <c r="A58" s="92" t="s">
        <v>590</v>
      </c>
      <c r="B58" s="178">
        <f>'[11]MAYO 2019'!K292-'[11]ABRIL 2019'!K292</f>
        <v>7769552101.3999977</v>
      </c>
      <c r="C58" s="238">
        <f t="shared" si="6"/>
        <v>6.9270041208788546E-2</v>
      </c>
      <c r="D58" s="178">
        <f>+'MAYO 2019'!J292</f>
        <v>478752079.41000003</v>
      </c>
      <c r="E58" s="178">
        <f t="shared" si="7"/>
        <v>7579913881.1400032</v>
      </c>
      <c r="F58" s="178">
        <f>+'MAYO 2019'!L292</f>
        <v>36017472974.160004</v>
      </c>
      <c r="G58" s="239">
        <f>+'MAYO 2019'!M292</f>
        <v>61734871288.629997</v>
      </c>
    </row>
    <row r="59" spans="1:7" x14ac:dyDescent="0.25">
      <c r="A59" s="92" t="s">
        <v>591</v>
      </c>
      <c r="B59" s="178">
        <f>'[11]JUNIO 2019'!K293-'[11]MAYO 2019'!K292</f>
        <v>7599839270.3500061</v>
      </c>
      <c r="C59" s="238">
        <f t="shared" si="6"/>
        <v>6.7756953369609921E-2</v>
      </c>
      <c r="D59" s="178">
        <f>+'JUNIO 2019'!J293</f>
        <v>401776419.77999997</v>
      </c>
      <c r="E59" s="178">
        <f t="shared" si="7"/>
        <v>7919162250.8099976</v>
      </c>
      <c r="F59" s="178">
        <f>+'JUNIO 2019'!L293</f>
        <v>43936635224.970001</v>
      </c>
      <c r="G59" s="239">
        <f>+'JUNIO 2019'!M293</f>
        <v>56674783767.239998</v>
      </c>
    </row>
    <row r="60" spans="1:7" x14ac:dyDescent="0.25">
      <c r="A60" s="92" t="s">
        <v>592</v>
      </c>
      <c r="B60" s="178">
        <f>'[11]JULIO 2019'!K293-'[11]JUNIO 2019'!K293</f>
        <v>5546817291.5299988</v>
      </c>
      <c r="C60" s="238">
        <f t="shared" si="6"/>
        <v>4.9453077519445388E-2</v>
      </c>
      <c r="D60" s="178">
        <f>+'JULIO 2019'!J293</f>
        <v>320483196.42000002</v>
      </c>
      <c r="E60" s="178">
        <f t="shared" si="7"/>
        <v>5458800643.0400009</v>
      </c>
      <c r="F60" s="178">
        <f>+'JULIO 2019'!L293</f>
        <v>49395435868.010002</v>
      </c>
      <c r="G60" s="239">
        <f>+'JULIO 2019'!M293</f>
        <v>44177342248.57</v>
      </c>
    </row>
    <row r="61" spans="1:7" x14ac:dyDescent="0.25">
      <c r="A61" s="92" t="s">
        <v>593</v>
      </c>
      <c r="B61" s="178">
        <f>'[11]AGOSTO 2019'!K293-'[11]JULIO 2019'!K293</f>
        <v>14443197344.290001</v>
      </c>
      <c r="C61" s="238">
        <f t="shared" si="6"/>
        <v>0.12876944026739415</v>
      </c>
      <c r="D61" s="178">
        <f>+AGOST!J293</f>
        <v>475211326.99000001</v>
      </c>
      <c r="E61" s="178">
        <f t="shared" si="7"/>
        <v>14719582194.089996</v>
      </c>
      <c r="F61" s="178">
        <f>+AGOST!L293</f>
        <v>64115018062.099998</v>
      </c>
      <c r="G61" s="239">
        <f>+AGOST!M293</f>
        <v>34706944237.760002</v>
      </c>
    </row>
    <row r="62" spans="1:7" x14ac:dyDescent="0.25">
      <c r="A62" s="92" t="s">
        <v>594</v>
      </c>
      <c r="B62" s="178">
        <f>+sigaf!K293-AGOST!K293</f>
        <v>-64229988645.209999</v>
      </c>
      <c r="C62" s="238">
        <f t="shared" si="6"/>
        <v>-0.57264741933991437</v>
      </c>
      <c r="D62" s="178">
        <f>+sigaf!J293</f>
        <v>0</v>
      </c>
      <c r="E62" s="178">
        <f t="shared" si="7"/>
        <v>-64004273149.439995</v>
      </c>
      <c r="F62" s="178">
        <f>+sigaf!L293</f>
        <v>110744912.66</v>
      </c>
      <c r="G62" s="239">
        <f>+sigaf!M293</f>
        <v>2717087.34</v>
      </c>
    </row>
    <row r="63" spans="1:7" ht="15.75" thickBot="1" x14ac:dyDescent="0.3">
      <c r="A63" s="214"/>
      <c r="B63" s="215">
        <f>SUM(B54:B62)</f>
        <v>110744912.66000366</v>
      </c>
      <c r="C63" s="221"/>
      <c r="D63" s="215"/>
      <c r="E63" s="215">
        <f>SUM(E54:E62)</f>
        <v>110744912.66000366</v>
      </c>
      <c r="F63" s="215"/>
      <c r="G63" s="222"/>
    </row>
    <row r="65" spans="1:10" ht="26.25" customHeight="1" thickBot="1" x14ac:dyDescent="0.3">
      <c r="A65" s="354" t="s">
        <v>638</v>
      </c>
      <c r="B65" s="354"/>
      <c r="C65" s="354"/>
      <c r="D65" s="354"/>
      <c r="E65" s="354"/>
      <c r="F65" s="354"/>
      <c r="G65" s="354"/>
    </row>
    <row r="66" spans="1:10" ht="26.25" customHeight="1" thickBot="1" x14ac:dyDescent="0.3">
      <c r="A66" s="219" t="s">
        <v>1</v>
      </c>
      <c r="B66" s="220">
        <f>+[11]COMPARATIVO!B7</f>
        <v>13313316000</v>
      </c>
      <c r="C66" s="187"/>
      <c r="D66" s="187"/>
      <c r="E66" s="187"/>
      <c r="F66" s="187"/>
      <c r="G66" s="187"/>
      <c r="J66" s="199"/>
    </row>
    <row r="67" spans="1:10" x14ac:dyDescent="0.25">
      <c r="A67" s="357" t="s">
        <v>578</v>
      </c>
      <c r="B67" s="355" t="s">
        <v>647</v>
      </c>
      <c r="C67" s="213"/>
      <c r="D67" s="207"/>
      <c r="E67" s="207"/>
      <c r="F67" s="207"/>
      <c r="G67" s="204"/>
    </row>
    <row r="68" spans="1:10" ht="39" x14ac:dyDescent="0.25">
      <c r="A68" s="358"/>
      <c r="B68" s="356"/>
      <c r="C68" s="235"/>
      <c r="D68" s="236" t="s">
        <v>646</v>
      </c>
      <c r="E68" s="236" t="s">
        <v>649</v>
      </c>
      <c r="F68" s="236" t="s">
        <v>650</v>
      </c>
      <c r="G68" s="237" t="s">
        <v>645</v>
      </c>
    </row>
    <row r="69" spans="1:10" x14ac:dyDescent="0.25">
      <c r="A69" s="92" t="s">
        <v>569</v>
      </c>
      <c r="B69" s="178">
        <f>+'[11]ENERO 2019'!K420</f>
        <v>1629058459.9300001</v>
      </c>
      <c r="C69" s="238">
        <f t="shared" ref="C69:C77" si="8">B69/$B$66</f>
        <v>0.12236308819906326</v>
      </c>
      <c r="D69" s="178">
        <f>+'ENERO 2019'!J420</f>
        <v>0</v>
      </c>
      <c r="E69" s="178">
        <f>+F69</f>
        <v>1629058459.9300001</v>
      </c>
      <c r="F69" s="178">
        <f>+'ENERO 2019'!L420</f>
        <v>1629058459.9300001</v>
      </c>
      <c r="G69" s="178">
        <f>+'ENERO 2019'!M420</f>
        <v>10036566009.860001</v>
      </c>
      <c r="I69" s="199"/>
      <c r="J69" s="208"/>
    </row>
    <row r="70" spans="1:10" x14ac:dyDescent="0.25">
      <c r="A70" s="92" t="s">
        <v>585</v>
      </c>
      <c r="B70" s="178">
        <f>+'[11]FEBRERO 2019'!K420-'[11]ENERO 2019'!K420</f>
        <v>1071667136.03</v>
      </c>
      <c r="C70" s="238">
        <f t="shared" si="8"/>
        <v>8.0495883672407384E-2</v>
      </c>
      <c r="D70" s="178">
        <f>+'FEBRERO 2019'!J420</f>
        <v>0</v>
      </c>
      <c r="E70" s="178">
        <f t="shared" ref="E70:E77" si="9">F70-F69</f>
        <v>1071667136.03</v>
      </c>
      <c r="F70" s="178">
        <f>+'FEBRERO 2019'!L420</f>
        <v>2700725595.96</v>
      </c>
      <c r="G70" s="178">
        <f>+'FEBRERO 2019'!M420</f>
        <v>9298691192.0200005</v>
      </c>
    </row>
    <row r="71" spans="1:10" x14ac:dyDescent="0.25">
      <c r="A71" s="92" t="s">
        <v>586</v>
      </c>
      <c r="B71" s="178">
        <f>+'[11]MARZO 2019'!K424-'[11]FEBRERO 2019'!K420</f>
        <v>888233377.96000004</v>
      </c>
      <c r="C71" s="238">
        <f t="shared" si="8"/>
        <v>6.6717666579836313E-2</v>
      </c>
      <c r="D71" s="178">
        <f>+'MARZO 2019'!J424</f>
        <v>0</v>
      </c>
      <c r="E71" s="178">
        <f t="shared" si="9"/>
        <v>888233377.96000004</v>
      </c>
      <c r="F71" s="178">
        <f>+'MARZO 2019'!L424</f>
        <v>3588958973.9200001</v>
      </c>
      <c r="G71" s="178">
        <f>+'MARZO 2019'!M424</f>
        <v>8564339048.29</v>
      </c>
    </row>
    <row r="72" spans="1:10" x14ac:dyDescent="0.25">
      <c r="A72" s="92" t="s">
        <v>588</v>
      </c>
      <c r="B72" s="178">
        <f>+'[11]ABRIL 2019'!K424-'[11]MARZO 2019'!K424</f>
        <v>888276531.60000038</v>
      </c>
      <c r="C72" s="238">
        <f t="shared" si="8"/>
        <v>6.6720907969134088E-2</v>
      </c>
      <c r="D72" s="178">
        <f>+'ABRIL 2019'!J424</f>
        <v>0</v>
      </c>
      <c r="E72" s="178">
        <f t="shared" si="9"/>
        <v>888276531.60000038</v>
      </c>
      <c r="F72" s="178">
        <f>+'ABRIL 2019'!L424</f>
        <v>4477235505.5200005</v>
      </c>
      <c r="G72" s="178">
        <f>+'ABRIL 2019'!M424</f>
        <v>7763445183.7299995</v>
      </c>
    </row>
    <row r="73" spans="1:10" x14ac:dyDescent="0.25">
      <c r="A73" s="92" t="s">
        <v>590</v>
      </c>
      <c r="B73" s="178">
        <f>+'[11]MAYO 2019'!K424-'[11]ABRIL 2019'!K424</f>
        <v>904783006.15999985</v>
      </c>
      <c r="C73" s="238">
        <f t="shared" si="8"/>
        <v>6.7960754943396512E-2</v>
      </c>
      <c r="D73" s="178">
        <f>+'MAYO 2019'!J424</f>
        <v>0</v>
      </c>
      <c r="E73" s="178">
        <f t="shared" si="9"/>
        <v>904783006.15999985</v>
      </c>
      <c r="F73" s="178">
        <f>+'MAYO 2019'!L424</f>
        <v>5382018511.6800003</v>
      </c>
      <c r="G73" s="178">
        <f>+'MAYO 2019'!M424</f>
        <v>7032657413.7299995</v>
      </c>
    </row>
    <row r="74" spans="1:10" x14ac:dyDescent="0.25">
      <c r="A74" s="92" t="s">
        <v>591</v>
      </c>
      <c r="B74" s="178">
        <f>+'[11]JUNIO 2019'!K426-'[11]MAYO 2019'!K424</f>
        <v>900957334.67999935</v>
      </c>
      <c r="C74" s="238">
        <f t="shared" si="8"/>
        <v>6.7673398173678095E-2</v>
      </c>
      <c r="D74" s="178">
        <f>+'JUNIO 2019'!J426</f>
        <v>0</v>
      </c>
      <c r="E74" s="178">
        <f t="shared" si="9"/>
        <v>900957334.67999935</v>
      </c>
      <c r="F74" s="178">
        <f>+'JUNIO 2019'!L426</f>
        <v>6282975846.3599997</v>
      </c>
      <c r="G74" s="178">
        <f>+'JUNIO 2019'!M426</f>
        <v>6310549122.8000002</v>
      </c>
    </row>
    <row r="75" spans="1:10" x14ac:dyDescent="0.25">
      <c r="A75" s="92" t="s">
        <v>592</v>
      </c>
      <c r="B75" s="178">
        <f>+'[11]JULIO 2019'!K426-'[11]JUNIO 2019'!K426</f>
        <v>926475617.75</v>
      </c>
      <c r="C75" s="238">
        <f t="shared" si="8"/>
        <v>6.9590147018969581E-2</v>
      </c>
      <c r="D75" s="178">
        <f>+'JULIO 2019'!J426</f>
        <v>0</v>
      </c>
      <c r="E75" s="178">
        <f t="shared" si="9"/>
        <v>926475617.75</v>
      </c>
      <c r="F75" s="178">
        <f>+'JULIO 2019'!L426</f>
        <v>7209451464.1099997</v>
      </c>
      <c r="G75" s="178">
        <f>+'JULIO 2019'!M426</f>
        <v>5501788490.1499996</v>
      </c>
    </row>
    <row r="76" spans="1:10" ht="15.75" customHeight="1" x14ac:dyDescent="0.25">
      <c r="A76" s="92" t="s">
        <v>593</v>
      </c>
      <c r="B76" s="178">
        <f>+'[11]AGOSTO 2019'!K426-'[11]JULIO 2019'!K426</f>
        <v>919323453.20000076</v>
      </c>
      <c r="C76" s="238">
        <f t="shared" si="8"/>
        <v>6.9052928151033199E-2</v>
      </c>
      <c r="D76" s="178">
        <f>+AGOST!J426</f>
        <v>0</v>
      </c>
      <c r="E76" s="178">
        <f t="shared" si="9"/>
        <v>895828127.88000011</v>
      </c>
      <c r="F76" s="178">
        <f>+AGOST!L426</f>
        <v>8105279591.9899998</v>
      </c>
      <c r="G76" s="178">
        <f>+AGOST!M426</f>
        <v>4749481243.6800003</v>
      </c>
    </row>
    <row r="77" spans="1:10" x14ac:dyDescent="0.25">
      <c r="A77" s="92" t="s">
        <v>594</v>
      </c>
      <c r="B77" s="178">
        <f>+sigaf!K427-AGOST!K426</f>
        <v>-7598774917.3100004</v>
      </c>
      <c r="C77" s="238">
        <f t="shared" si="8"/>
        <v>-0.5707650083052187</v>
      </c>
      <c r="D77" s="178">
        <f>+sigaf!J427</f>
        <v>0</v>
      </c>
      <c r="E77" s="178">
        <f t="shared" si="9"/>
        <v>-7575279591.9899998</v>
      </c>
      <c r="F77" s="178">
        <f>+sigaf!L427</f>
        <v>530000000</v>
      </c>
      <c r="G77" s="178">
        <f>+sigaf!M427</f>
        <v>0</v>
      </c>
      <c r="I77" s="199"/>
    </row>
    <row r="78" spans="1:10" ht="28.5" customHeight="1" thickBot="1" x14ac:dyDescent="0.3">
      <c r="A78" s="240"/>
      <c r="B78" s="241">
        <f>SUM(B69:B77)</f>
        <v>530000000</v>
      </c>
      <c r="C78" s="241"/>
      <c r="D78" s="241"/>
      <c r="E78" s="241">
        <f>SUM(E69:E77)</f>
        <v>530000000</v>
      </c>
      <c r="F78" s="241"/>
      <c r="G78" s="216"/>
      <c r="J78" s="208"/>
    </row>
    <row r="79" spans="1:10" ht="15.75" hidden="1" thickBot="1" x14ac:dyDescent="0.3">
      <c r="A79" s="359" t="s">
        <v>634</v>
      </c>
      <c r="B79" s="360"/>
      <c r="C79" s="198">
        <f>SUM(C69:C77)</f>
        <v>3.9809766402299829E-2</v>
      </c>
      <c r="D79" s="197"/>
      <c r="E79" s="197"/>
      <c r="F79" s="205"/>
      <c r="G79" s="209"/>
    </row>
    <row r="81" spans="2:10" hidden="1" x14ac:dyDescent="0.25"/>
    <row r="82" spans="2:10" hidden="1" x14ac:dyDescent="0.25"/>
    <row r="83" spans="2:10" hidden="1" x14ac:dyDescent="0.25"/>
    <row r="84" spans="2:10" hidden="1" x14ac:dyDescent="0.25"/>
    <row r="85" spans="2:10" hidden="1" x14ac:dyDescent="0.25">
      <c r="B85" s="199">
        <f t="shared" ref="B85:B93" si="10">B5+B22+B38+B54+B69</f>
        <v>12292861912.77</v>
      </c>
    </row>
    <row r="86" spans="2:10" hidden="1" x14ac:dyDescent="0.25">
      <c r="B86" s="199">
        <f t="shared" si="10"/>
        <v>9602814468.9799995</v>
      </c>
      <c r="J86" s="199"/>
    </row>
    <row r="87" spans="2:10" ht="15.75" hidden="1" customHeight="1" x14ac:dyDescent="0.25">
      <c r="B87" s="199">
        <f t="shared" si="10"/>
        <v>7879075254.9199982</v>
      </c>
    </row>
    <row r="88" spans="2:10" hidden="1" x14ac:dyDescent="0.25">
      <c r="B88" s="199">
        <f t="shared" si="10"/>
        <v>8079768525.4099998</v>
      </c>
    </row>
    <row r="89" spans="2:10" ht="15.75" hidden="1" customHeight="1" x14ac:dyDescent="0.25">
      <c r="B89" s="199">
        <f t="shared" si="10"/>
        <v>9628146295.5899982</v>
      </c>
    </row>
    <row r="90" spans="2:10" hidden="1" x14ac:dyDescent="0.25">
      <c r="B90" s="199">
        <f t="shared" si="10"/>
        <v>9456347081.8300056</v>
      </c>
      <c r="J90" s="199"/>
    </row>
    <row r="91" spans="2:10" hidden="1" x14ac:dyDescent="0.25">
      <c r="B91" s="199">
        <f t="shared" si="10"/>
        <v>7391606254.7499981</v>
      </c>
    </row>
    <row r="92" spans="2:10" hidden="1" x14ac:dyDescent="0.25">
      <c r="B92" s="199">
        <f t="shared" si="10"/>
        <v>16354234271.940002</v>
      </c>
    </row>
    <row r="93" spans="2:10" hidden="1" x14ac:dyDescent="0.25">
      <c r="B93" s="199">
        <f t="shared" si="10"/>
        <v>-77881532571.130005</v>
      </c>
    </row>
    <row r="94" spans="2:10" hidden="1" x14ac:dyDescent="0.25">
      <c r="B94" s="199">
        <f t="shared" ref="B94" si="11">B14+B31+B47+B63+B78</f>
        <v>2803321495.0600038</v>
      </c>
    </row>
    <row r="95" spans="2:10" x14ac:dyDescent="0.25">
      <c r="J95" s="208"/>
    </row>
    <row r="106" spans="1:10" x14ac:dyDescent="0.25">
      <c r="J106" s="199"/>
    </row>
    <row r="107" spans="1:10" x14ac:dyDescent="0.25">
      <c r="J107" s="199"/>
    </row>
    <row r="108" spans="1:10" x14ac:dyDescent="0.25">
      <c r="J108" s="199"/>
    </row>
    <row r="109" spans="1:10" x14ac:dyDescent="0.25">
      <c r="J109" s="199"/>
    </row>
    <row r="110" spans="1:10" x14ac:dyDescent="0.25">
      <c r="J110" s="199"/>
    </row>
    <row r="111" spans="1:10" ht="15.75" thickBot="1" x14ac:dyDescent="0.3">
      <c r="A111" s="353" t="s">
        <v>648</v>
      </c>
      <c r="B111" s="353"/>
      <c r="C111" s="353"/>
      <c r="D111" s="353"/>
      <c r="E111" s="353"/>
      <c r="F111" s="353"/>
      <c r="G111" s="353"/>
    </row>
    <row r="112" spans="1:10" ht="15.75" thickBot="1" x14ac:dyDescent="0.3">
      <c r="A112" s="200" t="s">
        <v>578</v>
      </c>
      <c r="B112" s="232" t="s">
        <v>642</v>
      </c>
      <c r="F112" s="232" t="s">
        <v>578</v>
      </c>
      <c r="G112" s="232" t="s">
        <v>643</v>
      </c>
      <c r="I112" s="226"/>
      <c r="J112" s="226"/>
    </row>
    <row r="113" spans="1:13" ht="15.75" thickBot="1" x14ac:dyDescent="0.3">
      <c r="A113" s="186" t="s">
        <v>569</v>
      </c>
      <c r="B113" s="231">
        <f t="shared" ref="B113:B121" si="12">F5+F22+F38+F54+F69</f>
        <v>11839559186.52</v>
      </c>
      <c r="F113" s="242" t="s">
        <v>569</v>
      </c>
      <c r="G113" s="231">
        <f>SUM(B85)</f>
        <v>12292861912.77</v>
      </c>
      <c r="I113" s="227"/>
      <c r="J113" s="228"/>
    </row>
    <row r="114" spans="1:13" ht="15.75" thickBot="1" x14ac:dyDescent="0.3">
      <c r="A114" s="186" t="s">
        <v>585</v>
      </c>
      <c r="B114" s="203">
        <f t="shared" si="12"/>
        <v>20780694020.18</v>
      </c>
      <c r="F114" s="186" t="s">
        <v>585</v>
      </c>
      <c r="G114" s="203">
        <f>SUM(B85:B86)</f>
        <v>21895676381.75</v>
      </c>
      <c r="I114" s="227"/>
      <c r="J114" s="228"/>
    </row>
    <row r="115" spans="1:13" ht="15.75" thickBot="1" x14ac:dyDescent="0.3">
      <c r="A115" s="186" t="s">
        <v>586</v>
      </c>
      <c r="B115" s="203">
        <f t="shared" si="12"/>
        <v>29646745038.5</v>
      </c>
      <c r="F115" s="186" t="s">
        <v>586</v>
      </c>
      <c r="G115" s="203">
        <f>SUM(B85:B87)</f>
        <v>29774751636.669998</v>
      </c>
      <c r="I115" s="227"/>
      <c r="J115" s="228"/>
      <c r="M115" s="199"/>
    </row>
    <row r="116" spans="1:13" ht="15.75" customHeight="1" thickBot="1" x14ac:dyDescent="0.3">
      <c r="A116" s="186" t="s">
        <v>588</v>
      </c>
      <c r="B116" s="203">
        <f t="shared" si="12"/>
        <v>37241467469.910004</v>
      </c>
      <c r="F116" s="186" t="s">
        <v>588</v>
      </c>
      <c r="G116" s="203">
        <f>SUM(B85:B88)</f>
        <v>37854520162.080002</v>
      </c>
      <c r="I116" s="227"/>
      <c r="J116" s="228"/>
    </row>
    <row r="117" spans="1:13" ht="15" customHeight="1" thickBot="1" x14ac:dyDescent="0.3">
      <c r="A117" s="186" t="s">
        <v>590</v>
      </c>
      <c r="B117" s="203">
        <f t="shared" si="12"/>
        <v>46688607532.390007</v>
      </c>
      <c r="F117" s="186" t="s">
        <v>590</v>
      </c>
      <c r="G117" s="203">
        <f>SUM(B85:B89)</f>
        <v>47482666457.669998</v>
      </c>
      <c r="I117" s="227"/>
      <c r="J117" s="228"/>
    </row>
    <row r="118" spans="1:13" ht="15.75" thickBot="1" x14ac:dyDescent="0.3">
      <c r="A118" s="186" t="s">
        <v>591</v>
      </c>
      <c r="B118" s="203">
        <f t="shared" si="12"/>
        <v>56496238612.130005</v>
      </c>
      <c r="F118" s="186" t="s">
        <v>591</v>
      </c>
      <c r="G118" s="203">
        <f>SUM(B85:B90)</f>
        <v>56939013539.5</v>
      </c>
      <c r="I118" s="227"/>
      <c r="J118" s="228"/>
    </row>
    <row r="119" spans="1:13" ht="15.75" thickBot="1" x14ac:dyDescent="0.3">
      <c r="A119" s="186" t="s">
        <v>592</v>
      </c>
      <c r="B119" s="203">
        <f t="shared" si="12"/>
        <v>63810362333.93</v>
      </c>
      <c r="F119" s="186" t="s">
        <v>592</v>
      </c>
      <c r="G119" s="203">
        <f>SUM(B85:B91)</f>
        <v>64330619794.25</v>
      </c>
      <c r="I119" s="227"/>
      <c r="J119" s="228"/>
    </row>
    <row r="120" spans="1:13" ht="15.75" thickBot="1" x14ac:dyDescent="0.3">
      <c r="A120" s="186" t="s">
        <v>593</v>
      </c>
      <c r="B120" s="203">
        <f t="shared" si="12"/>
        <v>80418972427.710007</v>
      </c>
      <c r="F120" s="186" t="s">
        <v>593</v>
      </c>
      <c r="G120" s="203">
        <f>SUM(B85:B92)</f>
        <v>80684854066.190002</v>
      </c>
      <c r="I120" s="227"/>
      <c r="J120" s="228"/>
    </row>
    <row r="121" spans="1:13" ht="15.75" thickBot="1" x14ac:dyDescent="0.3">
      <c r="A121" s="202" t="s">
        <v>594</v>
      </c>
      <c r="B121" s="203">
        <f t="shared" si="12"/>
        <v>2753379031.3299999</v>
      </c>
      <c r="F121" s="202" t="s">
        <v>594</v>
      </c>
      <c r="G121" s="203">
        <f>B14+B31+B47+B63+B78</f>
        <v>2803321495.0600038</v>
      </c>
      <c r="I121" s="227"/>
      <c r="J121" s="228"/>
    </row>
    <row r="122" spans="1:13" ht="15.75" thickBot="1" x14ac:dyDescent="0.3">
      <c r="I122" s="229"/>
      <c r="J122" s="230"/>
    </row>
    <row r="123" spans="1:13" ht="27" thickBot="1" x14ac:dyDescent="0.3">
      <c r="A123" s="200" t="s">
        <v>578</v>
      </c>
      <c r="B123" s="232" t="s">
        <v>641</v>
      </c>
      <c r="F123" s="200" t="s">
        <v>578</v>
      </c>
      <c r="G123" s="233" t="s">
        <v>65</v>
      </c>
      <c r="J123" s="199">
        <f>F78+F63+F47+F31+F14</f>
        <v>0</v>
      </c>
    </row>
    <row r="124" spans="1:13" x14ac:dyDescent="0.25">
      <c r="A124" s="186" t="s">
        <v>569</v>
      </c>
      <c r="B124" s="234">
        <f t="shared" ref="B124:B132" si="13">D5+D22+D54+D38+D69</f>
        <v>335067188.25</v>
      </c>
      <c r="F124" s="186" t="s">
        <v>569</v>
      </c>
      <c r="G124" s="201">
        <f t="shared" ref="G124:G132" si="14">G5+G22+G38+G54+G69</f>
        <v>99956601394.009995</v>
      </c>
    </row>
    <row r="125" spans="1:13" x14ac:dyDescent="0.25">
      <c r="A125" s="186" t="s">
        <v>585</v>
      </c>
      <c r="B125" s="201">
        <f t="shared" si="13"/>
        <v>181889321.66</v>
      </c>
      <c r="F125" s="186" t="s">
        <v>585</v>
      </c>
      <c r="G125" s="201">
        <f t="shared" si="14"/>
        <v>94032076408.160019</v>
      </c>
    </row>
    <row r="126" spans="1:13" x14ac:dyDescent="0.25">
      <c r="A126" s="186" t="s">
        <v>586</v>
      </c>
      <c r="B126" s="201">
        <f t="shared" si="13"/>
        <v>263853991.16</v>
      </c>
      <c r="F126" s="186" t="s">
        <v>586</v>
      </c>
      <c r="G126" s="201">
        <f t="shared" si="14"/>
        <v>94584795783.050003</v>
      </c>
    </row>
    <row r="127" spans="1:13" x14ac:dyDescent="0.25">
      <c r="A127" s="186" t="s">
        <v>588</v>
      </c>
      <c r="B127" s="201">
        <f t="shared" si="13"/>
        <v>212322471.77000001</v>
      </c>
      <c r="F127" s="186" t="s">
        <v>588</v>
      </c>
      <c r="G127" s="201">
        <f t="shared" si="14"/>
        <v>84257153666.389999</v>
      </c>
    </row>
    <row r="128" spans="1:13" x14ac:dyDescent="0.25">
      <c r="A128" s="186" t="s">
        <v>590</v>
      </c>
      <c r="B128" s="201">
        <f t="shared" si="13"/>
        <v>490552471.35000008</v>
      </c>
      <c r="F128" s="186" t="s">
        <v>590</v>
      </c>
      <c r="G128" s="201">
        <f t="shared" si="14"/>
        <v>76951056095.289993</v>
      </c>
    </row>
    <row r="129" spans="1:7" x14ac:dyDescent="0.25">
      <c r="A129" s="186" t="s">
        <v>591</v>
      </c>
      <c r="B129" s="201">
        <f t="shared" si="13"/>
        <v>413587339.02999997</v>
      </c>
      <c r="F129" s="186" t="s">
        <v>591</v>
      </c>
      <c r="G129" s="201">
        <f t="shared" si="14"/>
        <v>70474920845.259995</v>
      </c>
    </row>
    <row r="130" spans="1:7" x14ac:dyDescent="0.25">
      <c r="A130" s="186" t="s">
        <v>592</v>
      </c>
      <c r="B130" s="201">
        <f t="shared" si="13"/>
        <v>355864506.11000001</v>
      </c>
      <c r="F130" s="186" t="s">
        <v>592</v>
      </c>
      <c r="G130" s="201">
        <f t="shared" si="14"/>
        <v>56159457358.260002</v>
      </c>
    </row>
    <row r="131" spans="1:7" x14ac:dyDescent="0.25">
      <c r="A131" s="186" t="s">
        <v>593</v>
      </c>
      <c r="B131" s="201">
        <f t="shared" si="13"/>
        <v>494087215.41000003</v>
      </c>
      <c r="F131" s="186" t="s">
        <v>593</v>
      </c>
      <c r="G131" s="201">
        <f t="shared" si="14"/>
        <v>45128478461.459999</v>
      </c>
    </row>
    <row r="132" spans="1:7" ht="15.75" thickBot="1" x14ac:dyDescent="0.3">
      <c r="A132" s="202" t="s">
        <v>594</v>
      </c>
      <c r="B132" s="203">
        <f t="shared" si="13"/>
        <v>0</v>
      </c>
      <c r="F132" s="202" t="s">
        <v>594</v>
      </c>
      <c r="G132" s="201">
        <f t="shared" si="14"/>
        <v>266964736.94</v>
      </c>
    </row>
  </sheetData>
  <mergeCells count="21">
    <mergeCell ref="I48:J48"/>
    <mergeCell ref="I15:J15"/>
    <mergeCell ref="A3:A4"/>
    <mergeCell ref="B3:B4"/>
    <mergeCell ref="A15:B15"/>
    <mergeCell ref="A111:G111"/>
    <mergeCell ref="A1:G1"/>
    <mergeCell ref="B67:B68"/>
    <mergeCell ref="A67:A68"/>
    <mergeCell ref="A34:G34"/>
    <mergeCell ref="A18:G18"/>
    <mergeCell ref="A50:G50"/>
    <mergeCell ref="A65:G65"/>
    <mergeCell ref="A52:A53"/>
    <mergeCell ref="B52:B53"/>
    <mergeCell ref="A36:A37"/>
    <mergeCell ref="B36:B37"/>
    <mergeCell ref="A20:A21"/>
    <mergeCell ref="B20:B21"/>
    <mergeCell ref="A48:B48"/>
    <mergeCell ref="A79:B79"/>
  </mergeCells>
  <pageMargins left="0.51181102362204722" right="0.31496062992125984" top="0.59055118110236227" bottom="0.74803149606299213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8B8A-A82D-4543-A714-1275F524C344}">
  <dimension ref="A1:N457"/>
  <sheetViews>
    <sheetView workbookViewId="0">
      <pane ySplit="600" activePane="bottomLeft"/>
      <selection activeCell="K1" sqref="K1:K1048576"/>
      <selection pane="bottomLeft"/>
    </sheetView>
  </sheetViews>
  <sheetFormatPr baseColWidth="10" defaultColWidth="12.5703125" defaultRowHeight="15" x14ac:dyDescent="0.25"/>
  <cols>
    <col min="1" max="2" width="12.5703125" style="156"/>
    <col min="3" max="3" width="19.28515625" style="156" customWidth="1"/>
    <col min="4" max="4" width="12.5703125" style="156"/>
    <col min="5" max="10" width="16.5703125" style="156" customWidth="1"/>
    <col min="11" max="11" width="16.5703125" style="193" customWidth="1"/>
    <col min="12" max="14" width="16.5703125" style="156" customWidth="1"/>
    <col min="15" max="16384" width="12.5703125" style="156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90" t="s">
        <v>33</v>
      </c>
      <c r="L1" s="157" t="s">
        <v>35</v>
      </c>
      <c r="M1" s="157" t="s">
        <v>538</v>
      </c>
      <c r="N1" s="157" t="s">
        <v>552</v>
      </c>
    </row>
    <row r="2" spans="1:14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132612346960.75</v>
      </c>
      <c r="H2" s="179">
        <v>460121913.13</v>
      </c>
      <c r="I2" s="179">
        <v>14319591343.809999</v>
      </c>
      <c r="J2" s="179">
        <v>494087215.41000003</v>
      </c>
      <c r="K2" s="191">
        <v>80684854066.190002</v>
      </c>
      <c r="L2" s="179">
        <v>80418972427.710007</v>
      </c>
      <c r="M2" s="179">
        <v>45128478461.459999</v>
      </c>
      <c r="N2" s="179">
        <v>36653692422.209999</v>
      </c>
    </row>
    <row r="3" spans="1:14" x14ac:dyDescent="0.25">
      <c r="A3" s="189" t="s">
        <v>542</v>
      </c>
      <c r="B3" s="189" t="s">
        <v>587</v>
      </c>
      <c r="C3" s="189" t="s">
        <v>587</v>
      </c>
      <c r="D3" s="189" t="s">
        <v>541</v>
      </c>
      <c r="E3" s="182">
        <v>2519449227</v>
      </c>
      <c r="F3" s="182">
        <v>2519449227</v>
      </c>
      <c r="G3" s="182">
        <v>2255822736</v>
      </c>
      <c r="H3" s="182">
        <v>6414291.2599999998</v>
      </c>
      <c r="I3" s="182">
        <v>225711788.09</v>
      </c>
      <c r="J3" s="182">
        <v>7833500.1299999999</v>
      </c>
      <c r="K3" s="191">
        <v>1362761298.6300001</v>
      </c>
      <c r="L3" s="182">
        <v>1356324864.6099999</v>
      </c>
      <c r="M3" s="182">
        <v>916728348.88999999</v>
      </c>
      <c r="N3" s="182">
        <v>653101857.88999999</v>
      </c>
    </row>
    <row r="4" spans="1:14" x14ac:dyDescent="0.25">
      <c r="A4" s="189" t="s">
        <v>542</v>
      </c>
      <c r="B4" s="189" t="s">
        <v>92</v>
      </c>
      <c r="C4" s="189" t="s">
        <v>93</v>
      </c>
      <c r="D4" s="189" t="s">
        <v>541</v>
      </c>
      <c r="E4" s="182">
        <v>1386097000</v>
      </c>
      <c r="F4" s="182">
        <v>1364477635</v>
      </c>
      <c r="G4" s="182">
        <v>1364477635</v>
      </c>
      <c r="H4" s="182">
        <v>0</v>
      </c>
      <c r="I4" s="182">
        <v>93167323</v>
      </c>
      <c r="J4" s="182">
        <v>0</v>
      </c>
      <c r="K4" s="191">
        <v>715124117.04999995</v>
      </c>
      <c r="L4" s="182">
        <v>715124117.04999995</v>
      </c>
      <c r="M4" s="182">
        <v>556186194.95000005</v>
      </c>
      <c r="N4" s="182">
        <v>556186194.95000005</v>
      </c>
    </row>
    <row r="5" spans="1:14" x14ac:dyDescent="0.25">
      <c r="A5" s="189" t="s">
        <v>542</v>
      </c>
      <c r="B5" s="189" t="s">
        <v>94</v>
      </c>
      <c r="C5" s="189" t="s">
        <v>95</v>
      </c>
      <c r="D5" s="189" t="s">
        <v>541</v>
      </c>
      <c r="E5" s="182">
        <v>526394000</v>
      </c>
      <c r="F5" s="182">
        <v>513555100</v>
      </c>
      <c r="G5" s="182">
        <v>513555100</v>
      </c>
      <c r="H5" s="182">
        <v>0</v>
      </c>
      <c r="I5" s="182">
        <v>0</v>
      </c>
      <c r="J5" s="182">
        <v>0</v>
      </c>
      <c r="K5" s="191">
        <v>297720155.81999999</v>
      </c>
      <c r="L5" s="182">
        <v>297720155.81999999</v>
      </c>
      <c r="M5" s="182">
        <v>215834944.18000001</v>
      </c>
      <c r="N5" s="182">
        <v>215834944.18000001</v>
      </c>
    </row>
    <row r="6" spans="1:14" x14ac:dyDescent="0.25">
      <c r="A6" s="189" t="s">
        <v>542</v>
      </c>
      <c r="B6" s="189" t="s">
        <v>96</v>
      </c>
      <c r="C6" s="189" t="s">
        <v>97</v>
      </c>
      <c r="D6" s="189" t="s">
        <v>541</v>
      </c>
      <c r="E6" s="182">
        <v>526394000</v>
      </c>
      <c r="F6" s="182">
        <v>513555100</v>
      </c>
      <c r="G6" s="182">
        <v>513555100</v>
      </c>
      <c r="H6" s="182">
        <v>0</v>
      </c>
      <c r="I6" s="182">
        <v>0</v>
      </c>
      <c r="J6" s="182">
        <v>0</v>
      </c>
      <c r="K6" s="191">
        <v>297720155.81999999</v>
      </c>
      <c r="L6" s="182">
        <v>297720155.81999999</v>
      </c>
      <c r="M6" s="182">
        <v>215834944.18000001</v>
      </c>
      <c r="N6" s="182">
        <v>215834944.18000001</v>
      </c>
    </row>
    <row r="7" spans="1:14" x14ac:dyDescent="0.25">
      <c r="A7" s="189" t="s">
        <v>542</v>
      </c>
      <c r="B7" s="189" t="s">
        <v>102</v>
      </c>
      <c r="C7" s="189" t="s">
        <v>103</v>
      </c>
      <c r="D7" s="189" t="s">
        <v>541</v>
      </c>
      <c r="E7" s="182">
        <v>649722000</v>
      </c>
      <c r="F7" s="182">
        <v>640941535</v>
      </c>
      <c r="G7" s="182">
        <v>640941535</v>
      </c>
      <c r="H7" s="182">
        <v>0</v>
      </c>
      <c r="I7" s="182">
        <v>0</v>
      </c>
      <c r="J7" s="182">
        <v>0</v>
      </c>
      <c r="K7" s="191">
        <v>300590284.23000002</v>
      </c>
      <c r="L7" s="182">
        <v>300590284.23000002</v>
      </c>
      <c r="M7" s="182">
        <v>340351250.76999998</v>
      </c>
      <c r="N7" s="182">
        <v>340351250.76999998</v>
      </c>
    </row>
    <row r="8" spans="1:14" x14ac:dyDescent="0.25">
      <c r="A8" s="189" t="s">
        <v>542</v>
      </c>
      <c r="B8" s="189" t="s">
        <v>104</v>
      </c>
      <c r="C8" s="189" t="s">
        <v>105</v>
      </c>
      <c r="D8" s="189" t="s">
        <v>541</v>
      </c>
      <c r="E8" s="182">
        <v>138872000</v>
      </c>
      <c r="F8" s="182">
        <v>137710900</v>
      </c>
      <c r="G8" s="182">
        <v>137710900</v>
      </c>
      <c r="H8" s="182">
        <v>0</v>
      </c>
      <c r="I8" s="182">
        <v>0</v>
      </c>
      <c r="J8" s="182">
        <v>0</v>
      </c>
      <c r="K8" s="191">
        <v>65288629.75</v>
      </c>
      <c r="L8" s="182">
        <v>65288629.75</v>
      </c>
      <c r="M8" s="182">
        <v>72422270.25</v>
      </c>
      <c r="N8" s="182">
        <v>72422270.25</v>
      </c>
    </row>
    <row r="9" spans="1:14" x14ac:dyDescent="0.25">
      <c r="A9" s="189" t="s">
        <v>542</v>
      </c>
      <c r="B9" s="189" t="s">
        <v>106</v>
      </c>
      <c r="C9" s="189" t="s">
        <v>107</v>
      </c>
      <c r="D9" s="189" t="s">
        <v>541</v>
      </c>
      <c r="E9" s="182">
        <v>289755000</v>
      </c>
      <c r="F9" s="182">
        <v>282135635</v>
      </c>
      <c r="G9" s="182">
        <v>282135635</v>
      </c>
      <c r="H9" s="182">
        <v>0</v>
      </c>
      <c r="I9" s="182">
        <v>0</v>
      </c>
      <c r="J9" s="182">
        <v>0</v>
      </c>
      <c r="K9" s="191">
        <v>136720583.38</v>
      </c>
      <c r="L9" s="182">
        <v>136720583.38</v>
      </c>
      <c r="M9" s="182">
        <v>145415051.62</v>
      </c>
      <c r="N9" s="182">
        <v>145415051.62</v>
      </c>
    </row>
    <row r="10" spans="1:14" x14ac:dyDescent="0.25">
      <c r="A10" s="189" t="s">
        <v>542</v>
      </c>
      <c r="B10" s="189" t="s">
        <v>112</v>
      </c>
      <c r="C10" s="189" t="s">
        <v>113</v>
      </c>
      <c r="D10" s="189" t="s">
        <v>543</v>
      </c>
      <c r="E10" s="182">
        <v>89807000</v>
      </c>
      <c r="F10" s="182">
        <v>89807000</v>
      </c>
      <c r="G10" s="182">
        <v>89807000</v>
      </c>
      <c r="H10" s="182">
        <v>0</v>
      </c>
      <c r="I10" s="182">
        <v>0</v>
      </c>
      <c r="J10" s="182">
        <v>0</v>
      </c>
      <c r="K10" s="191">
        <v>36779.85</v>
      </c>
      <c r="L10" s="182">
        <v>36779.85</v>
      </c>
      <c r="M10" s="182">
        <v>89770220.150000006</v>
      </c>
      <c r="N10" s="182">
        <v>89770220.150000006</v>
      </c>
    </row>
    <row r="11" spans="1:14" x14ac:dyDescent="0.25">
      <c r="A11" s="189" t="s">
        <v>542</v>
      </c>
      <c r="B11" s="189" t="s">
        <v>108</v>
      </c>
      <c r="C11" s="189" t="s">
        <v>109</v>
      </c>
      <c r="D11" s="189" t="s">
        <v>541</v>
      </c>
      <c r="E11" s="182">
        <v>83881000</v>
      </c>
      <c r="F11" s="182">
        <v>83881000</v>
      </c>
      <c r="G11" s="182">
        <v>83881000</v>
      </c>
      <c r="H11" s="182">
        <v>0</v>
      </c>
      <c r="I11" s="182">
        <v>0</v>
      </c>
      <c r="J11" s="182">
        <v>0</v>
      </c>
      <c r="K11" s="191">
        <v>74715480.260000005</v>
      </c>
      <c r="L11" s="182">
        <v>74715480.260000005</v>
      </c>
      <c r="M11" s="182">
        <v>9165519.7400000002</v>
      </c>
      <c r="N11" s="182">
        <v>9165519.7400000002</v>
      </c>
    </row>
    <row r="12" spans="1:14" x14ac:dyDescent="0.25">
      <c r="A12" s="189" t="s">
        <v>542</v>
      </c>
      <c r="B12" s="189" t="s">
        <v>110</v>
      </c>
      <c r="C12" s="189" t="s">
        <v>111</v>
      </c>
      <c r="D12" s="189" t="s">
        <v>541</v>
      </c>
      <c r="E12" s="182">
        <v>47407000</v>
      </c>
      <c r="F12" s="182">
        <v>47407000</v>
      </c>
      <c r="G12" s="182">
        <v>47407000</v>
      </c>
      <c r="H12" s="182">
        <v>0</v>
      </c>
      <c r="I12" s="182">
        <v>0</v>
      </c>
      <c r="J12" s="182">
        <v>0</v>
      </c>
      <c r="K12" s="191">
        <v>23828810.989999998</v>
      </c>
      <c r="L12" s="182">
        <v>23828810.989999998</v>
      </c>
      <c r="M12" s="182">
        <v>23578189.010000002</v>
      </c>
      <c r="N12" s="182">
        <v>23578189.010000002</v>
      </c>
    </row>
    <row r="13" spans="1:14" x14ac:dyDescent="0.25">
      <c r="A13" s="189" t="s">
        <v>542</v>
      </c>
      <c r="B13" s="189" t="s">
        <v>114</v>
      </c>
      <c r="C13" s="189" t="s">
        <v>115</v>
      </c>
      <c r="D13" s="189" t="s">
        <v>541</v>
      </c>
      <c r="E13" s="182">
        <v>105914000</v>
      </c>
      <c r="F13" s="182">
        <v>105914000</v>
      </c>
      <c r="G13" s="182">
        <v>105914000</v>
      </c>
      <c r="H13" s="182">
        <v>0</v>
      </c>
      <c r="I13" s="182">
        <v>46990727</v>
      </c>
      <c r="J13" s="182">
        <v>0</v>
      </c>
      <c r="K13" s="191">
        <v>58923273</v>
      </c>
      <c r="L13" s="182">
        <v>58923273</v>
      </c>
      <c r="M13" s="182">
        <v>0</v>
      </c>
      <c r="N13" s="182">
        <v>0</v>
      </c>
    </row>
    <row r="14" spans="1:14" x14ac:dyDescent="0.25">
      <c r="A14" s="189" t="s">
        <v>542</v>
      </c>
      <c r="B14" s="189" t="s">
        <v>116</v>
      </c>
      <c r="C14" s="189" t="s">
        <v>597</v>
      </c>
      <c r="D14" s="189" t="s">
        <v>541</v>
      </c>
      <c r="E14" s="182">
        <v>100483000</v>
      </c>
      <c r="F14" s="182">
        <v>100483000</v>
      </c>
      <c r="G14" s="182">
        <v>100483000</v>
      </c>
      <c r="H14" s="182">
        <v>0</v>
      </c>
      <c r="I14" s="182">
        <v>44580904</v>
      </c>
      <c r="J14" s="182">
        <v>0</v>
      </c>
      <c r="K14" s="191">
        <v>55902096</v>
      </c>
      <c r="L14" s="182">
        <v>55902096</v>
      </c>
      <c r="M14" s="182">
        <v>0</v>
      </c>
      <c r="N14" s="182">
        <v>0</v>
      </c>
    </row>
    <row r="15" spans="1:14" x14ac:dyDescent="0.25">
      <c r="A15" s="189" t="s">
        <v>542</v>
      </c>
      <c r="B15" s="189" t="s">
        <v>117</v>
      </c>
      <c r="C15" s="189" t="s">
        <v>583</v>
      </c>
      <c r="D15" s="189" t="s">
        <v>541</v>
      </c>
      <c r="E15" s="182">
        <v>5431000</v>
      </c>
      <c r="F15" s="182">
        <v>5431000</v>
      </c>
      <c r="G15" s="182">
        <v>5431000</v>
      </c>
      <c r="H15" s="182">
        <v>0</v>
      </c>
      <c r="I15" s="182">
        <v>2409823</v>
      </c>
      <c r="J15" s="182">
        <v>0</v>
      </c>
      <c r="K15" s="191">
        <v>3021177</v>
      </c>
      <c r="L15" s="182">
        <v>3021177</v>
      </c>
      <c r="M15" s="182">
        <v>0</v>
      </c>
      <c r="N15" s="182">
        <v>0</v>
      </c>
    </row>
    <row r="16" spans="1:14" x14ac:dyDescent="0.25">
      <c r="A16" s="189" t="s">
        <v>542</v>
      </c>
      <c r="B16" s="189" t="s">
        <v>118</v>
      </c>
      <c r="C16" s="189" t="s">
        <v>119</v>
      </c>
      <c r="D16" s="189" t="s">
        <v>541</v>
      </c>
      <c r="E16" s="182">
        <v>104067000</v>
      </c>
      <c r="F16" s="182">
        <v>104067000</v>
      </c>
      <c r="G16" s="182">
        <v>104067000</v>
      </c>
      <c r="H16" s="182">
        <v>0</v>
      </c>
      <c r="I16" s="182">
        <v>46176596</v>
      </c>
      <c r="J16" s="182">
        <v>0</v>
      </c>
      <c r="K16" s="191">
        <v>57890404</v>
      </c>
      <c r="L16" s="182">
        <v>57890404</v>
      </c>
      <c r="M16" s="182">
        <v>0</v>
      </c>
      <c r="N16" s="182">
        <v>0</v>
      </c>
    </row>
    <row r="17" spans="1:14" x14ac:dyDescent="0.25">
      <c r="A17" s="189" t="s">
        <v>542</v>
      </c>
      <c r="B17" s="189" t="s">
        <v>120</v>
      </c>
      <c r="C17" s="189" t="s">
        <v>598</v>
      </c>
      <c r="D17" s="189" t="s">
        <v>541</v>
      </c>
      <c r="E17" s="182">
        <v>55184000</v>
      </c>
      <c r="F17" s="182">
        <v>55184000</v>
      </c>
      <c r="G17" s="182">
        <v>55184000</v>
      </c>
      <c r="H17" s="182">
        <v>0</v>
      </c>
      <c r="I17" s="182">
        <v>24484107</v>
      </c>
      <c r="J17" s="182">
        <v>0</v>
      </c>
      <c r="K17" s="191">
        <v>30699893</v>
      </c>
      <c r="L17" s="182">
        <v>30699893</v>
      </c>
      <c r="M17" s="182">
        <v>0</v>
      </c>
      <c r="N17" s="182">
        <v>0</v>
      </c>
    </row>
    <row r="18" spans="1:14" x14ac:dyDescent="0.25">
      <c r="A18" s="189" t="s">
        <v>542</v>
      </c>
      <c r="B18" s="189" t="s">
        <v>121</v>
      </c>
      <c r="C18" s="189" t="s">
        <v>599</v>
      </c>
      <c r="D18" s="189" t="s">
        <v>541</v>
      </c>
      <c r="E18" s="182">
        <v>16294000</v>
      </c>
      <c r="F18" s="182">
        <v>16294000</v>
      </c>
      <c r="G18" s="182">
        <v>16294000</v>
      </c>
      <c r="H18" s="182">
        <v>0</v>
      </c>
      <c r="I18" s="182">
        <v>7230495</v>
      </c>
      <c r="J18" s="182">
        <v>0</v>
      </c>
      <c r="K18" s="191">
        <v>9063505</v>
      </c>
      <c r="L18" s="182">
        <v>9063505</v>
      </c>
      <c r="M18" s="182">
        <v>0</v>
      </c>
      <c r="N18" s="182">
        <v>0</v>
      </c>
    </row>
    <row r="19" spans="1:14" x14ac:dyDescent="0.25">
      <c r="A19" s="189" t="s">
        <v>542</v>
      </c>
      <c r="B19" s="189" t="s">
        <v>122</v>
      </c>
      <c r="C19" s="189" t="s">
        <v>600</v>
      </c>
      <c r="D19" s="189" t="s">
        <v>541</v>
      </c>
      <c r="E19" s="182">
        <v>32589000</v>
      </c>
      <c r="F19" s="182">
        <v>32589000</v>
      </c>
      <c r="G19" s="182">
        <v>32589000</v>
      </c>
      <c r="H19" s="182">
        <v>0</v>
      </c>
      <c r="I19" s="182">
        <v>14461994</v>
      </c>
      <c r="J19" s="182">
        <v>0</v>
      </c>
      <c r="K19" s="191">
        <v>18127006</v>
      </c>
      <c r="L19" s="182">
        <v>18127006</v>
      </c>
      <c r="M19" s="182">
        <v>0</v>
      </c>
      <c r="N19" s="182">
        <v>0</v>
      </c>
    </row>
    <row r="20" spans="1:14" x14ac:dyDescent="0.25">
      <c r="A20" s="189" t="s">
        <v>542</v>
      </c>
      <c r="B20" s="189" t="s">
        <v>123</v>
      </c>
      <c r="C20" s="189" t="s">
        <v>124</v>
      </c>
      <c r="D20" s="189" t="s">
        <v>541</v>
      </c>
      <c r="E20" s="182">
        <v>342741579</v>
      </c>
      <c r="F20" s="182">
        <v>342741579</v>
      </c>
      <c r="G20" s="182">
        <v>260395935</v>
      </c>
      <c r="H20" s="182">
        <v>24000</v>
      </c>
      <c r="I20" s="182">
        <v>51327068.880000003</v>
      </c>
      <c r="J20" s="182">
        <v>7123329.0999999996</v>
      </c>
      <c r="K20" s="191">
        <v>131720103.36</v>
      </c>
      <c r="L20" s="182">
        <v>125283669.34</v>
      </c>
      <c r="M20" s="182">
        <v>152547077.66</v>
      </c>
      <c r="N20" s="182">
        <v>70201433.659999996</v>
      </c>
    </row>
    <row r="21" spans="1:14" x14ac:dyDescent="0.25">
      <c r="A21" s="189" t="s">
        <v>542</v>
      </c>
      <c r="B21" s="189" t="s">
        <v>125</v>
      </c>
      <c r="C21" s="189" t="s">
        <v>126</v>
      </c>
      <c r="D21" s="189" t="s">
        <v>541</v>
      </c>
      <c r="E21" s="182">
        <v>125845446</v>
      </c>
      <c r="F21" s="182">
        <v>125845446</v>
      </c>
      <c r="G21" s="182">
        <v>107918768.03</v>
      </c>
      <c r="H21" s="182">
        <v>0</v>
      </c>
      <c r="I21" s="182">
        <v>6094954.4900000002</v>
      </c>
      <c r="J21" s="182">
        <v>6481920.0999999996</v>
      </c>
      <c r="K21" s="191">
        <v>59232066.210000001</v>
      </c>
      <c r="L21" s="182">
        <v>53816674.689999998</v>
      </c>
      <c r="M21" s="182">
        <v>54036505.200000003</v>
      </c>
      <c r="N21" s="182">
        <v>36109827.229999997</v>
      </c>
    </row>
    <row r="22" spans="1:14" x14ac:dyDescent="0.25">
      <c r="A22" s="189" t="s">
        <v>542</v>
      </c>
      <c r="B22" s="189" t="s">
        <v>127</v>
      </c>
      <c r="C22" s="189" t="s">
        <v>128</v>
      </c>
      <c r="D22" s="189" t="s">
        <v>541</v>
      </c>
      <c r="E22" s="182">
        <v>125765446</v>
      </c>
      <c r="F22" s="182">
        <v>125765446</v>
      </c>
      <c r="G22" s="182">
        <v>107838768.03</v>
      </c>
      <c r="H22" s="182">
        <v>0</v>
      </c>
      <c r="I22" s="182">
        <v>6094954.4900000002</v>
      </c>
      <c r="J22" s="182">
        <v>6481920.0999999996</v>
      </c>
      <c r="K22" s="191">
        <v>59157316.210000001</v>
      </c>
      <c r="L22" s="182">
        <v>53741924.689999998</v>
      </c>
      <c r="M22" s="182">
        <v>54031255.200000003</v>
      </c>
      <c r="N22" s="182">
        <v>36104577.229999997</v>
      </c>
    </row>
    <row r="23" spans="1:14" x14ac:dyDescent="0.25">
      <c r="A23" s="189" t="s">
        <v>542</v>
      </c>
      <c r="B23" s="189" t="s">
        <v>129</v>
      </c>
      <c r="C23" s="189" t="s">
        <v>130</v>
      </c>
      <c r="D23" s="189" t="s">
        <v>541</v>
      </c>
      <c r="E23" s="182">
        <v>80000</v>
      </c>
      <c r="F23" s="182">
        <v>80000</v>
      </c>
      <c r="G23" s="182">
        <v>80000</v>
      </c>
      <c r="H23" s="182">
        <v>0</v>
      </c>
      <c r="I23" s="182">
        <v>0</v>
      </c>
      <c r="J23" s="182">
        <v>0</v>
      </c>
      <c r="K23" s="191">
        <v>74750</v>
      </c>
      <c r="L23" s="182">
        <v>74750</v>
      </c>
      <c r="M23" s="182">
        <v>5250</v>
      </c>
      <c r="N23" s="182">
        <v>5250</v>
      </c>
    </row>
    <row r="24" spans="1:14" x14ac:dyDescent="0.25">
      <c r="A24" s="189" t="s">
        <v>542</v>
      </c>
      <c r="B24" s="189" t="s">
        <v>131</v>
      </c>
      <c r="C24" s="189" t="s">
        <v>132</v>
      </c>
      <c r="D24" s="189" t="s">
        <v>541</v>
      </c>
      <c r="E24" s="182">
        <v>131428353</v>
      </c>
      <c r="F24" s="182">
        <v>131428353</v>
      </c>
      <c r="G24" s="182">
        <v>79351429</v>
      </c>
      <c r="H24" s="182">
        <v>0</v>
      </c>
      <c r="I24" s="182">
        <v>26343336.629999999</v>
      </c>
      <c r="J24" s="182">
        <v>0</v>
      </c>
      <c r="K24" s="191">
        <v>52734489.170000002</v>
      </c>
      <c r="L24" s="182">
        <v>52734489.170000002</v>
      </c>
      <c r="M24" s="182">
        <v>52350527.200000003</v>
      </c>
      <c r="N24" s="182">
        <v>273603.20000000001</v>
      </c>
    </row>
    <row r="25" spans="1:14" x14ac:dyDescent="0.25">
      <c r="A25" s="189" t="s">
        <v>542</v>
      </c>
      <c r="B25" s="189" t="s">
        <v>133</v>
      </c>
      <c r="C25" s="189" t="s">
        <v>134</v>
      </c>
      <c r="D25" s="189" t="s">
        <v>541</v>
      </c>
      <c r="E25" s="182">
        <v>4971429</v>
      </c>
      <c r="F25" s="182">
        <v>8971429</v>
      </c>
      <c r="G25" s="182">
        <v>8971429</v>
      </c>
      <c r="H25" s="182">
        <v>0</v>
      </c>
      <c r="I25" s="182">
        <v>5680137</v>
      </c>
      <c r="J25" s="182">
        <v>0</v>
      </c>
      <c r="K25" s="191">
        <v>3291292</v>
      </c>
      <c r="L25" s="182">
        <v>3291292</v>
      </c>
      <c r="M25" s="182">
        <v>0</v>
      </c>
      <c r="N25" s="182">
        <v>0</v>
      </c>
    </row>
    <row r="26" spans="1:14" x14ac:dyDescent="0.25">
      <c r="A26" s="189" t="s">
        <v>542</v>
      </c>
      <c r="B26" s="189" t="s">
        <v>135</v>
      </c>
      <c r="C26" s="189" t="s">
        <v>136</v>
      </c>
      <c r="D26" s="189" t="s">
        <v>541</v>
      </c>
      <c r="E26" s="182">
        <v>56000000</v>
      </c>
      <c r="F26" s="182">
        <v>56000000</v>
      </c>
      <c r="G26" s="182">
        <v>40000000</v>
      </c>
      <c r="H26" s="182">
        <v>0</v>
      </c>
      <c r="I26" s="182">
        <v>12559150</v>
      </c>
      <c r="J26" s="182">
        <v>0</v>
      </c>
      <c r="K26" s="191">
        <v>27440850</v>
      </c>
      <c r="L26" s="182">
        <v>27440850</v>
      </c>
      <c r="M26" s="182">
        <v>16000000</v>
      </c>
      <c r="N26" s="182">
        <v>0</v>
      </c>
    </row>
    <row r="27" spans="1:14" x14ac:dyDescent="0.25">
      <c r="A27" s="189" t="s">
        <v>542</v>
      </c>
      <c r="B27" s="189" t="s">
        <v>137</v>
      </c>
      <c r="C27" s="189" t="s">
        <v>138</v>
      </c>
      <c r="D27" s="189" t="s">
        <v>541</v>
      </c>
      <c r="E27" s="182">
        <v>20000</v>
      </c>
      <c r="F27" s="182">
        <v>20000</v>
      </c>
      <c r="G27" s="182">
        <v>20000</v>
      </c>
      <c r="H27" s="182">
        <v>0</v>
      </c>
      <c r="I27" s="182">
        <v>0</v>
      </c>
      <c r="J27" s="182">
        <v>0</v>
      </c>
      <c r="K27" s="191">
        <v>16400</v>
      </c>
      <c r="L27" s="182">
        <v>16400</v>
      </c>
      <c r="M27" s="182">
        <v>3600</v>
      </c>
      <c r="N27" s="182">
        <v>3600</v>
      </c>
    </row>
    <row r="28" spans="1:14" x14ac:dyDescent="0.25">
      <c r="A28" s="189" t="s">
        <v>542</v>
      </c>
      <c r="B28" s="189" t="s">
        <v>139</v>
      </c>
      <c r="C28" s="189" t="s">
        <v>140</v>
      </c>
      <c r="D28" s="189" t="s">
        <v>541</v>
      </c>
      <c r="E28" s="182">
        <v>70076924</v>
      </c>
      <c r="F28" s="182">
        <v>66076924</v>
      </c>
      <c r="G28" s="182">
        <v>30000000</v>
      </c>
      <c r="H28" s="182">
        <v>0</v>
      </c>
      <c r="I28" s="182">
        <v>8041849.6299999999</v>
      </c>
      <c r="J28" s="182">
        <v>0</v>
      </c>
      <c r="K28" s="191">
        <v>21958147.170000002</v>
      </c>
      <c r="L28" s="182">
        <v>21958147.170000002</v>
      </c>
      <c r="M28" s="182">
        <v>36076927.200000003</v>
      </c>
      <c r="N28" s="182">
        <v>3.2</v>
      </c>
    </row>
    <row r="29" spans="1:14" x14ac:dyDescent="0.25">
      <c r="A29" s="189" t="s">
        <v>542</v>
      </c>
      <c r="B29" s="189" t="s">
        <v>141</v>
      </c>
      <c r="C29" s="189" t="s">
        <v>142</v>
      </c>
      <c r="D29" s="189" t="s">
        <v>541</v>
      </c>
      <c r="E29" s="182">
        <v>360000</v>
      </c>
      <c r="F29" s="182">
        <v>360000</v>
      </c>
      <c r="G29" s="182">
        <v>360000</v>
      </c>
      <c r="H29" s="182">
        <v>0</v>
      </c>
      <c r="I29" s="182">
        <v>62200</v>
      </c>
      <c r="J29" s="182">
        <v>0</v>
      </c>
      <c r="K29" s="191">
        <v>27800</v>
      </c>
      <c r="L29" s="182">
        <v>27800</v>
      </c>
      <c r="M29" s="182">
        <v>270000</v>
      </c>
      <c r="N29" s="182">
        <v>270000</v>
      </c>
    </row>
    <row r="30" spans="1:14" x14ac:dyDescent="0.25">
      <c r="A30" s="189" t="s">
        <v>542</v>
      </c>
      <c r="B30" s="189" t="s">
        <v>143</v>
      </c>
      <c r="C30" s="189" t="s">
        <v>144</v>
      </c>
      <c r="D30" s="189" t="s">
        <v>541</v>
      </c>
      <c r="E30" s="182">
        <v>8700000</v>
      </c>
      <c r="F30" s="182">
        <v>9250000</v>
      </c>
      <c r="G30" s="182">
        <v>9250000</v>
      </c>
      <c r="H30" s="182">
        <v>0</v>
      </c>
      <c r="I30" s="182">
        <v>1469850.26</v>
      </c>
      <c r="J30" s="182">
        <v>0</v>
      </c>
      <c r="K30" s="191">
        <v>5949410</v>
      </c>
      <c r="L30" s="182">
        <v>5639320</v>
      </c>
      <c r="M30" s="182">
        <v>1830739.74</v>
      </c>
      <c r="N30" s="182">
        <v>1830739.74</v>
      </c>
    </row>
    <row r="31" spans="1:14" x14ac:dyDescent="0.25">
      <c r="A31" s="189" t="s">
        <v>542</v>
      </c>
      <c r="B31" s="189" t="s">
        <v>145</v>
      </c>
      <c r="C31" s="189" t="s">
        <v>146</v>
      </c>
      <c r="D31" s="189" t="s">
        <v>541</v>
      </c>
      <c r="E31" s="182">
        <v>7000000</v>
      </c>
      <c r="F31" s="182">
        <v>7000000</v>
      </c>
      <c r="G31" s="182">
        <v>7000000</v>
      </c>
      <c r="H31" s="182">
        <v>0</v>
      </c>
      <c r="I31" s="182">
        <v>1419850.26</v>
      </c>
      <c r="J31" s="182">
        <v>0</v>
      </c>
      <c r="K31" s="191">
        <v>5574410</v>
      </c>
      <c r="L31" s="182">
        <v>5264320</v>
      </c>
      <c r="M31" s="182">
        <v>5739.74</v>
      </c>
      <c r="N31" s="182">
        <v>5739.74</v>
      </c>
    </row>
    <row r="32" spans="1:14" x14ac:dyDescent="0.25">
      <c r="A32" s="189" t="s">
        <v>542</v>
      </c>
      <c r="B32" s="189" t="s">
        <v>147</v>
      </c>
      <c r="C32" s="189" t="s">
        <v>148</v>
      </c>
      <c r="D32" s="189" t="s">
        <v>541</v>
      </c>
      <c r="E32" s="182">
        <v>1650000</v>
      </c>
      <c r="F32" s="182">
        <v>1650000</v>
      </c>
      <c r="G32" s="182">
        <v>1650000</v>
      </c>
      <c r="H32" s="182">
        <v>0</v>
      </c>
      <c r="I32" s="182">
        <v>0</v>
      </c>
      <c r="J32" s="182">
        <v>0</v>
      </c>
      <c r="K32" s="191">
        <v>375000</v>
      </c>
      <c r="L32" s="182">
        <v>375000</v>
      </c>
      <c r="M32" s="182">
        <v>1275000</v>
      </c>
      <c r="N32" s="182">
        <v>1275000</v>
      </c>
    </row>
    <row r="33" spans="1:14" x14ac:dyDescent="0.25">
      <c r="A33" s="189" t="s">
        <v>542</v>
      </c>
      <c r="B33" s="189" t="s">
        <v>149</v>
      </c>
      <c r="C33" s="189" t="s">
        <v>150</v>
      </c>
      <c r="D33" s="189" t="s">
        <v>541</v>
      </c>
      <c r="E33" s="182">
        <v>50000</v>
      </c>
      <c r="F33" s="182">
        <v>50000</v>
      </c>
      <c r="G33" s="182">
        <v>50000</v>
      </c>
      <c r="H33" s="182">
        <v>0</v>
      </c>
      <c r="I33" s="182">
        <v>50000</v>
      </c>
      <c r="J33" s="182">
        <v>0</v>
      </c>
      <c r="K33" s="191">
        <v>0</v>
      </c>
      <c r="L33" s="182">
        <v>0</v>
      </c>
      <c r="M33" s="182">
        <v>0</v>
      </c>
      <c r="N33" s="182">
        <v>0</v>
      </c>
    </row>
    <row r="34" spans="1:14" x14ac:dyDescent="0.25">
      <c r="A34" s="189" t="s">
        <v>542</v>
      </c>
      <c r="B34" s="189" t="s">
        <v>326</v>
      </c>
      <c r="C34" s="189" t="s">
        <v>327</v>
      </c>
      <c r="D34" s="189" t="s">
        <v>541</v>
      </c>
      <c r="E34" s="182">
        <v>0</v>
      </c>
      <c r="F34" s="182">
        <v>550000</v>
      </c>
      <c r="G34" s="182">
        <v>550000</v>
      </c>
      <c r="H34" s="182">
        <v>0</v>
      </c>
      <c r="I34" s="182">
        <v>0</v>
      </c>
      <c r="J34" s="182">
        <v>0</v>
      </c>
      <c r="K34" s="191">
        <v>0</v>
      </c>
      <c r="L34" s="182">
        <v>0</v>
      </c>
      <c r="M34" s="182">
        <v>550000</v>
      </c>
      <c r="N34" s="182">
        <v>550000</v>
      </c>
    </row>
    <row r="35" spans="1:14" x14ac:dyDescent="0.25">
      <c r="A35" s="189" t="s">
        <v>542</v>
      </c>
      <c r="B35" s="189" t="s">
        <v>151</v>
      </c>
      <c r="C35" s="189" t="s">
        <v>152</v>
      </c>
      <c r="D35" s="189" t="s">
        <v>541</v>
      </c>
      <c r="E35" s="182">
        <v>5851429</v>
      </c>
      <c r="F35" s="182">
        <v>5851429</v>
      </c>
      <c r="G35" s="182">
        <v>3631429</v>
      </c>
      <c r="H35" s="182">
        <v>0</v>
      </c>
      <c r="I35" s="182">
        <v>373589</v>
      </c>
      <c r="J35" s="182">
        <v>282009</v>
      </c>
      <c r="K35" s="191">
        <v>646488</v>
      </c>
      <c r="L35" s="182">
        <v>646488</v>
      </c>
      <c r="M35" s="182">
        <v>4549343</v>
      </c>
      <c r="N35" s="182">
        <v>2329343</v>
      </c>
    </row>
    <row r="36" spans="1:14" x14ac:dyDescent="0.25">
      <c r="A36" s="189" t="s">
        <v>542</v>
      </c>
      <c r="B36" s="189" t="s">
        <v>154</v>
      </c>
      <c r="C36" s="189" t="s">
        <v>155</v>
      </c>
      <c r="D36" s="189" t="s">
        <v>541</v>
      </c>
      <c r="E36" s="182">
        <v>3080000</v>
      </c>
      <c r="F36" s="182">
        <v>3080000</v>
      </c>
      <c r="G36" s="182">
        <v>860000</v>
      </c>
      <c r="H36" s="182">
        <v>0</v>
      </c>
      <c r="I36" s="182">
        <v>0</v>
      </c>
      <c r="J36" s="182">
        <v>0</v>
      </c>
      <c r="K36" s="191">
        <v>0</v>
      </c>
      <c r="L36" s="182">
        <v>0</v>
      </c>
      <c r="M36" s="182">
        <v>3080000</v>
      </c>
      <c r="N36" s="182">
        <v>860000</v>
      </c>
    </row>
    <row r="37" spans="1:14" x14ac:dyDescent="0.25">
      <c r="A37" s="189" t="s">
        <v>542</v>
      </c>
      <c r="B37" s="189" t="s">
        <v>156</v>
      </c>
      <c r="C37" s="189" t="s">
        <v>157</v>
      </c>
      <c r="D37" s="189" t="s">
        <v>541</v>
      </c>
      <c r="E37" s="182">
        <v>2771429</v>
      </c>
      <c r="F37" s="182">
        <v>2771429</v>
      </c>
      <c r="G37" s="182">
        <v>2771429</v>
      </c>
      <c r="H37" s="182">
        <v>0</v>
      </c>
      <c r="I37" s="182">
        <v>373589</v>
      </c>
      <c r="J37" s="182">
        <v>282009</v>
      </c>
      <c r="K37" s="191">
        <v>646488</v>
      </c>
      <c r="L37" s="182">
        <v>646488</v>
      </c>
      <c r="M37" s="182">
        <v>1469343</v>
      </c>
      <c r="N37" s="182">
        <v>1469343</v>
      </c>
    </row>
    <row r="38" spans="1:14" x14ac:dyDescent="0.25">
      <c r="A38" s="189" t="s">
        <v>542</v>
      </c>
      <c r="B38" s="189" t="s">
        <v>158</v>
      </c>
      <c r="C38" s="189" t="s">
        <v>159</v>
      </c>
      <c r="D38" s="189" t="s">
        <v>541</v>
      </c>
      <c r="E38" s="182">
        <v>17774865</v>
      </c>
      <c r="F38" s="182">
        <v>17774865</v>
      </c>
      <c r="G38" s="182">
        <v>17774865</v>
      </c>
      <c r="H38" s="182">
        <v>24000</v>
      </c>
      <c r="I38" s="182">
        <v>1280645.5</v>
      </c>
      <c r="J38" s="182">
        <v>0</v>
      </c>
      <c r="K38" s="191">
        <v>8008140.1299999999</v>
      </c>
      <c r="L38" s="182">
        <v>7992140.1299999999</v>
      </c>
      <c r="M38" s="182">
        <v>8462079.3699999992</v>
      </c>
      <c r="N38" s="182">
        <v>8462079.3699999992</v>
      </c>
    </row>
    <row r="39" spans="1:14" x14ac:dyDescent="0.25">
      <c r="A39" s="189" t="s">
        <v>542</v>
      </c>
      <c r="B39" s="189" t="s">
        <v>160</v>
      </c>
      <c r="C39" s="189" t="s">
        <v>161</v>
      </c>
      <c r="D39" s="189" t="s">
        <v>541</v>
      </c>
      <c r="E39" s="182">
        <v>100000</v>
      </c>
      <c r="F39" s="182">
        <v>100000</v>
      </c>
      <c r="G39" s="182">
        <v>100000</v>
      </c>
      <c r="H39" s="182">
        <v>0</v>
      </c>
      <c r="I39" s="182">
        <v>0</v>
      </c>
      <c r="J39" s="182">
        <v>0</v>
      </c>
      <c r="K39" s="191">
        <v>0</v>
      </c>
      <c r="L39" s="182">
        <v>0</v>
      </c>
      <c r="M39" s="182">
        <v>100000</v>
      </c>
      <c r="N39" s="182">
        <v>100000</v>
      </c>
    </row>
    <row r="40" spans="1:14" x14ac:dyDescent="0.25">
      <c r="A40" s="189" t="s">
        <v>542</v>
      </c>
      <c r="B40" s="189" t="s">
        <v>162</v>
      </c>
      <c r="C40" s="189" t="s">
        <v>163</v>
      </c>
      <c r="D40" s="189" t="s">
        <v>541</v>
      </c>
      <c r="E40" s="182">
        <v>6685715</v>
      </c>
      <c r="F40" s="182">
        <v>6685715</v>
      </c>
      <c r="G40" s="182">
        <v>6685715</v>
      </c>
      <c r="H40" s="182">
        <v>24000</v>
      </c>
      <c r="I40" s="182">
        <v>1247765</v>
      </c>
      <c r="J40" s="182">
        <v>0</v>
      </c>
      <c r="K40" s="191">
        <v>4337250</v>
      </c>
      <c r="L40" s="182">
        <v>4321250</v>
      </c>
      <c r="M40" s="182">
        <v>1076700</v>
      </c>
      <c r="N40" s="182">
        <v>1076700</v>
      </c>
    </row>
    <row r="41" spans="1:14" x14ac:dyDescent="0.25">
      <c r="A41" s="189" t="s">
        <v>542</v>
      </c>
      <c r="B41" s="189" t="s">
        <v>164</v>
      </c>
      <c r="C41" s="189" t="s">
        <v>165</v>
      </c>
      <c r="D41" s="189" t="s">
        <v>541</v>
      </c>
      <c r="E41" s="182">
        <v>5170968</v>
      </c>
      <c r="F41" s="182">
        <v>5170968</v>
      </c>
      <c r="G41" s="182">
        <v>5170968</v>
      </c>
      <c r="H41" s="182">
        <v>0</v>
      </c>
      <c r="I41" s="182">
        <v>29629.16</v>
      </c>
      <c r="J41" s="182">
        <v>0</v>
      </c>
      <c r="K41" s="191">
        <v>2021636.72</v>
      </c>
      <c r="L41" s="182">
        <v>2021636.72</v>
      </c>
      <c r="M41" s="182">
        <v>3119702.12</v>
      </c>
      <c r="N41" s="182">
        <v>3119702.12</v>
      </c>
    </row>
    <row r="42" spans="1:14" x14ac:dyDescent="0.25">
      <c r="A42" s="189" t="s">
        <v>542</v>
      </c>
      <c r="B42" s="189" t="s">
        <v>166</v>
      </c>
      <c r="C42" s="189" t="s">
        <v>167</v>
      </c>
      <c r="D42" s="189" t="s">
        <v>541</v>
      </c>
      <c r="E42" s="182">
        <v>5818182</v>
      </c>
      <c r="F42" s="182">
        <v>5818182</v>
      </c>
      <c r="G42" s="182">
        <v>5818182</v>
      </c>
      <c r="H42" s="182">
        <v>0</v>
      </c>
      <c r="I42" s="182">
        <v>3251.34</v>
      </c>
      <c r="J42" s="182">
        <v>0</v>
      </c>
      <c r="K42" s="191">
        <v>1649253.41</v>
      </c>
      <c r="L42" s="182">
        <v>1649253.41</v>
      </c>
      <c r="M42" s="182">
        <v>4165677.25</v>
      </c>
      <c r="N42" s="182">
        <v>4165677.25</v>
      </c>
    </row>
    <row r="43" spans="1:14" x14ac:dyDescent="0.25">
      <c r="A43" s="189" t="s">
        <v>542</v>
      </c>
      <c r="B43" s="189" t="s">
        <v>168</v>
      </c>
      <c r="C43" s="189" t="s">
        <v>169</v>
      </c>
      <c r="D43" s="189" t="s">
        <v>541</v>
      </c>
      <c r="E43" s="182">
        <v>32290000</v>
      </c>
      <c r="F43" s="182">
        <v>32290000</v>
      </c>
      <c r="G43" s="182">
        <v>22599092.969999999</v>
      </c>
      <c r="H43" s="182">
        <v>0</v>
      </c>
      <c r="I43" s="182">
        <v>11961630</v>
      </c>
      <c r="J43" s="182">
        <v>0</v>
      </c>
      <c r="K43" s="191">
        <v>3277533</v>
      </c>
      <c r="L43" s="182">
        <v>2990873</v>
      </c>
      <c r="M43" s="182">
        <v>17050837</v>
      </c>
      <c r="N43" s="182">
        <v>7359929.9699999997</v>
      </c>
    </row>
    <row r="44" spans="1:14" x14ac:dyDescent="0.25">
      <c r="A44" s="189" t="s">
        <v>542</v>
      </c>
      <c r="B44" s="189" t="s">
        <v>170</v>
      </c>
      <c r="C44" s="189" t="s">
        <v>171</v>
      </c>
      <c r="D44" s="189" t="s">
        <v>541</v>
      </c>
      <c r="E44" s="182">
        <v>32290000</v>
      </c>
      <c r="F44" s="182">
        <v>32290000</v>
      </c>
      <c r="G44" s="182">
        <v>22599092.969999999</v>
      </c>
      <c r="H44" s="182">
        <v>0</v>
      </c>
      <c r="I44" s="182">
        <v>11961630</v>
      </c>
      <c r="J44" s="182">
        <v>0</v>
      </c>
      <c r="K44" s="191">
        <v>3277533</v>
      </c>
      <c r="L44" s="182">
        <v>2990873</v>
      </c>
      <c r="M44" s="182">
        <v>17050837</v>
      </c>
      <c r="N44" s="182">
        <v>7359929.9699999997</v>
      </c>
    </row>
    <row r="45" spans="1:14" x14ac:dyDescent="0.25">
      <c r="A45" s="189" t="s">
        <v>542</v>
      </c>
      <c r="B45" s="189" t="s">
        <v>172</v>
      </c>
      <c r="C45" s="189" t="s">
        <v>173</v>
      </c>
      <c r="D45" s="189" t="s">
        <v>541</v>
      </c>
      <c r="E45" s="182">
        <v>2150000</v>
      </c>
      <c r="F45" s="182">
        <v>1031135</v>
      </c>
      <c r="G45" s="182">
        <v>600000</v>
      </c>
      <c r="H45" s="182">
        <v>0</v>
      </c>
      <c r="I45" s="182">
        <v>500000</v>
      </c>
      <c r="J45" s="182">
        <v>0</v>
      </c>
      <c r="K45" s="191">
        <v>0</v>
      </c>
      <c r="L45" s="182">
        <v>0</v>
      </c>
      <c r="M45" s="182">
        <v>531135</v>
      </c>
      <c r="N45" s="182">
        <v>100000</v>
      </c>
    </row>
    <row r="46" spans="1:14" x14ac:dyDescent="0.25">
      <c r="A46" s="189" t="s">
        <v>542</v>
      </c>
      <c r="B46" s="189" t="s">
        <v>309</v>
      </c>
      <c r="C46" s="189" t="s">
        <v>310</v>
      </c>
      <c r="D46" s="189" t="s">
        <v>541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91">
        <v>0</v>
      </c>
      <c r="L46" s="182">
        <v>0</v>
      </c>
      <c r="M46" s="182">
        <v>0</v>
      </c>
      <c r="N46" s="182">
        <v>0</v>
      </c>
    </row>
    <row r="47" spans="1:14" x14ac:dyDescent="0.25">
      <c r="A47" s="189" t="s">
        <v>542</v>
      </c>
      <c r="B47" s="189" t="s">
        <v>174</v>
      </c>
      <c r="C47" s="189" t="s">
        <v>175</v>
      </c>
      <c r="D47" s="189" t="s">
        <v>541</v>
      </c>
      <c r="E47" s="182">
        <v>1550000</v>
      </c>
      <c r="F47" s="182">
        <v>431135</v>
      </c>
      <c r="G47" s="182">
        <v>0</v>
      </c>
      <c r="H47" s="182">
        <v>0</v>
      </c>
      <c r="I47" s="182">
        <v>0</v>
      </c>
      <c r="J47" s="182">
        <v>0</v>
      </c>
      <c r="K47" s="191">
        <v>0</v>
      </c>
      <c r="L47" s="182">
        <v>0</v>
      </c>
      <c r="M47" s="182">
        <v>431135</v>
      </c>
      <c r="N47" s="182">
        <v>0</v>
      </c>
    </row>
    <row r="48" spans="1:14" x14ac:dyDescent="0.25">
      <c r="A48" s="189" t="s">
        <v>542</v>
      </c>
      <c r="B48" s="189" t="s">
        <v>176</v>
      </c>
      <c r="C48" s="189" t="s">
        <v>177</v>
      </c>
      <c r="D48" s="189" t="s">
        <v>541</v>
      </c>
      <c r="E48" s="182">
        <v>600000</v>
      </c>
      <c r="F48" s="182">
        <v>600000</v>
      </c>
      <c r="G48" s="182">
        <v>600000</v>
      </c>
      <c r="H48" s="182">
        <v>0</v>
      </c>
      <c r="I48" s="182">
        <v>500000</v>
      </c>
      <c r="J48" s="182">
        <v>0</v>
      </c>
      <c r="K48" s="191">
        <v>0</v>
      </c>
      <c r="L48" s="182">
        <v>0</v>
      </c>
      <c r="M48" s="182">
        <v>100000</v>
      </c>
      <c r="N48" s="182">
        <v>100000</v>
      </c>
    </row>
    <row r="49" spans="1:14" x14ac:dyDescent="0.25">
      <c r="A49" s="189" t="s">
        <v>542</v>
      </c>
      <c r="B49" s="189" t="s">
        <v>178</v>
      </c>
      <c r="C49" s="189" t="s">
        <v>179</v>
      </c>
      <c r="D49" s="189" t="s">
        <v>541</v>
      </c>
      <c r="E49" s="182">
        <v>17019667</v>
      </c>
      <c r="F49" s="182">
        <v>17019667</v>
      </c>
      <c r="G49" s="182">
        <v>17019667</v>
      </c>
      <c r="H49" s="182">
        <v>0</v>
      </c>
      <c r="I49" s="182">
        <v>1578600</v>
      </c>
      <c r="J49" s="182">
        <v>359400</v>
      </c>
      <c r="K49" s="191">
        <v>1634620.85</v>
      </c>
      <c r="L49" s="182">
        <v>1335129.3500000001</v>
      </c>
      <c r="M49" s="182">
        <v>13447046.15</v>
      </c>
      <c r="N49" s="182">
        <v>13447046.15</v>
      </c>
    </row>
    <row r="50" spans="1:14" x14ac:dyDescent="0.25">
      <c r="A50" s="189" t="s">
        <v>542</v>
      </c>
      <c r="B50" s="189" t="s">
        <v>332</v>
      </c>
      <c r="C50" s="189" t="s">
        <v>333</v>
      </c>
      <c r="D50" s="189" t="s">
        <v>541</v>
      </c>
      <c r="E50" s="182">
        <v>300000</v>
      </c>
      <c r="F50" s="182">
        <v>300000</v>
      </c>
      <c r="G50" s="182">
        <v>300000</v>
      </c>
      <c r="H50" s="182">
        <v>0</v>
      </c>
      <c r="I50" s="182">
        <v>0</v>
      </c>
      <c r="J50" s="182">
        <v>0</v>
      </c>
      <c r="K50" s="191">
        <v>0</v>
      </c>
      <c r="L50" s="182">
        <v>0</v>
      </c>
      <c r="M50" s="182">
        <v>300000</v>
      </c>
      <c r="N50" s="182">
        <v>300000</v>
      </c>
    </row>
    <row r="51" spans="1:14" x14ac:dyDescent="0.25">
      <c r="A51" s="189" t="s">
        <v>542</v>
      </c>
      <c r="B51" s="189" t="s">
        <v>182</v>
      </c>
      <c r="C51" s="189" t="s">
        <v>183</v>
      </c>
      <c r="D51" s="189" t="s">
        <v>541</v>
      </c>
      <c r="E51" s="182">
        <v>9066667</v>
      </c>
      <c r="F51" s="182">
        <v>9066667</v>
      </c>
      <c r="G51" s="182">
        <v>9066667</v>
      </c>
      <c r="H51" s="182">
        <v>0</v>
      </c>
      <c r="I51" s="182">
        <v>1001000</v>
      </c>
      <c r="J51" s="182">
        <v>0</v>
      </c>
      <c r="K51" s="191">
        <v>98201</v>
      </c>
      <c r="L51" s="182">
        <v>98201</v>
      </c>
      <c r="M51" s="182">
        <v>7967466</v>
      </c>
      <c r="N51" s="182">
        <v>7967466</v>
      </c>
    </row>
    <row r="52" spans="1:14" x14ac:dyDescent="0.25">
      <c r="A52" s="189" t="s">
        <v>542</v>
      </c>
      <c r="B52" s="189" t="s">
        <v>186</v>
      </c>
      <c r="C52" s="189" t="s">
        <v>187</v>
      </c>
      <c r="D52" s="189" t="s">
        <v>541</v>
      </c>
      <c r="E52" s="182">
        <v>2900000</v>
      </c>
      <c r="F52" s="182">
        <v>2900000</v>
      </c>
      <c r="G52" s="182">
        <v>2900000</v>
      </c>
      <c r="H52" s="182">
        <v>0</v>
      </c>
      <c r="I52" s="182">
        <v>327600</v>
      </c>
      <c r="J52" s="182">
        <v>0</v>
      </c>
      <c r="K52" s="191">
        <v>1093400</v>
      </c>
      <c r="L52" s="182">
        <v>1093400</v>
      </c>
      <c r="M52" s="182">
        <v>1479000</v>
      </c>
      <c r="N52" s="182">
        <v>1479000</v>
      </c>
    </row>
    <row r="53" spans="1:14" x14ac:dyDescent="0.25">
      <c r="A53" s="189" t="s">
        <v>542</v>
      </c>
      <c r="B53" s="189" t="s">
        <v>188</v>
      </c>
      <c r="C53" s="189" t="s">
        <v>189</v>
      </c>
      <c r="D53" s="189" t="s">
        <v>541</v>
      </c>
      <c r="E53" s="182">
        <v>393000</v>
      </c>
      <c r="F53" s="182">
        <v>393000</v>
      </c>
      <c r="G53" s="182">
        <v>393000</v>
      </c>
      <c r="H53" s="182">
        <v>0</v>
      </c>
      <c r="I53" s="182">
        <v>0</v>
      </c>
      <c r="J53" s="182">
        <v>0</v>
      </c>
      <c r="K53" s="191">
        <v>0</v>
      </c>
      <c r="L53" s="182">
        <v>0</v>
      </c>
      <c r="M53" s="182">
        <v>393000</v>
      </c>
      <c r="N53" s="182">
        <v>393000</v>
      </c>
    </row>
    <row r="54" spans="1:14" x14ac:dyDescent="0.25">
      <c r="A54" s="189" t="s">
        <v>542</v>
      </c>
      <c r="B54" s="189" t="s">
        <v>190</v>
      </c>
      <c r="C54" s="189" t="s">
        <v>191</v>
      </c>
      <c r="D54" s="189" t="s">
        <v>541</v>
      </c>
      <c r="E54" s="182">
        <v>4360000</v>
      </c>
      <c r="F54" s="182">
        <v>4360000</v>
      </c>
      <c r="G54" s="182">
        <v>4360000</v>
      </c>
      <c r="H54" s="182">
        <v>0</v>
      </c>
      <c r="I54" s="182">
        <v>250000</v>
      </c>
      <c r="J54" s="182">
        <v>359400</v>
      </c>
      <c r="K54" s="191">
        <v>443019.85</v>
      </c>
      <c r="L54" s="182">
        <v>143528.35</v>
      </c>
      <c r="M54" s="182">
        <v>3307580.15</v>
      </c>
      <c r="N54" s="182">
        <v>3307580.15</v>
      </c>
    </row>
    <row r="55" spans="1:14" x14ac:dyDescent="0.25">
      <c r="A55" s="189" t="s">
        <v>542</v>
      </c>
      <c r="B55" s="189" t="s">
        <v>192</v>
      </c>
      <c r="C55" s="189" t="s">
        <v>193</v>
      </c>
      <c r="D55" s="189" t="s">
        <v>541</v>
      </c>
      <c r="E55" s="182">
        <v>681819</v>
      </c>
      <c r="F55" s="182">
        <v>1250684</v>
      </c>
      <c r="G55" s="182">
        <v>1250684</v>
      </c>
      <c r="H55" s="182">
        <v>0</v>
      </c>
      <c r="I55" s="182">
        <v>724463</v>
      </c>
      <c r="J55" s="182">
        <v>0</v>
      </c>
      <c r="K55" s="191">
        <v>237356</v>
      </c>
      <c r="L55" s="182">
        <v>128555</v>
      </c>
      <c r="M55" s="182">
        <v>288865</v>
      </c>
      <c r="N55" s="182">
        <v>288865</v>
      </c>
    </row>
    <row r="56" spans="1:14" x14ac:dyDescent="0.25">
      <c r="A56" s="189" t="s">
        <v>542</v>
      </c>
      <c r="B56" s="189" t="s">
        <v>194</v>
      </c>
      <c r="C56" s="189" t="s">
        <v>195</v>
      </c>
      <c r="D56" s="189" t="s">
        <v>541</v>
      </c>
      <c r="E56" s="182">
        <v>681819</v>
      </c>
      <c r="F56" s="182">
        <v>1250684</v>
      </c>
      <c r="G56" s="182">
        <v>1250684</v>
      </c>
      <c r="H56" s="182">
        <v>0</v>
      </c>
      <c r="I56" s="182">
        <v>724463</v>
      </c>
      <c r="J56" s="182">
        <v>0</v>
      </c>
      <c r="K56" s="191">
        <v>237356</v>
      </c>
      <c r="L56" s="182">
        <v>128555</v>
      </c>
      <c r="M56" s="182">
        <v>288865</v>
      </c>
      <c r="N56" s="182">
        <v>288865</v>
      </c>
    </row>
    <row r="57" spans="1:14" x14ac:dyDescent="0.25">
      <c r="A57" s="189" t="s">
        <v>542</v>
      </c>
      <c r="B57" s="189" t="s">
        <v>196</v>
      </c>
      <c r="C57" s="189" t="s">
        <v>197</v>
      </c>
      <c r="D57" s="189" t="s">
        <v>541</v>
      </c>
      <c r="E57" s="182">
        <v>1000000</v>
      </c>
      <c r="F57" s="182">
        <v>1000000</v>
      </c>
      <c r="G57" s="182">
        <v>1000000</v>
      </c>
      <c r="H57" s="182">
        <v>0</v>
      </c>
      <c r="I57" s="182">
        <v>1000000</v>
      </c>
      <c r="J57" s="182">
        <v>0</v>
      </c>
      <c r="K57" s="191">
        <v>0</v>
      </c>
      <c r="L57" s="182">
        <v>0</v>
      </c>
      <c r="M57" s="182">
        <v>0</v>
      </c>
      <c r="N57" s="182">
        <v>0</v>
      </c>
    </row>
    <row r="58" spans="1:14" x14ac:dyDescent="0.25">
      <c r="A58" s="189" t="s">
        <v>542</v>
      </c>
      <c r="B58" s="189" t="s">
        <v>198</v>
      </c>
      <c r="C58" s="189" t="s">
        <v>199</v>
      </c>
      <c r="D58" s="189" t="s">
        <v>541</v>
      </c>
      <c r="E58" s="182">
        <v>1000000</v>
      </c>
      <c r="F58" s="182">
        <v>1000000</v>
      </c>
      <c r="G58" s="182">
        <v>1000000</v>
      </c>
      <c r="H58" s="182">
        <v>0</v>
      </c>
      <c r="I58" s="182">
        <v>1000000</v>
      </c>
      <c r="J58" s="182">
        <v>0</v>
      </c>
      <c r="K58" s="191">
        <v>0</v>
      </c>
      <c r="L58" s="182">
        <v>0</v>
      </c>
      <c r="M58" s="182">
        <v>0</v>
      </c>
      <c r="N58" s="182">
        <v>0</v>
      </c>
    </row>
    <row r="59" spans="1:14" x14ac:dyDescent="0.25">
      <c r="A59" s="189" t="s">
        <v>542</v>
      </c>
      <c r="B59" s="189" t="s">
        <v>200</v>
      </c>
      <c r="C59" s="189" t="s">
        <v>201</v>
      </c>
      <c r="D59" s="189" t="s">
        <v>541</v>
      </c>
      <c r="E59" s="182">
        <v>42229000</v>
      </c>
      <c r="F59" s="182">
        <v>42229000</v>
      </c>
      <c r="G59" s="182">
        <v>38129000</v>
      </c>
      <c r="H59" s="182">
        <v>1863531.39</v>
      </c>
      <c r="I59" s="182">
        <v>4784539.45</v>
      </c>
      <c r="J59" s="182">
        <v>710171.03</v>
      </c>
      <c r="K59" s="191">
        <v>19188039.379999999</v>
      </c>
      <c r="L59" s="182">
        <v>19188039.379999999</v>
      </c>
      <c r="M59" s="182">
        <v>15682718.75</v>
      </c>
      <c r="N59" s="182">
        <v>11582718.75</v>
      </c>
    </row>
    <row r="60" spans="1:14" x14ac:dyDescent="0.25">
      <c r="A60" s="189" t="s">
        <v>542</v>
      </c>
      <c r="B60" s="189" t="s">
        <v>202</v>
      </c>
      <c r="C60" s="189" t="s">
        <v>203</v>
      </c>
      <c r="D60" s="189" t="s">
        <v>541</v>
      </c>
      <c r="E60" s="182">
        <v>17137000</v>
      </c>
      <c r="F60" s="182">
        <v>17137000</v>
      </c>
      <c r="G60" s="182">
        <v>13037000</v>
      </c>
      <c r="H60" s="182">
        <v>0</v>
      </c>
      <c r="I60" s="182">
        <v>2092922</v>
      </c>
      <c r="J60" s="182">
        <v>0</v>
      </c>
      <c r="K60" s="191">
        <v>9958763</v>
      </c>
      <c r="L60" s="182">
        <v>9958763</v>
      </c>
      <c r="M60" s="182">
        <v>5085315</v>
      </c>
      <c r="N60" s="182">
        <v>985315</v>
      </c>
    </row>
    <row r="61" spans="1:14" x14ac:dyDescent="0.25">
      <c r="A61" s="189" t="s">
        <v>542</v>
      </c>
      <c r="B61" s="189" t="s">
        <v>204</v>
      </c>
      <c r="C61" s="189" t="s">
        <v>205</v>
      </c>
      <c r="D61" s="189" t="s">
        <v>541</v>
      </c>
      <c r="E61" s="182">
        <v>11100000</v>
      </c>
      <c r="F61" s="182">
        <v>11100000</v>
      </c>
      <c r="G61" s="182">
        <v>7000000</v>
      </c>
      <c r="H61" s="182">
        <v>0</v>
      </c>
      <c r="I61" s="182">
        <v>2092922</v>
      </c>
      <c r="J61" s="182">
        <v>0</v>
      </c>
      <c r="K61" s="191">
        <v>4907078</v>
      </c>
      <c r="L61" s="182">
        <v>4907078</v>
      </c>
      <c r="M61" s="182">
        <v>4100000</v>
      </c>
      <c r="N61" s="182">
        <v>0</v>
      </c>
    </row>
    <row r="62" spans="1:14" x14ac:dyDescent="0.25">
      <c r="A62" s="189" t="s">
        <v>542</v>
      </c>
      <c r="B62" s="189" t="s">
        <v>206</v>
      </c>
      <c r="C62" s="189" t="s">
        <v>207</v>
      </c>
      <c r="D62" s="189" t="s">
        <v>541</v>
      </c>
      <c r="E62" s="182">
        <v>5000000</v>
      </c>
      <c r="F62" s="182">
        <v>5000000</v>
      </c>
      <c r="G62" s="182">
        <v>5000000</v>
      </c>
      <c r="H62" s="182">
        <v>0</v>
      </c>
      <c r="I62" s="182">
        <v>0</v>
      </c>
      <c r="J62" s="182">
        <v>0</v>
      </c>
      <c r="K62" s="191">
        <v>4948905</v>
      </c>
      <c r="L62" s="182">
        <v>4948905</v>
      </c>
      <c r="M62" s="182">
        <v>51095</v>
      </c>
      <c r="N62" s="182">
        <v>51095</v>
      </c>
    </row>
    <row r="63" spans="1:14" x14ac:dyDescent="0.25">
      <c r="A63" s="189" t="s">
        <v>542</v>
      </c>
      <c r="B63" s="189" t="s">
        <v>208</v>
      </c>
      <c r="C63" s="189" t="s">
        <v>209</v>
      </c>
      <c r="D63" s="189" t="s">
        <v>541</v>
      </c>
      <c r="E63" s="182">
        <v>126000</v>
      </c>
      <c r="F63" s="182">
        <v>126000</v>
      </c>
      <c r="G63" s="182">
        <v>126000</v>
      </c>
      <c r="H63" s="182">
        <v>0</v>
      </c>
      <c r="I63" s="182">
        <v>0</v>
      </c>
      <c r="J63" s="182">
        <v>0</v>
      </c>
      <c r="K63" s="191">
        <v>102780</v>
      </c>
      <c r="L63" s="182">
        <v>102780</v>
      </c>
      <c r="M63" s="182">
        <v>23220</v>
      </c>
      <c r="N63" s="182">
        <v>23220</v>
      </c>
    </row>
    <row r="64" spans="1:14" x14ac:dyDescent="0.25">
      <c r="A64" s="189" t="s">
        <v>542</v>
      </c>
      <c r="B64" s="189" t="s">
        <v>210</v>
      </c>
      <c r="C64" s="189" t="s">
        <v>211</v>
      </c>
      <c r="D64" s="189" t="s">
        <v>541</v>
      </c>
      <c r="E64" s="182">
        <v>911000</v>
      </c>
      <c r="F64" s="182">
        <v>911000</v>
      </c>
      <c r="G64" s="182">
        <v>911000</v>
      </c>
      <c r="H64" s="182">
        <v>0</v>
      </c>
      <c r="I64" s="182">
        <v>0</v>
      </c>
      <c r="J64" s="182">
        <v>0</v>
      </c>
      <c r="K64" s="191">
        <v>0</v>
      </c>
      <c r="L64" s="182">
        <v>0</v>
      </c>
      <c r="M64" s="182">
        <v>911000</v>
      </c>
      <c r="N64" s="182">
        <v>911000</v>
      </c>
    </row>
    <row r="65" spans="1:14" x14ac:dyDescent="0.25">
      <c r="A65" s="189" t="s">
        <v>542</v>
      </c>
      <c r="B65" s="189" t="s">
        <v>212</v>
      </c>
      <c r="C65" s="189" t="s">
        <v>213</v>
      </c>
      <c r="D65" s="189" t="s">
        <v>541</v>
      </c>
      <c r="E65" s="182">
        <v>3000000</v>
      </c>
      <c r="F65" s="182">
        <v>3000000</v>
      </c>
      <c r="G65" s="182">
        <v>3000000</v>
      </c>
      <c r="H65" s="182">
        <v>0</v>
      </c>
      <c r="I65" s="182">
        <v>655089</v>
      </c>
      <c r="J65" s="182">
        <v>0</v>
      </c>
      <c r="K65" s="191">
        <v>1373924</v>
      </c>
      <c r="L65" s="182">
        <v>1373924</v>
      </c>
      <c r="M65" s="182">
        <v>970987</v>
      </c>
      <c r="N65" s="182">
        <v>970987</v>
      </c>
    </row>
    <row r="66" spans="1:14" x14ac:dyDescent="0.25">
      <c r="A66" s="189" t="s">
        <v>542</v>
      </c>
      <c r="B66" s="189" t="s">
        <v>214</v>
      </c>
      <c r="C66" s="189" t="s">
        <v>215</v>
      </c>
      <c r="D66" s="189" t="s">
        <v>541</v>
      </c>
      <c r="E66" s="182">
        <v>3000000</v>
      </c>
      <c r="F66" s="182">
        <v>3000000</v>
      </c>
      <c r="G66" s="182">
        <v>3000000</v>
      </c>
      <c r="H66" s="182">
        <v>0</v>
      </c>
      <c r="I66" s="182">
        <v>655089</v>
      </c>
      <c r="J66" s="182">
        <v>0</v>
      </c>
      <c r="K66" s="191">
        <v>1373924</v>
      </c>
      <c r="L66" s="182">
        <v>1373924</v>
      </c>
      <c r="M66" s="182">
        <v>970987</v>
      </c>
      <c r="N66" s="182">
        <v>970987</v>
      </c>
    </row>
    <row r="67" spans="1:14" x14ac:dyDescent="0.25">
      <c r="A67" s="189" t="s">
        <v>542</v>
      </c>
      <c r="B67" s="189" t="s">
        <v>216</v>
      </c>
      <c r="C67" s="189" t="s">
        <v>217</v>
      </c>
      <c r="D67" s="189" t="s">
        <v>541</v>
      </c>
      <c r="E67" s="182">
        <v>936000</v>
      </c>
      <c r="F67" s="182">
        <v>936000</v>
      </c>
      <c r="G67" s="182">
        <v>936000</v>
      </c>
      <c r="H67" s="182">
        <v>0</v>
      </c>
      <c r="I67" s="182">
        <v>80000</v>
      </c>
      <c r="J67" s="182">
        <v>162547.20000000001</v>
      </c>
      <c r="K67" s="191">
        <v>508225</v>
      </c>
      <c r="L67" s="182">
        <v>508225</v>
      </c>
      <c r="M67" s="182">
        <v>185227.8</v>
      </c>
      <c r="N67" s="182">
        <v>185227.8</v>
      </c>
    </row>
    <row r="68" spans="1:14" x14ac:dyDescent="0.25">
      <c r="A68" s="189" t="s">
        <v>542</v>
      </c>
      <c r="B68" s="189" t="s">
        <v>220</v>
      </c>
      <c r="C68" s="189" t="s">
        <v>221</v>
      </c>
      <c r="D68" s="189" t="s">
        <v>541</v>
      </c>
      <c r="E68" s="182">
        <v>771000</v>
      </c>
      <c r="F68" s="182">
        <v>771000</v>
      </c>
      <c r="G68" s="182">
        <v>771000</v>
      </c>
      <c r="H68" s="182">
        <v>0</v>
      </c>
      <c r="I68" s="182">
        <v>80000</v>
      </c>
      <c r="J68" s="182">
        <v>0</v>
      </c>
      <c r="K68" s="191">
        <v>508225</v>
      </c>
      <c r="L68" s="182">
        <v>508225</v>
      </c>
      <c r="M68" s="182">
        <v>182775</v>
      </c>
      <c r="N68" s="182">
        <v>182775</v>
      </c>
    </row>
    <row r="69" spans="1:14" x14ac:dyDescent="0.25">
      <c r="A69" s="189" t="s">
        <v>542</v>
      </c>
      <c r="B69" s="189" t="s">
        <v>224</v>
      </c>
      <c r="C69" s="189" t="s">
        <v>225</v>
      </c>
      <c r="D69" s="189" t="s">
        <v>541</v>
      </c>
      <c r="E69" s="182">
        <v>165000</v>
      </c>
      <c r="F69" s="182">
        <v>165000</v>
      </c>
      <c r="G69" s="182">
        <v>165000</v>
      </c>
      <c r="H69" s="182">
        <v>0</v>
      </c>
      <c r="I69" s="182">
        <v>0</v>
      </c>
      <c r="J69" s="182">
        <v>162547.20000000001</v>
      </c>
      <c r="K69" s="191">
        <v>0</v>
      </c>
      <c r="L69" s="182">
        <v>0</v>
      </c>
      <c r="M69" s="182">
        <v>2452.8000000000002</v>
      </c>
      <c r="N69" s="182">
        <v>2452.8000000000002</v>
      </c>
    </row>
    <row r="70" spans="1:14" x14ac:dyDescent="0.25">
      <c r="A70" s="189" t="s">
        <v>542</v>
      </c>
      <c r="B70" s="189" t="s">
        <v>228</v>
      </c>
      <c r="C70" s="189" t="s">
        <v>229</v>
      </c>
      <c r="D70" s="189" t="s">
        <v>541</v>
      </c>
      <c r="E70" s="182">
        <v>312000</v>
      </c>
      <c r="F70" s="182">
        <v>312000</v>
      </c>
      <c r="G70" s="182">
        <v>312000</v>
      </c>
      <c r="H70" s="182">
        <v>0</v>
      </c>
      <c r="I70" s="182">
        <v>0</v>
      </c>
      <c r="J70" s="182">
        <v>0</v>
      </c>
      <c r="K70" s="191">
        <v>0</v>
      </c>
      <c r="L70" s="182">
        <v>0</v>
      </c>
      <c r="M70" s="182">
        <v>312000</v>
      </c>
      <c r="N70" s="182">
        <v>312000</v>
      </c>
    </row>
    <row r="71" spans="1:14" x14ac:dyDescent="0.25">
      <c r="A71" s="189" t="s">
        <v>542</v>
      </c>
      <c r="B71" s="189" t="s">
        <v>230</v>
      </c>
      <c r="C71" s="189" t="s">
        <v>231</v>
      </c>
      <c r="D71" s="189" t="s">
        <v>541</v>
      </c>
      <c r="E71" s="182">
        <v>206000</v>
      </c>
      <c r="F71" s="182">
        <v>206000</v>
      </c>
      <c r="G71" s="182">
        <v>206000</v>
      </c>
      <c r="H71" s="182">
        <v>0</v>
      </c>
      <c r="I71" s="182">
        <v>0</v>
      </c>
      <c r="J71" s="182">
        <v>0</v>
      </c>
      <c r="K71" s="191">
        <v>0</v>
      </c>
      <c r="L71" s="182">
        <v>0</v>
      </c>
      <c r="M71" s="182">
        <v>206000</v>
      </c>
      <c r="N71" s="182">
        <v>206000</v>
      </c>
    </row>
    <row r="72" spans="1:14" x14ac:dyDescent="0.25">
      <c r="A72" s="189" t="s">
        <v>542</v>
      </c>
      <c r="B72" s="189" t="s">
        <v>232</v>
      </c>
      <c r="C72" s="189" t="s">
        <v>233</v>
      </c>
      <c r="D72" s="189" t="s">
        <v>541</v>
      </c>
      <c r="E72" s="182">
        <v>106000</v>
      </c>
      <c r="F72" s="182">
        <v>106000</v>
      </c>
      <c r="G72" s="182">
        <v>106000</v>
      </c>
      <c r="H72" s="182">
        <v>0</v>
      </c>
      <c r="I72" s="182">
        <v>0</v>
      </c>
      <c r="J72" s="182">
        <v>0</v>
      </c>
      <c r="K72" s="191">
        <v>0</v>
      </c>
      <c r="L72" s="182">
        <v>0</v>
      </c>
      <c r="M72" s="182">
        <v>106000</v>
      </c>
      <c r="N72" s="182">
        <v>106000</v>
      </c>
    </row>
    <row r="73" spans="1:14" x14ac:dyDescent="0.25">
      <c r="A73" s="189" t="s">
        <v>542</v>
      </c>
      <c r="B73" s="189" t="s">
        <v>234</v>
      </c>
      <c r="C73" s="189" t="s">
        <v>601</v>
      </c>
      <c r="D73" s="189" t="s">
        <v>541</v>
      </c>
      <c r="E73" s="182">
        <v>20844000</v>
      </c>
      <c r="F73" s="182">
        <v>20844000</v>
      </c>
      <c r="G73" s="182">
        <v>20844000</v>
      </c>
      <c r="H73" s="182">
        <v>1863531.39</v>
      </c>
      <c r="I73" s="182">
        <v>1956528.45</v>
      </c>
      <c r="J73" s="182">
        <v>547623.82999999996</v>
      </c>
      <c r="K73" s="191">
        <v>7347127.3799999999</v>
      </c>
      <c r="L73" s="182">
        <v>7347127.3799999999</v>
      </c>
      <c r="M73" s="182">
        <v>9129188.9499999993</v>
      </c>
      <c r="N73" s="182">
        <v>9129188.9499999993</v>
      </c>
    </row>
    <row r="74" spans="1:14" x14ac:dyDescent="0.25">
      <c r="A74" s="189" t="s">
        <v>542</v>
      </c>
      <c r="B74" s="189" t="s">
        <v>235</v>
      </c>
      <c r="C74" s="189" t="s">
        <v>236</v>
      </c>
      <c r="D74" s="189" t="s">
        <v>541</v>
      </c>
      <c r="E74" s="182">
        <v>3000000</v>
      </c>
      <c r="F74" s="182">
        <v>3000000</v>
      </c>
      <c r="G74" s="182">
        <v>3000000</v>
      </c>
      <c r="H74" s="182">
        <v>0</v>
      </c>
      <c r="I74" s="182">
        <v>777919.45</v>
      </c>
      <c r="J74" s="182">
        <v>547623.82999999996</v>
      </c>
      <c r="K74" s="191">
        <v>1486001.52</v>
      </c>
      <c r="L74" s="182">
        <v>1486001.52</v>
      </c>
      <c r="M74" s="182">
        <v>188455.2</v>
      </c>
      <c r="N74" s="182">
        <v>188455.2</v>
      </c>
    </row>
    <row r="75" spans="1:14" x14ac:dyDescent="0.25">
      <c r="A75" s="189" t="s">
        <v>542</v>
      </c>
      <c r="B75" s="189" t="s">
        <v>237</v>
      </c>
      <c r="C75" s="189" t="s">
        <v>238</v>
      </c>
      <c r="D75" s="189" t="s">
        <v>541</v>
      </c>
      <c r="E75" s="182">
        <v>271000</v>
      </c>
      <c r="F75" s="182">
        <v>271000</v>
      </c>
      <c r="G75" s="182">
        <v>271000</v>
      </c>
      <c r="H75" s="182">
        <v>0</v>
      </c>
      <c r="I75" s="182">
        <v>0</v>
      </c>
      <c r="J75" s="182">
        <v>0</v>
      </c>
      <c r="K75" s="191">
        <v>264500</v>
      </c>
      <c r="L75" s="182">
        <v>264500</v>
      </c>
      <c r="M75" s="182">
        <v>6500</v>
      </c>
      <c r="N75" s="182">
        <v>6500</v>
      </c>
    </row>
    <row r="76" spans="1:14" x14ac:dyDescent="0.25">
      <c r="A76" s="189" t="s">
        <v>542</v>
      </c>
      <c r="B76" s="189" t="s">
        <v>239</v>
      </c>
      <c r="C76" s="189" t="s">
        <v>240</v>
      </c>
      <c r="D76" s="189" t="s">
        <v>541</v>
      </c>
      <c r="E76" s="182">
        <v>12000000</v>
      </c>
      <c r="F76" s="182">
        <v>4000000</v>
      </c>
      <c r="G76" s="182">
        <v>4000000</v>
      </c>
      <c r="H76" s="182">
        <v>422531.39</v>
      </c>
      <c r="I76" s="182">
        <v>1067749</v>
      </c>
      <c r="J76" s="182">
        <v>0</v>
      </c>
      <c r="K76" s="191">
        <v>2499350.92</v>
      </c>
      <c r="L76" s="182">
        <v>2499350.92</v>
      </c>
      <c r="M76" s="182">
        <v>10368.69</v>
      </c>
      <c r="N76" s="182">
        <v>10368.69</v>
      </c>
    </row>
    <row r="77" spans="1:14" x14ac:dyDescent="0.25">
      <c r="A77" s="189" t="s">
        <v>542</v>
      </c>
      <c r="B77" s="189" t="s">
        <v>241</v>
      </c>
      <c r="C77" s="189" t="s">
        <v>242</v>
      </c>
      <c r="D77" s="189" t="s">
        <v>541</v>
      </c>
      <c r="E77" s="182">
        <v>1445000</v>
      </c>
      <c r="F77" s="182">
        <v>1445000</v>
      </c>
      <c r="G77" s="182">
        <v>1445000</v>
      </c>
      <c r="H77" s="182">
        <v>1441000</v>
      </c>
      <c r="I77" s="182">
        <v>0</v>
      </c>
      <c r="J77" s="182">
        <v>0</v>
      </c>
      <c r="K77" s="191">
        <v>0</v>
      </c>
      <c r="L77" s="182">
        <v>0</v>
      </c>
      <c r="M77" s="182">
        <v>4000</v>
      </c>
      <c r="N77" s="182">
        <v>4000</v>
      </c>
    </row>
    <row r="78" spans="1:14" x14ac:dyDescent="0.25">
      <c r="A78" s="189" t="s">
        <v>542</v>
      </c>
      <c r="B78" s="189" t="s">
        <v>243</v>
      </c>
      <c r="C78" s="189" t="s">
        <v>244</v>
      </c>
      <c r="D78" s="189" t="s">
        <v>541</v>
      </c>
      <c r="E78" s="182">
        <v>2500000</v>
      </c>
      <c r="F78" s="182">
        <v>10500000</v>
      </c>
      <c r="G78" s="182">
        <v>10500000</v>
      </c>
      <c r="H78" s="182">
        <v>0</v>
      </c>
      <c r="I78" s="182">
        <v>0</v>
      </c>
      <c r="J78" s="182">
        <v>0</v>
      </c>
      <c r="K78" s="191">
        <v>1823105.44</v>
      </c>
      <c r="L78" s="182">
        <v>1823105.44</v>
      </c>
      <c r="M78" s="182">
        <v>8676894.5600000005</v>
      </c>
      <c r="N78" s="182">
        <v>8676894.5600000005</v>
      </c>
    </row>
    <row r="79" spans="1:14" x14ac:dyDescent="0.25">
      <c r="A79" s="189" t="s">
        <v>542</v>
      </c>
      <c r="B79" s="189" t="s">
        <v>245</v>
      </c>
      <c r="C79" s="189" t="s">
        <v>246</v>
      </c>
      <c r="D79" s="189" t="s">
        <v>541</v>
      </c>
      <c r="E79" s="182">
        <v>66000</v>
      </c>
      <c r="F79" s="182">
        <v>66000</v>
      </c>
      <c r="G79" s="182">
        <v>66000</v>
      </c>
      <c r="H79" s="182">
        <v>0</v>
      </c>
      <c r="I79" s="182">
        <v>0</v>
      </c>
      <c r="J79" s="182">
        <v>0</v>
      </c>
      <c r="K79" s="191">
        <v>63800</v>
      </c>
      <c r="L79" s="182">
        <v>63800</v>
      </c>
      <c r="M79" s="182">
        <v>2200</v>
      </c>
      <c r="N79" s="182">
        <v>2200</v>
      </c>
    </row>
    <row r="80" spans="1:14" x14ac:dyDescent="0.25">
      <c r="A80" s="189" t="s">
        <v>542</v>
      </c>
      <c r="B80" s="189" t="s">
        <v>247</v>
      </c>
      <c r="C80" s="189" t="s">
        <v>248</v>
      </c>
      <c r="D80" s="189" t="s">
        <v>541</v>
      </c>
      <c r="E80" s="182">
        <v>562000</v>
      </c>
      <c r="F80" s="182">
        <v>562000</v>
      </c>
      <c r="G80" s="182">
        <v>562000</v>
      </c>
      <c r="H80" s="182">
        <v>0</v>
      </c>
      <c r="I80" s="182">
        <v>0</v>
      </c>
      <c r="J80" s="182">
        <v>0</v>
      </c>
      <c r="K80" s="191">
        <v>328670</v>
      </c>
      <c r="L80" s="182">
        <v>328670</v>
      </c>
      <c r="M80" s="182">
        <v>233330</v>
      </c>
      <c r="N80" s="182">
        <v>233330</v>
      </c>
    </row>
    <row r="81" spans="1:14" x14ac:dyDescent="0.25">
      <c r="A81" s="189" t="s">
        <v>542</v>
      </c>
      <c r="B81" s="189" t="s">
        <v>249</v>
      </c>
      <c r="C81" s="189" t="s">
        <v>250</v>
      </c>
      <c r="D81" s="189" t="s">
        <v>541</v>
      </c>
      <c r="E81" s="182">
        <v>1000000</v>
      </c>
      <c r="F81" s="182">
        <v>1000000</v>
      </c>
      <c r="G81" s="182">
        <v>1000000</v>
      </c>
      <c r="H81" s="182">
        <v>0</v>
      </c>
      <c r="I81" s="182">
        <v>110860</v>
      </c>
      <c r="J81" s="182">
        <v>0</v>
      </c>
      <c r="K81" s="191">
        <v>881699.5</v>
      </c>
      <c r="L81" s="182">
        <v>881699.5</v>
      </c>
      <c r="M81" s="182">
        <v>7440.5</v>
      </c>
      <c r="N81" s="182">
        <v>7440.5</v>
      </c>
    </row>
    <row r="82" spans="1:14" x14ac:dyDescent="0.25">
      <c r="A82" s="189" t="s">
        <v>542</v>
      </c>
      <c r="B82" s="189" t="s">
        <v>279</v>
      </c>
      <c r="C82" s="189" t="s">
        <v>280</v>
      </c>
      <c r="D82" s="189" t="s">
        <v>543</v>
      </c>
      <c r="E82" s="182">
        <v>17098648</v>
      </c>
      <c r="F82" s="182">
        <v>17098648</v>
      </c>
      <c r="G82" s="182">
        <v>17098648</v>
      </c>
      <c r="H82" s="182">
        <v>4526759.87</v>
      </c>
      <c r="I82" s="182">
        <v>1549576.5</v>
      </c>
      <c r="J82" s="182">
        <v>0</v>
      </c>
      <c r="K82" s="191">
        <v>0</v>
      </c>
      <c r="L82" s="182">
        <v>0</v>
      </c>
      <c r="M82" s="182">
        <v>11022311.630000001</v>
      </c>
      <c r="N82" s="182">
        <v>11022311.630000001</v>
      </c>
    </row>
    <row r="83" spans="1:14" x14ac:dyDescent="0.25">
      <c r="A83" s="189" t="s">
        <v>542</v>
      </c>
      <c r="B83" s="189" t="s">
        <v>281</v>
      </c>
      <c r="C83" s="189" t="s">
        <v>282</v>
      </c>
      <c r="D83" s="189" t="s">
        <v>543</v>
      </c>
      <c r="E83" s="182">
        <v>16598648</v>
      </c>
      <c r="F83" s="182">
        <v>16598648</v>
      </c>
      <c r="G83" s="182">
        <v>16598648</v>
      </c>
      <c r="H83" s="182">
        <v>4526759.87</v>
      </c>
      <c r="I83" s="182">
        <v>1549576.5</v>
      </c>
      <c r="J83" s="182">
        <v>0</v>
      </c>
      <c r="K83" s="191">
        <v>0</v>
      </c>
      <c r="L83" s="182">
        <v>0</v>
      </c>
      <c r="M83" s="182">
        <v>10522311.630000001</v>
      </c>
      <c r="N83" s="182">
        <v>10522311.630000001</v>
      </c>
    </row>
    <row r="84" spans="1:14" x14ac:dyDescent="0.25">
      <c r="A84" s="189" t="s">
        <v>542</v>
      </c>
      <c r="B84" s="189" t="s">
        <v>283</v>
      </c>
      <c r="C84" s="189" t="s">
        <v>284</v>
      </c>
      <c r="D84" s="189" t="s">
        <v>543</v>
      </c>
      <c r="E84" s="182">
        <v>3000000</v>
      </c>
      <c r="F84" s="182">
        <v>3000000</v>
      </c>
      <c r="G84" s="182">
        <v>3000000</v>
      </c>
      <c r="H84" s="182">
        <v>0</v>
      </c>
      <c r="I84" s="182">
        <v>0</v>
      </c>
      <c r="J84" s="182">
        <v>0</v>
      </c>
      <c r="K84" s="191">
        <v>0</v>
      </c>
      <c r="L84" s="182">
        <v>0</v>
      </c>
      <c r="M84" s="182">
        <v>3000000</v>
      </c>
      <c r="N84" s="182">
        <v>3000000</v>
      </c>
    </row>
    <row r="85" spans="1:14" x14ac:dyDescent="0.25">
      <c r="A85" s="189" t="s">
        <v>542</v>
      </c>
      <c r="B85" s="189" t="s">
        <v>285</v>
      </c>
      <c r="C85" s="189" t="s">
        <v>286</v>
      </c>
      <c r="D85" s="189" t="s">
        <v>543</v>
      </c>
      <c r="E85" s="182">
        <v>4000000</v>
      </c>
      <c r="F85" s="182">
        <v>4000000</v>
      </c>
      <c r="G85" s="182">
        <v>4000000</v>
      </c>
      <c r="H85" s="182">
        <v>0</v>
      </c>
      <c r="I85" s="182">
        <v>0</v>
      </c>
      <c r="J85" s="182">
        <v>0</v>
      </c>
      <c r="K85" s="191">
        <v>0</v>
      </c>
      <c r="L85" s="182">
        <v>0</v>
      </c>
      <c r="M85" s="182">
        <v>4000000</v>
      </c>
      <c r="N85" s="182">
        <v>4000000</v>
      </c>
    </row>
    <row r="86" spans="1:14" x14ac:dyDescent="0.25">
      <c r="A86" s="189" t="s">
        <v>542</v>
      </c>
      <c r="B86" s="189" t="s">
        <v>287</v>
      </c>
      <c r="C86" s="189" t="s">
        <v>288</v>
      </c>
      <c r="D86" s="189" t="s">
        <v>543</v>
      </c>
      <c r="E86" s="182">
        <v>6337648</v>
      </c>
      <c r="F86" s="182">
        <v>6337648</v>
      </c>
      <c r="G86" s="182">
        <v>6337648</v>
      </c>
      <c r="H86" s="182">
        <v>2286759.87</v>
      </c>
      <c r="I86" s="182">
        <v>1549576.5</v>
      </c>
      <c r="J86" s="182">
        <v>0</v>
      </c>
      <c r="K86" s="191">
        <v>0</v>
      </c>
      <c r="L86" s="182">
        <v>0</v>
      </c>
      <c r="M86" s="182">
        <v>2501311.63</v>
      </c>
      <c r="N86" s="182">
        <v>2501311.63</v>
      </c>
    </row>
    <row r="87" spans="1:14" x14ac:dyDescent="0.25">
      <c r="A87" s="189" t="s">
        <v>542</v>
      </c>
      <c r="B87" s="189" t="s">
        <v>293</v>
      </c>
      <c r="C87" s="189" t="s">
        <v>294</v>
      </c>
      <c r="D87" s="189" t="s">
        <v>543</v>
      </c>
      <c r="E87" s="182">
        <v>2261000</v>
      </c>
      <c r="F87" s="182">
        <v>2261000</v>
      </c>
      <c r="G87" s="182">
        <v>2261000</v>
      </c>
      <c r="H87" s="182">
        <v>2240000</v>
      </c>
      <c r="I87" s="182">
        <v>0</v>
      </c>
      <c r="J87" s="182">
        <v>0</v>
      </c>
      <c r="K87" s="191">
        <v>0</v>
      </c>
      <c r="L87" s="182">
        <v>0</v>
      </c>
      <c r="M87" s="182">
        <v>21000</v>
      </c>
      <c r="N87" s="182">
        <v>21000</v>
      </c>
    </row>
    <row r="88" spans="1:14" x14ac:dyDescent="0.25">
      <c r="A88" s="189" t="s">
        <v>542</v>
      </c>
      <c r="B88" s="189" t="s">
        <v>295</v>
      </c>
      <c r="C88" s="189" t="s">
        <v>296</v>
      </c>
      <c r="D88" s="189" t="s">
        <v>543</v>
      </c>
      <c r="E88" s="182">
        <v>1000000</v>
      </c>
      <c r="F88" s="182">
        <v>1000000</v>
      </c>
      <c r="G88" s="182">
        <v>1000000</v>
      </c>
      <c r="H88" s="182">
        <v>0</v>
      </c>
      <c r="I88" s="182">
        <v>0</v>
      </c>
      <c r="J88" s="182">
        <v>0</v>
      </c>
      <c r="K88" s="191">
        <v>0</v>
      </c>
      <c r="L88" s="182">
        <v>0</v>
      </c>
      <c r="M88" s="182">
        <v>1000000</v>
      </c>
      <c r="N88" s="182">
        <v>1000000</v>
      </c>
    </row>
    <row r="89" spans="1:14" x14ac:dyDescent="0.25">
      <c r="A89" s="189" t="s">
        <v>542</v>
      </c>
      <c r="B89" s="189" t="s">
        <v>340</v>
      </c>
      <c r="C89" s="189" t="s">
        <v>341</v>
      </c>
      <c r="D89" s="189" t="s">
        <v>543</v>
      </c>
      <c r="E89" s="182">
        <v>500000</v>
      </c>
      <c r="F89" s="182">
        <v>500000</v>
      </c>
      <c r="G89" s="182">
        <v>500000</v>
      </c>
      <c r="H89" s="182">
        <v>0</v>
      </c>
      <c r="I89" s="182">
        <v>0</v>
      </c>
      <c r="J89" s="182">
        <v>0</v>
      </c>
      <c r="K89" s="191">
        <v>0</v>
      </c>
      <c r="L89" s="182">
        <v>0</v>
      </c>
      <c r="M89" s="182">
        <v>500000</v>
      </c>
      <c r="N89" s="182">
        <v>500000</v>
      </c>
    </row>
    <row r="90" spans="1:14" x14ac:dyDescent="0.25">
      <c r="A90" s="189" t="s">
        <v>542</v>
      </c>
      <c r="B90" s="189" t="s">
        <v>342</v>
      </c>
      <c r="C90" s="189" t="s">
        <v>343</v>
      </c>
      <c r="D90" s="189" t="s">
        <v>543</v>
      </c>
      <c r="E90" s="182">
        <v>500000</v>
      </c>
      <c r="F90" s="182">
        <v>500000</v>
      </c>
      <c r="G90" s="182">
        <v>500000</v>
      </c>
      <c r="H90" s="182">
        <v>0</v>
      </c>
      <c r="I90" s="182">
        <v>0</v>
      </c>
      <c r="J90" s="182">
        <v>0</v>
      </c>
      <c r="K90" s="191">
        <v>0</v>
      </c>
      <c r="L90" s="182">
        <v>0</v>
      </c>
      <c r="M90" s="182">
        <v>500000</v>
      </c>
      <c r="N90" s="182">
        <v>500000</v>
      </c>
    </row>
    <row r="91" spans="1:14" x14ac:dyDescent="0.25">
      <c r="A91" s="189" t="s">
        <v>542</v>
      </c>
      <c r="B91" s="189" t="s">
        <v>251</v>
      </c>
      <c r="C91" s="189" t="s">
        <v>252</v>
      </c>
      <c r="D91" s="189" t="s">
        <v>541</v>
      </c>
      <c r="E91" s="182">
        <v>731283000</v>
      </c>
      <c r="F91" s="182">
        <v>752902365</v>
      </c>
      <c r="G91" s="182">
        <v>575721518</v>
      </c>
      <c r="H91" s="182">
        <v>0</v>
      </c>
      <c r="I91" s="182">
        <v>74883280.260000005</v>
      </c>
      <c r="J91" s="182">
        <v>0</v>
      </c>
      <c r="K91" s="191">
        <v>496729038.83999997</v>
      </c>
      <c r="L91" s="182">
        <v>496729038.83999997</v>
      </c>
      <c r="M91" s="182">
        <v>181290045.90000001</v>
      </c>
      <c r="N91" s="182">
        <v>4109198.9</v>
      </c>
    </row>
    <row r="92" spans="1:14" x14ac:dyDescent="0.25">
      <c r="A92" s="189" t="s">
        <v>542</v>
      </c>
      <c r="B92" s="189" t="s">
        <v>253</v>
      </c>
      <c r="C92" s="189" t="s">
        <v>254</v>
      </c>
      <c r="D92" s="189" t="s">
        <v>541</v>
      </c>
      <c r="E92" s="182">
        <v>268185000</v>
      </c>
      <c r="F92" s="182">
        <v>268185000</v>
      </c>
      <c r="G92" s="182">
        <v>196839403.30000001</v>
      </c>
      <c r="H92" s="182">
        <v>0</v>
      </c>
      <c r="I92" s="182">
        <v>25039069.850000001</v>
      </c>
      <c r="J92" s="182">
        <v>0</v>
      </c>
      <c r="K92" s="191">
        <v>171717359.55000001</v>
      </c>
      <c r="L92" s="182">
        <v>171717359.55000001</v>
      </c>
      <c r="M92" s="182">
        <v>71428570.599999994</v>
      </c>
      <c r="N92" s="182">
        <v>82973.899999999994</v>
      </c>
    </row>
    <row r="93" spans="1:14" x14ac:dyDescent="0.25">
      <c r="A93" s="189" t="s">
        <v>542</v>
      </c>
      <c r="B93" s="189" t="s">
        <v>255</v>
      </c>
      <c r="C93" s="189" t="s">
        <v>256</v>
      </c>
      <c r="D93" s="189" t="s">
        <v>541</v>
      </c>
      <c r="E93" s="182">
        <v>2000000</v>
      </c>
      <c r="F93" s="182">
        <v>2000000</v>
      </c>
      <c r="G93" s="182">
        <v>2000000</v>
      </c>
      <c r="H93" s="182">
        <v>0</v>
      </c>
      <c r="I93" s="182">
        <v>0</v>
      </c>
      <c r="J93" s="182">
        <v>0</v>
      </c>
      <c r="K93" s="191">
        <v>2000000</v>
      </c>
      <c r="L93" s="182">
        <v>2000000</v>
      </c>
      <c r="M93" s="182">
        <v>0</v>
      </c>
      <c r="N93" s="182">
        <v>0</v>
      </c>
    </row>
    <row r="94" spans="1:14" x14ac:dyDescent="0.25">
      <c r="A94" s="189" t="s">
        <v>542</v>
      </c>
      <c r="B94" s="189" t="s">
        <v>257</v>
      </c>
      <c r="C94" s="189" t="s">
        <v>258</v>
      </c>
      <c r="D94" s="189" t="s">
        <v>541</v>
      </c>
      <c r="E94" s="182">
        <v>250000000</v>
      </c>
      <c r="F94" s="182">
        <v>250000000</v>
      </c>
      <c r="G94" s="182">
        <v>178654403.30000001</v>
      </c>
      <c r="H94" s="182">
        <v>0</v>
      </c>
      <c r="I94" s="182">
        <v>17857142.850000001</v>
      </c>
      <c r="J94" s="182">
        <v>0</v>
      </c>
      <c r="K94" s="191">
        <v>160714286.55000001</v>
      </c>
      <c r="L94" s="182">
        <v>160714286.55000001</v>
      </c>
      <c r="M94" s="182">
        <v>71428570.599999994</v>
      </c>
      <c r="N94" s="182">
        <v>82973.899999999994</v>
      </c>
    </row>
    <row r="95" spans="1:14" x14ac:dyDescent="0.25">
      <c r="A95" s="189" t="s">
        <v>542</v>
      </c>
      <c r="B95" s="189" t="s">
        <v>259</v>
      </c>
      <c r="C95" s="189" t="s">
        <v>602</v>
      </c>
      <c r="D95" s="189" t="s">
        <v>541</v>
      </c>
      <c r="E95" s="182">
        <v>13470000</v>
      </c>
      <c r="F95" s="182">
        <v>13470000</v>
      </c>
      <c r="G95" s="182">
        <v>13470000</v>
      </c>
      <c r="H95" s="182">
        <v>0</v>
      </c>
      <c r="I95" s="182">
        <v>5977510</v>
      </c>
      <c r="J95" s="182">
        <v>0</v>
      </c>
      <c r="K95" s="191">
        <v>7492490</v>
      </c>
      <c r="L95" s="182">
        <v>7492490</v>
      </c>
      <c r="M95" s="182">
        <v>0</v>
      </c>
      <c r="N95" s="182">
        <v>0</v>
      </c>
    </row>
    <row r="96" spans="1:14" x14ac:dyDescent="0.25">
      <c r="A96" s="189" t="s">
        <v>542</v>
      </c>
      <c r="B96" s="189" t="s">
        <v>260</v>
      </c>
      <c r="C96" s="189" t="s">
        <v>603</v>
      </c>
      <c r="D96" s="189" t="s">
        <v>541</v>
      </c>
      <c r="E96" s="182">
        <v>2715000</v>
      </c>
      <c r="F96" s="182">
        <v>2715000</v>
      </c>
      <c r="G96" s="182">
        <v>2715000</v>
      </c>
      <c r="H96" s="182">
        <v>0</v>
      </c>
      <c r="I96" s="182">
        <v>1204417</v>
      </c>
      <c r="J96" s="182">
        <v>0</v>
      </c>
      <c r="K96" s="191">
        <v>1510583</v>
      </c>
      <c r="L96" s="182">
        <v>1510583</v>
      </c>
      <c r="M96" s="182">
        <v>0</v>
      </c>
      <c r="N96" s="182">
        <v>0</v>
      </c>
    </row>
    <row r="97" spans="1:14" x14ac:dyDescent="0.25">
      <c r="A97" s="189" t="s">
        <v>542</v>
      </c>
      <c r="B97" s="189" t="s">
        <v>261</v>
      </c>
      <c r="C97" s="189" t="s">
        <v>262</v>
      </c>
      <c r="D97" s="189" t="s">
        <v>541</v>
      </c>
      <c r="E97" s="182">
        <v>39757000</v>
      </c>
      <c r="F97" s="182">
        <v>61376365</v>
      </c>
      <c r="G97" s="182">
        <v>61376364.700000003</v>
      </c>
      <c r="H97" s="182">
        <v>0</v>
      </c>
      <c r="I97" s="182">
        <v>1024072.91</v>
      </c>
      <c r="J97" s="182">
        <v>0</v>
      </c>
      <c r="K97" s="191">
        <v>56326066.789999999</v>
      </c>
      <c r="L97" s="182">
        <v>56326066.789999999</v>
      </c>
      <c r="M97" s="182">
        <v>4026225.3</v>
      </c>
      <c r="N97" s="182">
        <v>4026225</v>
      </c>
    </row>
    <row r="98" spans="1:14" x14ac:dyDescent="0.25">
      <c r="A98" s="189" t="s">
        <v>542</v>
      </c>
      <c r="B98" s="189" t="s">
        <v>263</v>
      </c>
      <c r="C98" s="189" t="s">
        <v>264</v>
      </c>
      <c r="D98" s="189" t="s">
        <v>541</v>
      </c>
      <c r="E98" s="182">
        <v>30000000</v>
      </c>
      <c r="F98" s="182">
        <v>51619365</v>
      </c>
      <c r="G98" s="182">
        <v>51619364.700000003</v>
      </c>
      <c r="H98" s="182">
        <v>0</v>
      </c>
      <c r="I98" s="182">
        <v>1024072.91</v>
      </c>
      <c r="J98" s="182">
        <v>0</v>
      </c>
      <c r="K98" s="191">
        <v>50595291.789999999</v>
      </c>
      <c r="L98" s="182">
        <v>50595291.789999999</v>
      </c>
      <c r="M98" s="182">
        <v>0.3</v>
      </c>
      <c r="N98" s="182">
        <v>0</v>
      </c>
    </row>
    <row r="99" spans="1:14" x14ac:dyDescent="0.25">
      <c r="A99" s="189" t="s">
        <v>542</v>
      </c>
      <c r="B99" s="189" t="s">
        <v>265</v>
      </c>
      <c r="C99" s="189" t="s">
        <v>266</v>
      </c>
      <c r="D99" s="189" t="s">
        <v>541</v>
      </c>
      <c r="E99" s="182">
        <v>9757000</v>
      </c>
      <c r="F99" s="182">
        <v>9757000</v>
      </c>
      <c r="G99" s="182">
        <v>9757000</v>
      </c>
      <c r="H99" s="182">
        <v>0</v>
      </c>
      <c r="I99" s="182">
        <v>0</v>
      </c>
      <c r="J99" s="182">
        <v>0</v>
      </c>
      <c r="K99" s="191">
        <v>5730775</v>
      </c>
      <c r="L99" s="182">
        <v>5730775</v>
      </c>
      <c r="M99" s="182">
        <v>4026225</v>
      </c>
      <c r="N99" s="182">
        <v>4026225</v>
      </c>
    </row>
    <row r="100" spans="1:14" x14ac:dyDescent="0.25">
      <c r="A100" s="189" t="s">
        <v>542</v>
      </c>
      <c r="B100" s="189" t="s">
        <v>273</v>
      </c>
      <c r="C100" s="189" t="s">
        <v>274</v>
      </c>
      <c r="D100" s="189" t="s">
        <v>541</v>
      </c>
      <c r="E100" s="182">
        <v>423341000</v>
      </c>
      <c r="F100" s="182">
        <v>423341000</v>
      </c>
      <c r="G100" s="182">
        <v>317505750</v>
      </c>
      <c r="H100" s="182">
        <v>0</v>
      </c>
      <c r="I100" s="182">
        <v>48820137.5</v>
      </c>
      <c r="J100" s="182">
        <v>0</v>
      </c>
      <c r="K100" s="191">
        <v>268685612.5</v>
      </c>
      <c r="L100" s="182">
        <v>268685612.5</v>
      </c>
      <c r="M100" s="182">
        <v>105835250</v>
      </c>
      <c r="N100" s="182">
        <v>0</v>
      </c>
    </row>
    <row r="101" spans="1:14" x14ac:dyDescent="0.25">
      <c r="A101" s="189" t="s">
        <v>542</v>
      </c>
      <c r="B101" s="189" t="s">
        <v>275</v>
      </c>
      <c r="C101" s="189" t="s">
        <v>276</v>
      </c>
      <c r="D101" s="189" t="s">
        <v>541</v>
      </c>
      <c r="E101" s="182">
        <v>406300000</v>
      </c>
      <c r="F101" s="182">
        <v>406300000</v>
      </c>
      <c r="G101" s="182">
        <v>300464750</v>
      </c>
      <c r="H101" s="182">
        <v>0</v>
      </c>
      <c r="I101" s="182">
        <v>35278418</v>
      </c>
      <c r="J101" s="182">
        <v>0</v>
      </c>
      <c r="K101" s="191">
        <v>265186332</v>
      </c>
      <c r="L101" s="182">
        <v>265186332</v>
      </c>
      <c r="M101" s="182">
        <v>105835250</v>
      </c>
      <c r="N101" s="182">
        <v>0</v>
      </c>
    </row>
    <row r="102" spans="1:14" x14ac:dyDescent="0.25">
      <c r="A102" s="189" t="s">
        <v>542</v>
      </c>
      <c r="B102" s="189" t="s">
        <v>561</v>
      </c>
      <c r="C102" s="189" t="s">
        <v>584</v>
      </c>
      <c r="D102" s="189" t="s">
        <v>541</v>
      </c>
      <c r="E102" s="182">
        <v>13364000</v>
      </c>
      <c r="F102" s="182">
        <v>13364000</v>
      </c>
      <c r="G102" s="182">
        <v>13364000</v>
      </c>
      <c r="H102" s="182">
        <v>0</v>
      </c>
      <c r="I102" s="182">
        <v>13364000</v>
      </c>
      <c r="J102" s="182">
        <v>0</v>
      </c>
      <c r="K102" s="191">
        <v>0</v>
      </c>
      <c r="L102" s="182">
        <v>0</v>
      </c>
      <c r="M102" s="182">
        <v>0</v>
      </c>
      <c r="N102" s="182">
        <v>0</v>
      </c>
    </row>
    <row r="103" spans="1:14" x14ac:dyDescent="0.25">
      <c r="A103" s="189" t="s">
        <v>542</v>
      </c>
      <c r="B103" s="189" t="s">
        <v>277</v>
      </c>
      <c r="C103" s="189" t="s">
        <v>278</v>
      </c>
      <c r="D103" s="189" t="s">
        <v>541</v>
      </c>
      <c r="E103" s="182">
        <v>3677000</v>
      </c>
      <c r="F103" s="182">
        <v>3677000</v>
      </c>
      <c r="G103" s="182">
        <v>3677000</v>
      </c>
      <c r="H103" s="182">
        <v>0</v>
      </c>
      <c r="I103" s="182">
        <v>177719.5</v>
      </c>
      <c r="J103" s="182">
        <v>0</v>
      </c>
      <c r="K103" s="191">
        <v>3499280.5</v>
      </c>
      <c r="L103" s="182">
        <v>3499280.5</v>
      </c>
      <c r="M103" s="182">
        <v>0</v>
      </c>
      <c r="N103" s="182">
        <v>0</v>
      </c>
    </row>
    <row r="104" spans="1:14" x14ac:dyDescent="0.25">
      <c r="A104" s="189" t="s">
        <v>544</v>
      </c>
      <c r="B104" s="189" t="s">
        <v>587</v>
      </c>
      <c r="C104" s="189" t="s">
        <v>587</v>
      </c>
      <c r="D104" s="189" t="s">
        <v>541</v>
      </c>
      <c r="E104" s="182">
        <v>1241247489</v>
      </c>
      <c r="F104" s="182">
        <v>1241247489</v>
      </c>
      <c r="G104" s="182">
        <v>1174152355.8499999</v>
      </c>
      <c r="H104" s="182">
        <v>16575182.640000001</v>
      </c>
      <c r="I104" s="182">
        <v>89477174.980000004</v>
      </c>
      <c r="J104" s="182">
        <v>250540</v>
      </c>
      <c r="K104" s="191">
        <v>628748713.33000004</v>
      </c>
      <c r="L104" s="182">
        <v>623095842.48000002</v>
      </c>
      <c r="M104" s="182">
        <v>506195878.05000001</v>
      </c>
      <c r="N104" s="182">
        <v>439100744.89999998</v>
      </c>
    </row>
    <row r="105" spans="1:14" x14ac:dyDescent="0.25">
      <c r="A105" s="189" t="s">
        <v>544</v>
      </c>
      <c r="B105" s="189" t="s">
        <v>92</v>
      </c>
      <c r="C105" s="189" t="s">
        <v>93</v>
      </c>
      <c r="D105" s="189" t="s">
        <v>541</v>
      </c>
      <c r="E105" s="182">
        <v>953910000</v>
      </c>
      <c r="F105" s="182">
        <v>953910000</v>
      </c>
      <c r="G105" s="182">
        <v>913201000</v>
      </c>
      <c r="H105" s="182">
        <v>0</v>
      </c>
      <c r="I105" s="182">
        <v>61162282</v>
      </c>
      <c r="J105" s="182">
        <v>0</v>
      </c>
      <c r="K105" s="191">
        <v>517544153.13</v>
      </c>
      <c r="L105" s="182">
        <v>517544153.13</v>
      </c>
      <c r="M105" s="182">
        <v>375203564.87</v>
      </c>
      <c r="N105" s="182">
        <v>334494564.87</v>
      </c>
    </row>
    <row r="106" spans="1:14" x14ac:dyDescent="0.25">
      <c r="A106" s="189" t="s">
        <v>544</v>
      </c>
      <c r="B106" s="189" t="s">
        <v>94</v>
      </c>
      <c r="C106" s="189" t="s">
        <v>95</v>
      </c>
      <c r="D106" s="189" t="s">
        <v>541</v>
      </c>
      <c r="E106" s="182">
        <v>383841000</v>
      </c>
      <c r="F106" s="182">
        <v>383841000</v>
      </c>
      <c r="G106" s="182">
        <v>368841000</v>
      </c>
      <c r="H106" s="182">
        <v>0</v>
      </c>
      <c r="I106" s="182">
        <v>0</v>
      </c>
      <c r="J106" s="182">
        <v>0</v>
      </c>
      <c r="K106" s="191">
        <v>222467702.13999999</v>
      </c>
      <c r="L106" s="182">
        <v>222467702.13999999</v>
      </c>
      <c r="M106" s="182">
        <v>161373297.86000001</v>
      </c>
      <c r="N106" s="182">
        <v>146373297.86000001</v>
      </c>
    </row>
    <row r="107" spans="1:14" x14ac:dyDescent="0.25">
      <c r="A107" s="189" t="s">
        <v>544</v>
      </c>
      <c r="B107" s="189" t="s">
        <v>96</v>
      </c>
      <c r="C107" s="189" t="s">
        <v>97</v>
      </c>
      <c r="D107" s="189" t="s">
        <v>541</v>
      </c>
      <c r="E107" s="182">
        <v>383841000</v>
      </c>
      <c r="F107" s="182">
        <v>383841000</v>
      </c>
      <c r="G107" s="182">
        <v>368841000</v>
      </c>
      <c r="H107" s="182">
        <v>0</v>
      </c>
      <c r="I107" s="182">
        <v>0</v>
      </c>
      <c r="J107" s="182">
        <v>0</v>
      </c>
      <c r="K107" s="191">
        <v>222467702.13999999</v>
      </c>
      <c r="L107" s="182">
        <v>222467702.13999999</v>
      </c>
      <c r="M107" s="182">
        <v>161373297.86000001</v>
      </c>
      <c r="N107" s="182">
        <v>146373297.86000001</v>
      </c>
    </row>
    <row r="108" spans="1:14" x14ac:dyDescent="0.25">
      <c r="A108" s="189" t="s">
        <v>544</v>
      </c>
      <c r="B108" s="189" t="s">
        <v>102</v>
      </c>
      <c r="C108" s="189" t="s">
        <v>103</v>
      </c>
      <c r="D108" s="189" t="s">
        <v>541</v>
      </c>
      <c r="E108" s="182">
        <v>425514000</v>
      </c>
      <c r="F108" s="182">
        <v>425514000</v>
      </c>
      <c r="G108" s="182">
        <v>399805000</v>
      </c>
      <c r="H108" s="182">
        <v>0</v>
      </c>
      <c r="I108" s="182">
        <v>0</v>
      </c>
      <c r="J108" s="182">
        <v>0</v>
      </c>
      <c r="K108" s="191">
        <v>211683732.99000001</v>
      </c>
      <c r="L108" s="182">
        <v>211683732.99000001</v>
      </c>
      <c r="M108" s="182">
        <v>213830267.00999999</v>
      </c>
      <c r="N108" s="182">
        <v>188121267.00999999</v>
      </c>
    </row>
    <row r="109" spans="1:14" x14ac:dyDescent="0.25">
      <c r="A109" s="189" t="s">
        <v>544</v>
      </c>
      <c r="B109" s="189" t="s">
        <v>104</v>
      </c>
      <c r="C109" s="189" t="s">
        <v>105</v>
      </c>
      <c r="D109" s="189" t="s">
        <v>541</v>
      </c>
      <c r="E109" s="182">
        <v>70660000</v>
      </c>
      <c r="F109" s="182">
        <v>70660000</v>
      </c>
      <c r="G109" s="182">
        <v>60660000</v>
      </c>
      <c r="H109" s="182">
        <v>0</v>
      </c>
      <c r="I109" s="182">
        <v>0</v>
      </c>
      <c r="J109" s="182">
        <v>0</v>
      </c>
      <c r="K109" s="191">
        <v>39420377.049999997</v>
      </c>
      <c r="L109" s="182">
        <v>39420377.049999997</v>
      </c>
      <c r="M109" s="182">
        <v>31239622.949999999</v>
      </c>
      <c r="N109" s="182">
        <v>21239622.949999999</v>
      </c>
    </row>
    <row r="110" spans="1:14" x14ac:dyDescent="0.25">
      <c r="A110" s="189" t="s">
        <v>544</v>
      </c>
      <c r="B110" s="189" t="s">
        <v>106</v>
      </c>
      <c r="C110" s="189" t="s">
        <v>107</v>
      </c>
      <c r="D110" s="189" t="s">
        <v>541</v>
      </c>
      <c r="E110" s="182">
        <v>211191000</v>
      </c>
      <c r="F110" s="182">
        <v>211191000</v>
      </c>
      <c r="G110" s="182">
        <v>202191000</v>
      </c>
      <c r="H110" s="182">
        <v>0</v>
      </c>
      <c r="I110" s="182">
        <v>0</v>
      </c>
      <c r="J110" s="182">
        <v>0</v>
      </c>
      <c r="K110" s="191">
        <v>107413844.88</v>
      </c>
      <c r="L110" s="182">
        <v>107413844.88</v>
      </c>
      <c r="M110" s="182">
        <v>103777155.12</v>
      </c>
      <c r="N110" s="182">
        <v>94777155.120000005</v>
      </c>
    </row>
    <row r="111" spans="1:14" x14ac:dyDescent="0.25">
      <c r="A111" s="189" t="s">
        <v>544</v>
      </c>
      <c r="B111" s="189" t="s">
        <v>112</v>
      </c>
      <c r="C111" s="189" t="s">
        <v>113</v>
      </c>
      <c r="D111" s="189" t="s">
        <v>543</v>
      </c>
      <c r="E111" s="182">
        <v>61518000</v>
      </c>
      <c r="F111" s="182">
        <v>61518000</v>
      </c>
      <c r="G111" s="182">
        <v>54809000</v>
      </c>
      <c r="H111" s="182">
        <v>0</v>
      </c>
      <c r="I111" s="182">
        <v>0</v>
      </c>
      <c r="J111" s="182">
        <v>0</v>
      </c>
      <c r="K111" s="191">
        <v>0</v>
      </c>
      <c r="L111" s="182">
        <v>0</v>
      </c>
      <c r="M111" s="182">
        <v>61518000</v>
      </c>
      <c r="N111" s="182">
        <v>54809000</v>
      </c>
    </row>
    <row r="112" spans="1:14" x14ac:dyDescent="0.25">
      <c r="A112" s="189" t="s">
        <v>544</v>
      </c>
      <c r="B112" s="189" t="s">
        <v>108</v>
      </c>
      <c r="C112" s="189" t="s">
        <v>109</v>
      </c>
      <c r="D112" s="189" t="s">
        <v>541</v>
      </c>
      <c r="E112" s="182">
        <v>46480000</v>
      </c>
      <c r="F112" s="182">
        <v>46480000</v>
      </c>
      <c r="G112" s="182">
        <v>46480000</v>
      </c>
      <c r="H112" s="182">
        <v>0</v>
      </c>
      <c r="I112" s="182">
        <v>0</v>
      </c>
      <c r="J112" s="182">
        <v>0</v>
      </c>
      <c r="K112" s="191">
        <v>44448031.07</v>
      </c>
      <c r="L112" s="182">
        <v>44448031.07</v>
      </c>
      <c r="M112" s="182">
        <v>2031968.93</v>
      </c>
      <c r="N112" s="182">
        <v>2031968.93</v>
      </c>
    </row>
    <row r="113" spans="1:14" x14ac:dyDescent="0.25">
      <c r="A113" s="189" t="s">
        <v>544</v>
      </c>
      <c r="B113" s="189" t="s">
        <v>110</v>
      </c>
      <c r="C113" s="189" t="s">
        <v>111</v>
      </c>
      <c r="D113" s="189" t="s">
        <v>541</v>
      </c>
      <c r="E113" s="182">
        <v>35665000</v>
      </c>
      <c r="F113" s="182">
        <v>35665000</v>
      </c>
      <c r="G113" s="182">
        <v>35665000</v>
      </c>
      <c r="H113" s="182">
        <v>0</v>
      </c>
      <c r="I113" s="182">
        <v>0</v>
      </c>
      <c r="J113" s="182">
        <v>0</v>
      </c>
      <c r="K113" s="191">
        <v>20401479.989999998</v>
      </c>
      <c r="L113" s="182">
        <v>20401479.989999998</v>
      </c>
      <c r="M113" s="182">
        <v>15263520.01</v>
      </c>
      <c r="N113" s="182">
        <v>15263520.01</v>
      </c>
    </row>
    <row r="114" spans="1:14" x14ac:dyDescent="0.25">
      <c r="A114" s="189" t="s">
        <v>544</v>
      </c>
      <c r="B114" s="189" t="s">
        <v>114</v>
      </c>
      <c r="C114" s="189" t="s">
        <v>115</v>
      </c>
      <c r="D114" s="189" t="s">
        <v>541</v>
      </c>
      <c r="E114" s="182">
        <v>72913000</v>
      </c>
      <c r="F114" s="182">
        <v>72913000</v>
      </c>
      <c r="G114" s="182">
        <v>72913000</v>
      </c>
      <c r="H114" s="182">
        <v>0</v>
      </c>
      <c r="I114" s="182">
        <v>30847242</v>
      </c>
      <c r="J114" s="182">
        <v>0</v>
      </c>
      <c r="K114" s="191">
        <v>42065758</v>
      </c>
      <c r="L114" s="182">
        <v>42065758</v>
      </c>
      <c r="M114" s="182">
        <v>0</v>
      </c>
      <c r="N114" s="182">
        <v>0</v>
      </c>
    </row>
    <row r="115" spans="1:14" x14ac:dyDescent="0.25">
      <c r="A115" s="189" t="s">
        <v>544</v>
      </c>
      <c r="B115" s="189" t="s">
        <v>301</v>
      </c>
      <c r="C115" s="189" t="s">
        <v>597</v>
      </c>
      <c r="D115" s="189" t="s">
        <v>541</v>
      </c>
      <c r="E115" s="182">
        <v>69174000</v>
      </c>
      <c r="F115" s="182">
        <v>69174000</v>
      </c>
      <c r="G115" s="182">
        <v>69174000</v>
      </c>
      <c r="H115" s="182">
        <v>0</v>
      </c>
      <c r="I115" s="182">
        <v>29265062</v>
      </c>
      <c r="J115" s="182">
        <v>0</v>
      </c>
      <c r="K115" s="191">
        <v>39908938</v>
      </c>
      <c r="L115" s="182">
        <v>39908938</v>
      </c>
      <c r="M115" s="182">
        <v>0</v>
      </c>
      <c r="N115" s="182">
        <v>0</v>
      </c>
    </row>
    <row r="116" spans="1:14" x14ac:dyDescent="0.25">
      <c r="A116" s="189" t="s">
        <v>544</v>
      </c>
      <c r="B116" s="189" t="s">
        <v>302</v>
      </c>
      <c r="C116" s="189" t="s">
        <v>583</v>
      </c>
      <c r="D116" s="189" t="s">
        <v>541</v>
      </c>
      <c r="E116" s="182">
        <v>3739000</v>
      </c>
      <c r="F116" s="182">
        <v>3739000</v>
      </c>
      <c r="G116" s="182">
        <v>3739000</v>
      </c>
      <c r="H116" s="182">
        <v>0</v>
      </c>
      <c r="I116" s="182">
        <v>1582180</v>
      </c>
      <c r="J116" s="182">
        <v>0</v>
      </c>
      <c r="K116" s="191">
        <v>2156820</v>
      </c>
      <c r="L116" s="182">
        <v>2156820</v>
      </c>
      <c r="M116" s="182">
        <v>0</v>
      </c>
      <c r="N116" s="182">
        <v>0</v>
      </c>
    </row>
    <row r="117" spans="1:14" x14ac:dyDescent="0.25">
      <c r="A117" s="189" t="s">
        <v>544</v>
      </c>
      <c r="B117" s="189" t="s">
        <v>118</v>
      </c>
      <c r="C117" s="189" t="s">
        <v>119</v>
      </c>
      <c r="D117" s="189" t="s">
        <v>541</v>
      </c>
      <c r="E117" s="182">
        <v>71642000</v>
      </c>
      <c r="F117" s="182">
        <v>71642000</v>
      </c>
      <c r="G117" s="182">
        <v>71642000</v>
      </c>
      <c r="H117" s="182">
        <v>0</v>
      </c>
      <c r="I117" s="182">
        <v>30315040</v>
      </c>
      <c r="J117" s="182">
        <v>0</v>
      </c>
      <c r="K117" s="191">
        <v>41326960</v>
      </c>
      <c r="L117" s="182">
        <v>41326960</v>
      </c>
      <c r="M117" s="182">
        <v>0</v>
      </c>
      <c r="N117" s="182">
        <v>0</v>
      </c>
    </row>
    <row r="118" spans="1:14" x14ac:dyDescent="0.25">
      <c r="A118" s="189" t="s">
        <v>544</v>
      </c>
      <c r="B118" s="189" t="s">
        <v>303</v>
      </c>
      <c r="C118" s="189" t="s">
        <v>598</v>
      </c>
      <c r="D118" s="189" t="s">
        <v>541</v>
      </c>
      <c r="E118" s="182">
        <v>37990000</v>
      </c>
      <c r="F118" s="182">
        <v>37990000</v>
      </c>
      <c r="G118" s="182">
        <v>37990000</v>
      </c>
      <c r="H118" s="182">
        <v>0</v>
      </c>
      <c r="I118" s="182">
        <v>16074360</v>
      </c>
      <c r="J118" s="182">
        <v>0</v>
      </c>
      <c r="K118" s="191">
        <v>21915640</v>
      </c>
      <c r="L118" s="182">
        <v>21915640</v>
      </c>
      <c r="M118" s="182">
        <v>0</v>
      </c>
      <c r="N118" s="182">
        <v>0</v>
      </c>
    </row>
    <row r="119" spans="1:14" x14ac:dyDescent="0.25">
      <c r="A119" s="189" t="s">
        <v>544</v>
      </c>
      <c r="B119" s="189" t="s">
        <v>304</v>
      </c>
      <c r="C119" s="189" t="s">
        <v>599</v>
      </c>
      <c r="D119" s="189" t="s">
        <v>541</v>
      </c>
      <c r="E119" s="182">
        <v>11217000</v>
      </c>
      <c r="F119" s="182">
        <v>11217000</v>
      </c>
      <c r="G119" s="182">
        <v>11217000</v>
      </c>
      <c r="H119" s="182">
        <v>0</v>
      </c>
      <c r="I119" s="182">
        <v>4746567</v>
      </c>
      <c r="J119" s="182">
        <v>0</v>
      </c>
      <c r="K119" s="191">
        <v>6470433</v>
      </c>
      <c r="L119" s="182">
        <v>6470433</v>
      </c>
      <c r="M119" s="182">
        <v>0</v>
      </c>
      <c r="N119" s="182">
        <v>0</v>
      </c>
    </row>
    <row r="120" spans="1:14" x14ac:dyDescent="0.25">
      <c r="A120" s="189" t="s">
        <v>544</v>
      </c>
      <c r="B120" s="189" t="s">
        <v>305</v>
      </c>
      <c r="C120" s="189" t="s">
        <v>600</v>
      </c>
      <c r="D120" s="189" t="s">
        <v>541</v>
      </c>
      <c r="E120" s="182">
        <v>22435000</v>
      </c>
      <c r="F120" s="182">
        <v>22435000</v>
      </c>
      <c r="G120" s="182">
        <v>22435000</v>
      </c>
      <c r="H120" s="182">
        <v>0</v>
      </c>
      <c r="I120" s="182">
        <v>9494113</v>
      </c>
      <c r="J120" s="182">
        <v>0</v>
      </c>
      <c r="K120" s="191">
        <v>12940887</v>
      </c>
      <c r="L120" s="182">
        <v>12940887</v>
      </c>
      <c r="M120" s="182">
        <v>0</v>
      </c>
      <c r="N120" s="182">
        <v>0</v>
      </c>
    </row>
    <row r="121" spans="1:14" x14ac:dyDescent="0.25">
      <c r="A121" s="189" t="s">
        <v>544</v>
      </c>
      <c r="B121" s="189" t="s">
        <v>123</v>
      </c>
      <c r="C121" s="189" t="s">
        <v>124</v>
      </c>
      <c r="D121" s="189" t="s">
        <v>541</v>
      </c>
      <c r="E121" s="182">
        <v>155922650</v>
      </c>
      <c r="F121" s="182">
        <v>155922650</v>
      </c>
      <c r="G121" s="182">
        <v>146832641.84999999</v>
      </c>
      <c r="H121" s="182">
        <v>5600000</v>
      </c>
      <c r="I121" s="182">
        <v>11624314.140000001</v>
      </c>
      <c r="J121" s="182">
        <v>50100</v>
      </c>
      <c r="K121" s="191">
        <v>64314389.399999999</v>
      </c>
      <c r="L121" s="182">
        <v>61736518.549999997</v>
      </c>
      <c r="M121" s="182">
        <v>74333846.459999993</v>
      </c>
      <c r="N121" s="182">
        <v>65243838.310000002</v>
      </c>
    </row>
    <row r="122" spans="1:14" x14ac:dyDescent="0.25">
      <c r="A122" s="189" t="s">
        <v>544</v>
      </c>
      <c r="B122" s="189" t="s">
        <v>125</v>
      </c>
      <c r="C122" s="189" t="s">
        <v>126</v>
      </c>
      <c r="D122" s="189" t="s">
        <v>541</v>
      </c>
      <c r="E122" s="182">
        <v>78966646</v>
      </c>
      <c r="F122" s="182">
        <v>78966646</v>
      </c>
      <c r="G122" s="182">
        <v>78889731</v>
      </c>
      <c r="H122" s="182">
        <v>0</v>
      </c>
      <c r="I122" s="182">
        <v>1440242.16</v>
      </c>
      <c r="J122" s="182">
        <v>0</v>
      </c>
      <c r="K122" s="191">
        <v>41451371.259999998</v>
      </c>
      <c r="L122" s="182">
        <v>40483576.729999997</v>
      </c>
      <c r="M122" s="182">
        <v>36075032.579999998</v>
      </c>
      <c r="N122" s="182">
        <v>35998117.579999998</v>
      </c>
    </row>
    <row r="123" spans="1:14" x14ac:dyDescent="0.25">
      <c r="A123" s="189" t="s">
        <v>544</v>
      </c>
      <c r="B123" s="189" t="s">
        <v>306</v>
      </c>
      <c r="C123" s="189" t="s">
        <v>307</v>
      </c>
      <c r="D123" s="189" t="s">
        <v>541</v>
      </c>
      <c r="E123" s="182">
        <v>67899341</v>
      </c>
      <c r="F123" s="182">
        <v>67899341</v>
      </c>
      <c r="G123" s="182">
        <v>67822426</v>
      </c>
      <c r="H123" s="182">
        <v>0</v>
      </c>
      <c r="I123" s="182">
        <v>148352.07</v>
      </c>
      <c r="J123" s="182">
        <v>0</v>
      </c>
      <c r="K123" s="191">
        <v>33899455.609999999</v>
      </c>
      <c r="L123" s="182">
        <v>33899455.609999999</v>
      </c>
      <c r="M123" s="182">
        <v>33851533.32</v>
      </c>
      <c r="N123" s="182">
        <v>33774618.32</v>
      </c>
    </row>
    <row r="124" spans="1:14" x14ac:dyDescent="0.25">
      <c r="A124" s="189" t="s">
        <v>544</v>
      </c>
      <c r="B124" s="189" t="s">
        <v>127</v>
      </c>
      <c r="C124" s="189" t="s">
        <v>128</v>
      </c>
      <c r="D124" s="189" t="s">
        <v>541</v>
      </c>
      <c r="E124" s="182">
        <v>11067305</v>
      </c>
      <c r="F124" s="182">
        <v>11067305</v>
      </c>
      <c r="G124" s="182">
        <v>11067305</v>
      </c>
      <c r="H124" s="182">
        <v>0</v>
      </c>
      <c r="I124" s="182">
        <v>1291890.0900000001</v>
      </c>
      <c r="J124" s="182">
        <v>0</v>
      </c>
      <c r="K124" s="191">
        <v>7551915.6500000004</v>
      </c>
      <c r="L124" s="182">
        <v>6584121.1200000001</v>
      </c>
      <c r="M124" s="182">
        <v>2223499.2599999998</v>
      </c>
      <c r="N124" s="182">
        <v>2223499.2599999998</v>
      </c>
    </row>
    <row r="125" spans="1:14" x14ac:dyDescent="0.25">
      <c r="A125" s="189" t="s">
        <v>544</v>
      </c>
      <c r="B125" s="189" t="s">
        <v>131</v>
      </c>
      <c r="C125" s="189" t="s">
        <v>132</v>
      </c>
      <c r="D125" s="189" t="s">
        <v>541</v>
      </c>
      <c r="E125" s="182">
        <v>14518657</v>
      </c>
      <c r="F125" s="182">
        <v>14482767</v>
      </c>
      <c r="G125" s="182">
        <v>11393775</v>
      </c>
      <c r="H125" s="182">
        <v>0</v>
      </c>
      <c r="I125" s="182">
        <v>1832176.98</v>
      </c>
      <c r="J125" s="182">
        <v>0</v>
      </c>
      <c r="K125" s="191">
        <v>9396540.4499999993</v>
      </c>
      <c r="L125" s="182">
        <v>9396540.4499999993</v>
      </c>
      <c r="M125" s="182">
        <v>3254049.57</v>
      </c>
      <c r="N125" s="182">
        <v>165057.57</v>
      </c>
    </row>
    <row r="126" spans="1:14" x14ac:dyDescent="0.25">
      <c r="A126" s="189" t="s">
        <v>544</v>
      </c>
      <c r="B126" s="189" t="s">
        <v>133</v>
      </c>
      <c r="C126" s="189" t="s">
        <v>134</v>
      </c>
      <c r="D126" s="189" t="s">
        <v>541</v>
      </c>
      <c r="E126" s="182">
        <v>1280000</v>
      </c>
      <c r="F126" s="182">
        <v>1244110</v>
      </c>
      <c r="G126" s="182">
        <v>824110</v>
      </c>
      <c r="H126" s="182">
        <v>0</v>
      </c>
      <c r="I126" s="182">
        <v>210421</v>
      </c>
      <c r="J126" s="182">
        <v>0</v>
      </c>
      <c r="K126" s="191">
        <v>599159</v>
      </c>
      <c r="L126" s="182">
        <v>599159</v>
      </c>
      <c r="M126" s="182">
        <v>434530</v>
      </c>
      <c r="N126" s="182">
        <v>14530</v>
      </c>
    </row>
    <row r="127" spans="1:14" x14ac:dyDescent="0.25">
      <c r="A127" s="189" t="s">
        <v>544</v>
      </c>
      <c r="B127" s="189" t="s">
        <v>135</v>
      </c>
      <c r="C127" s="189" t="s">
        <v>136</v>
      </c>
      <c r="D127" s="189" t="s">
        <v>541</v>
      </c>
      <c r="E127" s="182">
        <v>3685715</v>
      </c>
      <c r="F127" s="182">
        <v>3685715</v>
      </c>
      <c r="G127" s="182">
        <v>2451429</v>
      </c>
      <c r="H127" s="182">
        <v>0</v>
      </c>
      <c r="I127" s="182">
        <v>533131</v>
      </c>
      <c r="J127" s="182">
        <v>0</v>
      </c>
      <c r="K127" s="191">
        <v>1768198</v>
      </c>
      <c r="L127" s="182">
        <v>1768198</v>
      </c>
      <c r="M127" s="182">
        <v>1384386</v>
      </c>
      <c r="N127" s="182">
        <v>150100</v>
      </c>
    </row>
    <row r="128" spans="1:14" x14ac:dyDescent="0.25">
      <c r="A128" s="189" t="s">
        <v>544</v>
      </c>
      <c r="B128" s="189" t="s">
        <v>139</v>
      </c>
      <c r="C128" s="189" t="s">
        <v>140</v>
      </c>
      <c r="D128" s="189" t="s">
        <v>541</v>
      </c>
      <c r="E128" s="182">
        <v>9552942</v>
      </c>
      <c r="F128" s="182">
        <v>9552942</v>
      </c>
      <c r="G128" s="182">
        <v>8118236</v>
      </c>
      <c r="H128" s="182">
        <v>0</v>
      </c>
      <c r="I128" s="182">
        <v>1088624.98</v>
      </c>
      <c r="J128" s="182">
        <v>0</v>
      </c>
      <c r="K128" s="191">
        <v>7029183.4500000002</v>
      </c>
      <c r="L128" s="182">
        <v>7029183.4500000002</v>
      </c>
      <c r="M128" s="182">
        <v>1435133.57</v>
      </c>
      <c r="N128" s="182">
        <v>427.57</v>
      </c>
    </row>
    <row r="129" spans="1:14" x14ac:dyDescent="0.25">
      <c r="A129" s="189" t="s">
        <v>544</v>
      </c>
      <c r="B129" s="189" t="s">
        <v>143</v>
      </c>
      <c r="C129" s="189" t="s">
        <v>144</v>
      </c>
      <c r="D129" s="189" t="s">
        <v>541</v>
      </c>
      <c r="E129" s="182">
        <v>16719000</v>
      </c>
      <c r="F129" s="182">
        <v>14451000</v>
      </c>
      <c r="G129" s="182">
        <v>14220000</v>
      </c>
      <c r="H129" s="182">
        <v>0</v>
      </c>
      <c r="I129" s="182">
        <v>200000</v>
      </c>
      <c r="J129" s="182">
        <v>0</v>
      </c>
      <c r="K129" s="191">
        <v>5000</v>
      </c>
      <c r="L129" s="182">
        <v>5000</v>
      </c>
      <c r="M129" s="182">
        <v>14246000</v>
      </c>
      <c r="N129" s="182">
        <v>14015000</v>
      </c>
    </row>
    <row r="130" spans="1:14" x14ac:dyDescent="0.25">
      <c r="A130" s="189" t="s">
        <v>544</v>
      </c>
      <c r="B130" s="189" t="s">
        <v>145</v>
      </c>
      <c r="C130" s="189" t="s">
        <v>146</v>
      </c>
      <c r="D130" s="189" t="s">
        <v>541</v>
      </c>
      <c r="E130" s="182">
        <v>719000</v>
      </c>
      <c r="F130" s="182">
        <v>519000</v>
      </c>
      <c r="G130" s="182">
        <v>500000</v>
      </c>
      <c r="H130" s="182">
        <v>0</v>
      </c>
      <c r="I130" s="182">
        <v>200000</v>
      </c>
      <c r="J130" s="182">
        <v>0</v>
      </c>
      <c r="K130" s="191">
        <v>0</v>
      </c>
      <c r="L130" s="182">
        <v>0</v>
      </c>
      <c r="M130" s="182">
        <v>319000</v>
      </c>
      <c r="N130" s="182">
        <v>300000</v>
      </c>
    </row>
    <row r="131" spans="1:14" x14ac:dyDescent="0.25">
      <c r="A131" s="189" t="s">
        <v>544</v>
      </c>
      <c r="B131" s="189" t="s">
        <v>147</v>
      </c>
      <c r="C131" s="189" t="s">
        <v>148</v>
      </c>
      <c r="D131" s="189" t="s">
        <v>541</v>
      </c>
      <c r="E131" s="182">
        <v>16000000</v>
      </c>
      <c r="F131" s="182">
        <v>13932000</v>
      </c>
      <c r="G131" s="182">
        <v>13720000</v>
      </c>
      <c r="H131" s="182">
        <v>0</v>
      </c>
      <c r="I131" s="182">
        <v>0</v>
      </c>
      <c r="J131" s="182">
        <v>0</v>
      </c>
      <c r="K131" s="191">
        <v>5000</v>
      </c>
      <c r="L131" s="182">
        <v>5000</v>
      </c>
      <c r="M131" s="182">
        <v>13927000</v>
      </c>
      <c r="N131" s="182">
        <v>13715000</v>
      </c>
    </row>
    <row r="132" spans="1:14" x14ac:dyDescent="0.25">
      <c r="A132" s="189" t="s">
        <v>544</v>
      </c>
      <c r="B132" s="189" t="s">
        <v>151</v>
      </c>
      <c r="C132" s="189" t="s">
        <v>152</v>
      </c>
      <c r="D132" s="189" t="s">
        <v>541</v>
      </c>
      <c r="E132" s="182">
        <v>2200000</v>
      </c>
      <c r="F132" s="182">
        <v>1950000</v>
      </c>
      <c r="G132" s="182">
        <v>1949240</v>
      </c>
      <c r="H132" s="182">
        <v>0</v>
      </c>
      <c r="I132" s="182">
        <v>172410</v>
      </c>
      <c r="J132" s="182">
        <v>50100</v>
      </c>
      <c r="K132" s="191">
        <v>1244730</v>
      </c>
      <c r="L132" s="182">
        <v>1244730</v>
      </c>
      <c r="M132" s="182">
        <v>482760</v>
      </c>
      <c r="N132" s="182">
        <v>482000</v>
      </c>
    </row>
    <row r="133" spans="1:14" x14ac:dyDescent="0.25">
      <c r="A133" s="189" t="s">
        <v>544</v>
      </c>
      <c r="B133" s="189" t="s">
        <v>154</v>
      </c>
      <c r="C133" s="189" t="s">
        <v>155</v>
      </c>
      <c r="D133" s="189" t="s">
        <v>541</v>
      </c>
      <c r="E133" s="182">
        <v>1200000</v>
      </c>
      <c r="F133" s="182">
        <v>1100000</v>
      </c>
      <c r="G133" s="182">
        <v>1099240</v>
      </c>
      <c r="H133" s="182">
        <v>0</v>
      </c>
      <c r="I133" s="182">
        <v>0</v>
      </c>
      <c r="J133" s="182">
        <v>0</v>
      </c>
      <c r="K133" s="191">
        <v>1017240</v>
      </c>
      <c r="L133" s="182">
        <v>1017240</v>
      </c>
      <c r="M133" s="182">
        <v>82760</v>
      </c>
      <c r="N133" s="182">
        <v>82000</v>
      </c>
    </row>
    <row r="134" spans="1:14" x14ac:dyDescent="0.25">
      <c r="A134" s="189" t="s">
        <v>544</v>
      </c>
      <c r="B134" s="189" t="s">
        <v>156</v>
      </c>
      <c r="C134" s="189" t="s">
        <v>157</v>
      </c>
      <c r="D134" s="189" t="s">
        <v>541</v>
      </c>
      <c r="E134" s="182">
        <v>1000000</v>
      </c>
      <c r="F134" s="182">
        <v>850000</v>
      </c>
      <c r="G134" s="182">
        <v>850000</v>
      </c>
      <c r="H134" s="182">
        <v>0</v>
      </c>
      <c r="I134" s="182">
        <v>172410</v>
      </c>
      <c r="J134" s="182">
        <v>50100</v>
      </c>
      <c r="K134" s="191">
        <v>227490</v>
      </c>
      <c r="L134" s="182">
        <v>227490</v>
      </c>
      <c r="M134" s="182">
        <v>400000</v>
      </c>
      <c r="N134" s="182">
        <v>400000</v>
      </c>
    </row>
    <row r="135" spans="1:14" x14ac:dyDescent="0.25">
      <c r="A135" s="189" t="s">
        <v>544</v>
      </c>
      <c r="B135" s="189" t="s">
        <v>158</v>
      </c>
      <c r="C135" s="189" t="s">
        <v>159</v>
      </c>
      <c r="D135" s="189" t="s">
        <v>541</v>
      </c>
      <c r="E135" s="182">
        <v>6813730</v>
      </c>
      <c r="F135" s="182">
        <v>12156620</v>
      </c>
      <c r="G135" s="182">
        <v>11633823</v>
      </c>
      <c r="H135" s="182">
        <v>0</v>
      </c>
      <c r="I135" s="182">
        <v>2656685</v>
      </c>
      <c r="J135" s="182">
        <v>0</v>
      </c>
      <c r="K135" s="191">
        <v>6450510</v>
      </c>
      <c r="L135" s="182">
        <v>6293790</v>
      </c>
      <c r="M135" s="182">
        <v>3049425</v>
      </c>
      <c r="N135" s="182">
        <v>2526628</v>
      </c>
    </row>
    <row r="136" spans="1:14" x14ac:dyDescent="0.25">
      <c r="A136" s="189" t="s">
        <v>544</v>
      </c>
      <c r="B136" s="189" t="s">
        <v>160</v>
      </c>
      <c r="C136" s="189" t="s">
        <v>161</v>
      </c>
      <c r="D136" s="189" t="s">
        <v>541</v>
      </c>
      <c r="E136" s="182">
        <v>250000</v>
      </c>
      <c r="F136" s="182">
        <v>902890</v>
      </c>
      <c r="G136" s="182">
        <v>902890</v>
      </c>
      <c r="H136" s="182">
        <v>0</v>
      </c>
      <c r="I136" s="182">
        <v>436485</v>
      </c>
      <c r="J136" s="182">
        <v>0</v>
      </c>
      <c r="K136" s="191">
        <v>402560</v>
      </c>
      <c r="L136" s="182">
        <v>382240</v>
      </c>
      <c r="M136" s="182">
        <v>63845</v>
      </c>
      <c r="N136" s="182">
        <v>63845</v>
      </c>
    </row>
    <row r="137" spans="1:14" x14ac:dyDescent="0.25">
      <c r="A137" s="189" t="s">
        <v>544</v>
      </c>
      <c r="B137" s="189" t="s">
        <v>162</v>
      </c>
      <c r="C137" s="189" t="s">
        <v>163</v>
      </c>
      <c r="D137" s="189" t="s">
        <v>541</v>
      </c>
      <c r="E137" s="182">
        <v>6563730</v>
      </c>
      <c r="F137" s="182">
        <v>11253730</v>
      </c>
      <c r="G137" s="182">
        <v>10730933</v>
      </c>
      <c r="H137" s="182">
        <v>0</v>
      </c>
      <c r="I137" s="182">
        <v>2220200</v>
      </c>
      <c r="J137" s="182">
        <v>0</v>
      </c>
      <c r="K137" s="191">
        <v>6047950</v>
      </c>
      <c r="L137" s="182">
        <v>5911550</v>
      </c>
      <c r="M137" s="182">
        <v>2985580</v>
      </c>
      <c r="N137" s="182">
        <v>2462783</v>
      </c>
    </row>
    <row r="138" spans="1:14" x14ac:dyDescent="0.25">
      <c r="A138" s="189" t="s">
        <v>544</v>
      </c>
      <c r="B138" s="189" t="s">
        <v>168</v>
      </c>
      <c r="C138" s="189" t="s">
        <v>169</v>
      </c>
      <c r="D138" s="189" t="s">
        <v>541</v>
      </c>
      <c r="E138" s="182">
        <v>4277392</v>
      </c>
      <c r="F138" s="182">
        <v>4277392</v>
      </c>
      <c r="G138" s="182">
        <v>2690348</v>
      </c>
      <c r="H138" s="182">
        <v>0</v>
      </c>
      <c r="I138" s="182">
        <v>906600</v>
      </c>
      <c r="J138" s="182">
        <v>0</v>
      </c>
      <c r="K138" s="191">
        <v>1779094</v>
      </c>
      <c r="L138" s="182">
        <v>1260694</v>
      </c>
      <c r="M138" s="182">
        <v>1591698</v>
      </c>
      <c r="N138" s="182">
        <v>4654</v>
      </c>
    </row>
    <row r="139" spans="1:14" x14ac:dyDescent="0.25">
      <c r="A139" s="189" t="s">
        <v>544</v>
      </c>
      <c r="B139" s="189" t="s">
        <v>170</v>
      </c>
      <c r="C139" s="189" t="s">
        <v>171</v>
      </c>
      <c r="D139" s="189" t="s">
        <v>541</v>
      </c>
      <c r="E139" s="182">
        <v>4277392</v>
      </c>
      <c r="F139" s="182">
        <v>4277392</v>
      </c>
      <c r="G139" s="182">
        <v>2690348</v>
      </c>
      <c r="H139" s="182">
        <v>0</v>
      </c>
      <c r="I139" s="182">
        <v>906600</v>
      </c>
      <c r="J139" s="182">
        <v>0</v>
      </c>
      <c r="K139" s="191">
        <v>1779094</v>
      </c>
      <c r="L139" s="182">
        <v>1260694</v>
      </c>
      <c r="M139" s="182">
        <v>1591698</v>
      </c>
      <c r="N139" s="182">
        <v>4654</v>
      </c>
    </row>
    <row r="140" spans="1:14" x14ac:dyDescent="0.25">
      <c r="A140" s="189" t="s">
        <v>544</v>
      </c>
      <c r="B140" s="189" t="s">
        <v>172</v>
      </c>
      <c r="C140" s="189" t="s">
        <v>173</v>
      </c>
      <c r="D140" s="189" t="s">
        <v>541</v>
      </c>
      <c r="E140" s="182">
        <v>12267225</v>
      </c>
      <c r="F140" s="182">
        <v>14282225</v>
      </c>
      <c r="G140" s="182">
        <v>14282225</v>
      </c>
      <c r="H140" s="182">
        <v>5600000</v>
      </c>
      <c r="I140" s="182">
        <v>58200</v>
      </c>
      <c r="J140" s="182">
        <v>0</v>
      </c>
      <c r="K140" s="191">
        <v>1536800</v>
      </c>
      <c r="L140" s="182">
        <v>1536800</v>
      </c>
      <c r="M140" s="182">
        <v>7087225</v>
      </c>
      <c r="N140" s="182">
        <v>7087225</v>
      </c>
    </row>
    <row r="141" spans="1:14" x14ac:dyDescent="0.25">
      <c r="A141" s="189" t="s">
        <v>544</v>
      </c>
      <c r="B141" s="189" t="s">
        <v>309</v>
      </c>
      <c r="C141" s="189" t="s">
        <v>310</v>
      </c>
      <c r="D141" s="189" t="s">
        <v>541</v>
      </c>
      <c r="E141" s="182">
        <v>12267225</v>
      </c>
      <c r="F141" s="182">
        <v>14282225</v>
      </c>
      <c r="G141" s="182">
        <v>14282225</v>
      </c>
      <c r="H141" s="182">
        <v>5600000</v>
      </c>
      <c r="I141" s="182">
        <v>58200</v>
      </c>
      <c r="J141" s="182">
        <v>0</v>
      </c>
      <c r="K141" s="191">
        <v>1536800</v>
      </c>
      <c r="L141" s="182">
        <v>1536800</v>
      </c>
      <c r="M141" s="182">
        <v>7087225</v>
      </c>
      <c r="N141" s="182">
        <v>7087225</v>
      </c>
    </row>
    <row r="142" spans="1:14" x14ac:dyDescent="0.25">
      <c r="A142" s="189" t="s">
        <v>544</v>
      </c>
      <c r="B142" s="189" t="s">
        <v>178</v>
      </c>
      <c r="C142" s="189" t="s">
        <v>179</v>
      </c>
      <c r="D142" s="189" t="s">
        <v>541</v>
      </c>
      <c r="E142" s="182">
        <v>17894000</v>
      </c>
      <c r="F142" s="182">
        <v>13797000</v>
      </c>
      <c r="G142" s="182">
        <v>10413500</v>
      </c>
      <c r="H142" s="182">
        <v>0</v>
      </c>
      <c r="I142" s="182">
        <v>4308000</v>
      </c>
      <c r="J142" s="182">
        <v>0</v>
      </c>
      <c r="K142" s="191">
        <v>1850343.69</v>
      </c>
      <c r="L142" s="182">
        <v>915387.37</v>
      </c>
      <c r="M142" s="182">
        <v>7638656.3099999996</v>
      </c>
      <c r="N142" s="182">
        <v>4255156.3099999996</v>
      </c>
    </row>
    <row r="143" spans="1:14" x14ac:dyDescent="0.25">
      <c r="A143" s="189" t="s">
        <v>544</v>
      </c>
      <c r="B143" s="189" t="s">
        <v>182</v>
      </c>
      <c r="C143" s="189" t="s">
        <v>183</v>
      </c>
      <c r="D143" s="189" t="s">
        <v>541</v>
      </c>
      <c r="E143" s="182">
        <v>7000000</v>
      </c>
      <c r="F143" s="182">
        <v>7000000</v>
      </c>
      <c r="G143" s="182">
        <v>3617000</v>
      </c>
      <c r="H143" s="182">
        <v>0</v>
      </c>
      <c r="I143" s="182">
        <v>2550000</v>
      </c>
      <c r="J143" s="182">
        <v>0</v>
      </c>
      <c r="K143" s="191">
        <v>0</v>
      </c>
      <c r="L143" s="182">
        <v>0</v>
      </c>
      <c r="M143" s="182">
        <v>4450000</v>
      </c>
      <c r="N143" s="182">
        <v>1067000</v>
      </c>
    </row>
    <row r="144" spans="1:14" x14ac:dyDescent="0.25">
      <c r="A144" s="189" t="s">
        <v>544</v>
      </c>
      <c r="B144" s="189" t="s">
        <v>186</v>
      </c>
      <c r="C144" s="189" t="s">
        <v>187</v>
      </c>
      <c r="D144" s="189" t="s">
        <v>541</v>
      </c>
      <c r="E144" s="182">
        <v>3000000</v>
      </c>
      <c r="F144" s="182">
        <v>1953000</v>
      </c>
      <c r="G144" s="182">
        <v>1953000</v>
      </c>
      <c r="H144" s="182">
        <v>0</v>
      </c>
      <c r="I144" s="182">
        <v>0</v>
      </c>
      <c r="J144" s="182">
        <v>0</v>
      </c>
      <c r="K144" s="191">
        <v>0</v>
      </c>
      <c r="L144" s="182">
        <v>0</v>
      </c>
      <c r="M144" s="182">
        <v>1953000</v>
      </c>
      <c r="N144" s="182">
        <v>1953000</v>
      </c>
    </row>
    <row r="145" spans="1:14" x14ac:dyDescent="0.25">
      <c r="A145" s="189" t="s">
        <v>544</v>
      </c>
      <c r="B145" s="189" t="s">
        <v>188</v>
      </c>
      <c r="C145" s="189" t="s">
        <v>189</v>
      </c>
      <c r="D145" s="189" t="s">
        <v>541</v>
      </c>
      <c r="E145" s="182">
        <v>4494000</v>
      </c>
      <c r="F145" s="182">
        <v>4494000</v>
      </c>
      <c r="G145" s="182">
        <v>4493500</v>
      </c>
      <c r="H145" s="182">
        <v>0</v>
      </c>
      <c r="I145" s="182">
        <v>1758000</v>
      </c>
      <c r="J145" s="182">
        <v>0</v>
      </c>
      <c r="K145" s="191">
        <v>1850343.69</v>
      </c>
      <c r="L145" s="182">
        <v>915387.37</v>
      </c>
      <c r="M145" s="182">
        <v>885656.31</v>
      </c>
      <c r="N145" s="182">
        <v>885156.31</v>
      </c>
    </row>
    <row r="146" spans="1:14" x14ac:dyDescent="0.25">
      <c r="A146" s="189" t="s">
        <v>544</v>
      </c>
      <c r="B146" s="189" t="s">
        <v>190</v>
      </c>
      <c r="C146" s="189" t="s">
        <v>191</v>
      </c>
      <c r="D146" s="189" t="s">
        <v>541</v>
      </c>
      <c r="E146" s="182">
        <v>3400000</v>
      </c>
      <c r="F146" s="182">
        <v>350000</v>
      </c>
      <c r="G146" s="182">
        <v>350000</v>
      </c>
      <c r="H146" s="182">
        <v>0</v>
      </c>
      <c r="I146" s="182">
        <v>0</v>
      </c>
      <c r="J146" s="182">
        <v>0</v>
      </c>
      <c r="K146" s="191">
        <v>0</v>
      </c>
      <c r="L146" s="182">
        <v>0</v>
      </c>
      <c r="M146" s="182">
        <v>350000</v>
      </c>
      <c r="N146" s="182">
        <v>350000</v>
      </c>
    </row>
    <row r="147" spans="1:14" x14ac:dyDescent="0.25">
      <c r="A147" s="189" t="s">
        <v>544</v>
      </c>
      <c r="B147" s="189" t="s">
        <v>192</v>
      </c>
      <c r="C147" s="189" t="s">
        <v>193</v>
      </c>
      <c r="D147" s="189" t="s">
        <v>541</v>
      </c>
      <c r="E147" s="182">
        <v>466000</v>
      </c>
      <c r="F147" s="182">
        <v>299000</v>
      </c>
      <c r="G147" s="182">
        <v>100000</v>
      </c>
      <c r="H147" s="182">
        <v>0</v>
      </c>
      <c r="I147" s="182">
        <v>50000</v>
      </c>
      <c r="J147" s="182">
        <v>0</v>
      </c>
      <c r="K147" s="191">
        <v>0</v>
      </c>
      <c r="L147" s="182">
        <v>0</v>
      </c>
      <c r="M147" s="182">
        <v>249000</v>
      </c>
      <c r="N147" s="182">
        <v>50000</v>
      </c>
    </row>
    <row r="148" spans="1:14" x14ac:dyDescent="0.25">
      <c r="A148" s="189" t="s">
        <v>544</v>
      </c>
      <c r="B148" s="189" t="s">
        <v>194</v>
      </c>
      <c r="C148" s="189" t="s">
        <v>195</v>
      </c>
      <c r="D148" s="189" t="s">
        <v>541</v>
      </c>
      <c r="E148" s="182">
        <v>466000</v>
      </c>
      <c r="F148" s="182">
        <v>299000</v>
      </c>
      <c r="G148" s="182">
        <v>100000</v>
      </c>
      <c r="H148" s="182">
        <v>0</v>
      </c>
      <c r="I148" s="182">
        <v>50000</v>
      </c>
      <c r="J148" s="182">
        <v>0</v>
      </c>
      <c r="K148" s="191">
        <v>0</v>
      </c>
      <c r="L148" s="182">
        <v>0</v>
      </c>
      <c r="M148" s="182">
        <v>249000</v>
      </c>
      <c r="N148" s="182">
        <v>50000</v>
      </c>
    </row>
    <row r="149" spans="1:14" x14ac:dyDescent="0.25">
      <c r="A149" s="189" t="s">
        <v>544</v>
      </c>
      <c r="B149" s="189" t="s">
        <v>196</v>
      </c>
      <c r="C149" s="189" t="s">
        <v>197</v>
      </c>
      <c r="D149" s="189" t="s">
        <v>541</v>
      </c>
      <c r="E149" s="182">
        <v>1800000</v>
      </c>
      <c r="F149" s="182">
        <v>1260000</v>
      </c>
      <c r="G149" s="182">
        <v>1259999.8500000001</v>
      </c>
      <c r="H149" s="182">
        <v>0</v>
      </c>
      <c r="I149" s="182">
        <v>0</v>
      </c>
      <c r="J149" s="182">
        <v>0</v>
      </c>
      <c r="K149" s="191">
        <v>600000</v>
      </c>
      <c r="L149" s="182">
        <v>600000</v>
      </c>
      <c r="M149" s="182">
        <v>660000</v>
      </c>
      <c r="N149" s="182">
        <v>659999.85</v>
      </c>
    </row>
    <row r="150" spans="1:14" x14ac:dyDescent="0.25">
      <c r="A150" s="189" t="s">
        <v>544</v>
      </c>
      <c r="B150" s="189" t="s">
        <v>198</v>
      </c>
      <c r="C150" s="189" t="s">
        <v>199</v>
      </c>
      <c r="D150" s="189" t="s">
        <v>541</v>
      </c>
      <c r="E150" s="182">
        <v>1800000</v>
      </c>
      <c r="F150" s="182">
        <v>1260000</v>
      </c>
      <c r="G150" s="182">
        <v>1259999.8500000001</v>
      </c>
      <c r="H150" s="182">
        <v>0</v>
      </c>
      <c r="I150" s="182">
        <v>0</v>
      </c>
      <c r="J150" s="182">
        <v>0</v>
      </c>
      <c r="K150" s="191">
        <v>600000</v>
      </c>
      <c r="L150" s="182">
        <v>600000</v>
      </c>
      <c r="M150" s="182">
        <v>660000</v>
      </c>
      <c r="N150" s="182">
        <v>659999.85</v>
      </c>
    </row>
    <row r="151" spans="1:14" x14ac:dyDescent="0.25">
      <c r="A151" s="189" t="s">
        <v>544</v>
      </c>
      <c r="B151" s="189" t="s">
        <v>200</v>
      </c>
      <c r="C151" s="189" t="s">
        <v>201</v>
      </c>
      <c r="D151" s="189" t="s">
        <v>541</v>
      </c>
      <c r="E151" s="182">
        <v>57954839</v>
      </c>
      <c r="F151" s="182">
        <v>57954839</v>
      </c>
      <c r="G151" s="182">
        <v>48725714</v>
      </c>
      <c r="H151" s="182">
        <v>10975182.640000001</v>
      </c>
      <c r="I151" s="182">
        <v>7177682.8399999999</v>
      </c>
      <c r="J151" s="182">
        <v>0</v>
      </c>
      <c r="K151" s="191">
        <v>11264714.449999999</v>
      </c>
      <c r="L151" s="182">
        <v>11264714.449999999</v>
      </c>
      <c r="M151" s="182">
        <v>28537259.07</v>
      </c>
      <c r="N151" s="182">
        <v>19308134.07</v>
      </c>
    </row>
    <row r="152" spans="1:14" x14ac:dyDescent="0.25">
      <c r="A152" s="189" t="s">
        <v>544</v>
      </c>
      <c r="B152" s="189" t="s">
        <v>202</v>
      </c>
      <c r="C152" s="189" t="s">
        <v>203</v>
      </c>
      <c r="D152" s="189" t="s">
        <v>541</v>
      </c>
      <c r="E152" s="182">
        <v>17854839</v>
      </c>
      <c r="F152" s="182">
        <v>17803839</v>
      </c>
      <c r="G152" s="182">
        <v>11493210</v>
      </c>
      <c r="H152" s="182">
        <v>6322297.54</v>
      </c>
      <c r="I152" s="182">
        <v>2739034.34</v>
      </c>
      <c r="J152" s="182">
        <v>0</v>
      </c>
      <c r="K152" s="191">
        <v>2293379.06</v>
      </c>
      <c r="L152" s="182">
        <v>2293379.06</v>
      </c>
      <c r="M152" s="182">
        <v>6449128.0599999996</v>
      </c>
      <c r="N152" s="182">
        <v>138499.06</v>
      </c>
    </row>
    <row r="153" spans="1:14" x14ac:dyDescent="0.25">
      <c r="A153" s="189" t="s">
        <v>544</v>
      </c>
      <c r="B153" s="189" t="s">
        <v>204</v>
      </c>
      <c r="C153" s="189" t="s">
        <v>205</v>
      </c>
      <c r="D153" s="189" t="s">
        <v>541</v>
      </c>
      <c r="E153" s="182">
        <v>9354839</v>
      </c>
      <c r="F153" s="182">
        <v>9354839</v>
      </c>
      <c r="G153" s="182">
        <v>3079210</v>
      </c>
      <c r="H153" s="182">
        <v>0</v>
      </c>
      <c r="I153" s="182">
        <v>785825.94</v>
      </c>
      <c r="J153" s="182">
        <v>0</v>
      </c>
      <c r="K153" s="191">
        <v>2293379.06</v>
      </c>
      <c r="L153" s="182">
        <v>2293379.06</v>
      </c>
      <c r="M153" s="182">
        <v>6275634</v>
      </c>
      <c r="N153" s="182">
        <v>5</v>
      </c>
    </row>
    <row r="154" spans="1:14" x14ac:dyDescent="0.25">
      <c r="A154" s="189" t="s">
        <v>544</v>
      </c>
      <c r="B154" s="189" t="s">
        <v>208</v>
      </c>
      <c r="C154" s="189" t="s">
        <v>209</v>
      </c>
      <c r="D154" s="189" t="s">
        <v>541</v>
      </c>
      <c r="E154" s="182">
        <v>8500000</v>
      </c>
      <c r="F154" s="182">
        <v>8449000</v>
      </c>
      <c r="G154" s="182">
        <v>8414000</v>
      </c>
      <c r="H154" s="182">
        <v>6322297.54</v>
      </c>
      <c r="I154" s="182">
        <v>1953208.4</v>
      </c>
      <c r="J154" s="182">
        <v>0</v>
      </c>
      <c r="K154" s="191">
        <v>0</v>
      </c>
      <c r="L154" s="182">
        <v>0</v>
      </c>
      <c r="M154" s="182">
        <v>173494.06</v>
      </c>
      <c r="N154" s="182">
        <v>138494.06</v>
      </c>
    </row>
    <row r="155" spans="1:14" x14ac:dyDescent="0.25">
      <c r="A155" s="189" t="s">
        <v>544</v>
      </c>
      <c r="B155" s="189" t="s">
        <v>212</v>
      </c>
      <c r="C155" s="189" t="s">
        <v>213</v>
      </c>
      <c r="D155" s="189" t="s">
        <v>541</v>
      </c>
      <c r="E155" s="182">
        <v>2460000</v>
      </c>
      <c r="F155" s="182">
        <v>5911000</v>
      </c>
      <c r="G155" s="182">
        <v>5911000</v>
      </c>
      <c r="H155" s="182">
        <v>0</v>
      </c>
      <c r="I155" s="182">
        <v>1156976.7</v>
      </c>
      <c r="J155" s="182">
        <v>0</v>
      </c>
      <c r="K155" s="191">
        <v>931082</v>
      </c>
      <c r="L155" s="182">
        <v>931082</v>
      </c>
      <c r="M155" s="182">
        <v>3822941.3</v>
      </c>
      <c r="N155" s="182">
        <v>3822941.3</v>
      </c>
    </row>
    <row r="156" spans="1:14" x14ac:dyDescent="0.25">
      <c r="A156" s="189" t="s">
        <v>544</v>
      </c>
      <c r="B156" s="189" t="s">
        <v>214</v>
      </c>
      <c r="C156" s="189" t="s">
        <v>215</v>
      </c>
      <c r="D156" s="189" t="s">
        <v>541</v>
      </c>
      <c r="E156" s="182">
        <v>2460000</v>
      </c>
      <c r="F156" s="182">
        <v>5911000</v>
      </c>
      <c r="G156" s="182">
        <v>5911000</v>
      </c>
      <c r="H156" s="182">
        <v>0</v>
      </c>
      <c r="I156" s="182">
        <v>1156976.7</v>
      </c>
      <c r="J156" s="182">
        <v>0</v>
      </c>
      <c r="K156" s="191">
        <v>931082</v>
      </c>
      <c r="L156" s="182">
        <v>931082</v>
      </c>
      <c r="M156" s="182">
        <v>3822941.3</v>
      </c>
      <c r="N156" s="182">
        <v>3822941.3</v>
      </c>
    </row>
    <row r="157" spans="1:14" x14ac:dyDescent="0.25">
      <c r="A157" s="189" t="s">
        <v>544</v>
      </c>
      <c r="B157" s="189" t="s">
        <v>216</v>
      </c>
      <c r="C157" s="189" t="s">
        <v>217</v>
      </c>
      <c r="D157" s="189" t="s">
        <v>541</v>
      </c>
      <c r="E157" s="182">
        <v>2000000</v>
      </c>
      <c r="F157" s="182">
        <v>1950000</v>
      </c>
      <c r="G157" s="182">
        <v>1748000</v>
      </c>
      <c r="H157" s="182">
        <v>0</v>
      </c>
      <c r="I157" s="182">
        <v>676024.72</v>
      </c>
      <c r="J157" s="182">
        <v>0</v>
      </c>
      <c r="K157" s="191">
        <v>606721.42000000004</v>
      </c>
      <c r="L157" s="182">
        <v>606721.42000000004</v>
      </c>
      <c r="M157" s="182">
        <v>667253.86</v>
      </c>
      <c r="N157" s="182">
        <v>465253.86</v>
      </c>
    </row>
    <row r="158" spans="1:14" x14ac:dyDescent="0.25">
      <c r="A158" s="189" t="s">
        <v>544</v>
      </c>
      <c r="B158" s="189" t="s">
        <v>220</v>
      </c>
      <c r="C158" s="189" t="s">
        <v>221</v>
      </c>
      <c r="D158" s="189" t="s">
        <v>541</v>
      </c>
      <c r="E158" s="182">
        <v>2000000</v>
      </c>
      <c r="F158" s="182">
        <v>1950000</v>
      </c>
      <c r="G158" s="182">
        <v>1748000</v>
      </c>
      <c r="H158" s="182">
        <v>0</v>
      </c>
      <c r="I158" s="182">
        <v>676024.72</v>
      </c>
      <c r="J158" s="182">
        <v>0</v>
      </c>
      <c r="K158" s="191">
        <v>606721.42000000004</v>
      </c>
      <c r="L158" s="182">
        <v>606721.42000000004</v>
      </c>
      <c r="M158" s="182">
        <v>667253.86</v>
      </c>
      <c r="N158" s="182">
        <v>465253.86</v>
      </c>
    </row>
    <row r="159" spans="1:14" x14ac:dyDescent="0.25">
      <c r="A159" s="189" t="s">
        <v>544</v>
      </c>
      <c r="B159" s="189" t="s">
        <v>228</v>
      </c>
      <c r="C159" s="189" t="s">
        <v>229</v>
      </c>
      <c r="D159" s="189" t="s">
        <v>541</v>
      </c>
      <c r="E159" s="182">
        <v>6710000</v>
      </c>
      <c r="F159" s="182">
        <v>3860000</v>
      </c>
      <c r="G159" s="182">
        <v>2200132</v>
      </c>
      <c r="H159" s="182">
        <v>2200000</v>
      </c>
      <c r="I159" s="182">
        <v>0</v>
      </c>
      <c r="J159" s="182">
        <v>0</v>
      </c>
      <c r="K159" s="191">
        <v>0</v>
      </c>
      <c r="L159" s="182">
        <v>0</v>
      </c>
      <c r="M159" s="182">
        <v>1660000</v>
      </c>
      <c r="N159" s="182">
        <v>132</v>
      </c>
    </row>
    <row r="160" spans="1:14" x14ac:dyDescent="0.25">
      <c r="A160" s="189" t="s">
        <v>544</v>
      </c>
      <c r="B160" s="189" t="s">
        <v>230</v>
      </c>
      <c r="C160" s="189" t="s">
        <v>231</v>
      </c>
      <c r="D160" s="189" t="s">
        <v>541</v>
      </c>
      <c r="E160" s="182">
        <v>3710000</v>
      </c>
      <c r="F160" s="182">
        <v>2210000</v>
      </c>
      <c r="G160" s="182">
        <v>2200000</v>
      </c>
      <c r="H160" s="182">
        <v>2200000</v>
      </c>
      <c r="I160" s="182">
        <v>0</v>
      </c>
      <c r="J160" s="182">
        <v>0</v>
      </c>
      <c r="K160" s="191">
        <v>0</v>
      </c>
      <c r="L160" s="182">
        <v>0</v>
      </c>
      <c r="M160" s="182">
        <v>10000</v>
      </c>
      <c r="N160" s="182">
        <v>0</v>
      </c>
    </row>
    <row r="161" spans="1:14" x14ac:dyDescent="0.25">
      <c r="A161" s="189" t="s">
        <v>544</v>
      </c>
      <c r="B161" s="189" t="s">
        <v>232</v>
      </c>
      <c r="C161" s="189" t="s">
        <v>233</v>
      </c>
      <c r="D161" s="189" t="s">
        <v>541</v>
      </c>
      <c r="E161" s="182">
        <v>3000000</v>
      </c>
      <c r="F161" s="182">
        <v>1650000</v>
      </c>
      <c r="G161" s="182">
        <v>132</v>
      </c>
      <c r="H161" s="182">
        <v>0</v>
      </c>
      <c r="I161" s="182">
        <v>0</v>
      </c>
      <c r="J161" s="182">
        <v>0</v>
      </c>
      <c r="K161" s="191">
        <v>0</v>
      </c>
      <c r="L161" s="182">
        <v>0</v>
      </c>
      <c r="M161" s="182">
        <v>1650000</v>
      </c>
      <c r="N161" s="182">
        <v>132</v>
      </c>
    </row>
    <row r="162" spans="1:14" x14ac:dyDescent="0.25">
      <c r="A162" s="189" t="s">
        <v>544</v>
      </c>
      <c r="B162" s="189" t="s">
        <v>234</v>
      </c>
      <c r="C162" s="189" t="s">
        <v>601</v>
      </c>
      <c r="D162" s="189" t="s">
        <v>541</v>
      </c>
      <c r="E162" s="182">
        <v>28930000</v>
      </c>
      <c r="F162" s="182">
        <v>28430000</v>
      </c>
      <c r="G162" s="182">
        <v>27373372</v>
      </c>
      <c r="H162" s="182">
        <v>2452885.1</v>
      </c>
      <c r="I162" s="182">
        <v>2605647.08</v>
      </c>
      <c r="J162" s="182">
        <v>0</v>
      </c>
      <c r="K162" s="191">
        <v>7433531.9699999997</v>
      </c>
      <c r="L162" s="182">
        <v>7433531.9699999997</v>
      </c>
      <c r="M162" s="182">
        <v>15937935.85</v>
      </c>
      <c r="N162" s="182">
        <v>14881307.85</v>
      </c>
    </row>
    <row r="163" spans="1:14" x14ac:dyDescent="0.25">
      <c r="A163" s="189" t="s">
        <v>544</v>
      </c>
      <c r="B163" s="189" t="s">
        <v>235</v>
      </c>
      <c r="C163" s="189" t="s">
        <v>236</v>
      </c>
      <c r="D163" s="189" t="s">
        <v>541</v>
      </c>
      <c r="E163" s="182">
        <v>8000000</v>
      </c>
      <c r="F163" s="182">
        <v>7500000</v>
      </c>
      <c r="G163" s="182">
        <v>7010000</v>
      </c>
      <c r="H163" s="182">
        <v>0</v>
      </c>
      <c r="I163" s="182">
        <v>1097839.72</v>
      </c>
      <c r="J163" s="182">
        <v>0</v>
      </c>
      <c r="K163" s="191">
        <v>2447017.37</v>
      </c>
      <c r="L163" s="182">
        <v>2447017.37</v>
      </c>
      <c r="M163" s="182">
        <v>3955142.91</v>
      </c>
      <c r="N163" s="182">
        <v>3465142.91</v>
      </c>
    </row>
    <row r="164" spans="1:14" x14ac:dyDescent="0.25">
      <c r="A164" s="189" t="s">
        <v>544</v>
      </c>
      <c r="B164" s="189" t="s">
        <v>239</v>
      </c>
      <c r="C164" s="189" t="s">
        <v>240</v>
      </c>
      <c r="D164" s="189" t="s">
        <v>541</v>
      </c>
      <c r="E164" s="182">
        <v>8000000</v>
      </c>
      <c r="F164" s="182">
        <v>7500000</v>
      </c>
      <c r="G164" s="182">
        <v>6980000</v>
      </c>
      <c r="H164" s="182">
        <v>2452885.1</v>
      </c>
      <c r="I164" s="182">
        <v>295000</v>
      </c>
      <c r="J164" s="182">
        <v>0</v>
      </c>
      <c r="K164" s="191">
        <v>2183538.4</v>
      </c>
      <c r="L164" s="182">
        <v>2183538.4</v>
      </c>
      <c r="M164" s="182">
        <v>2568576.5</v>
      </c>
      <c r="N164" s="182">
        <v>2048576.5</v>
      </c>
    </row>
    <row r="165" spans="1:14" x14ac:dyDescent="0.25">
      <c r="A165" s="189" t="s">
        <v>544</v>
      </c>
      <c r="B165" s="189" t="s">
        <v>243</v>
      </c>
      <c r="C165" s="189" t="s">
        <v>244</v>
      </c>
      <c r="D165" s="189" t="s">
        <v>541</v>
      </c>
      <c r="E165" s="182">
        <v>4930000</v>
      </c>
      <c r="F165" s="182">
        <v>4430000</v>
      </c>
      <c r="G165" s="182">
        <v>4387372</v>
      </c>
      <c r="H165" s="182">
        <v>0</v>
      </c>
      <c r="I165" s="182">
        <v>719807.36</v>
      </c>
      <c r="J165" s="182">
        <v>0</v>
      </c>
      <c r="K165" s="191">
        <v>819226.2</v>
      </c>
      <c r="L165" s="182">
        <v>819226.2</v>
      </c>
      <c r="M165" s="182">
        <v>2890966.44</v>
      </c>
      <c r="N165" s="182">
        <v>2848338.44</v>
      </c>
    </row>
    <row r="166" spans="1:14" x14ac:dyDescent="0.25">
      <c r="A166" s="189" t="s">
        <v>544</v>
      </c>
      <c r="B166" s="189" t="s">
        <v>249</v>
      </c>
      <c r="C166" s="189" t="s">
        <v>250</v>
      </c>
      <c r="D166" s="189" t="s">
        <v>541</v>
      </c>
      <c r="E166" s="182">
        <v>8000000</v>
      </c>
      <c r="F166" s="182">
        <v>9000000</v>
      </c>
      <c r="G166" s="182">
        <v>8996000</v>
      </c>
      <c r="H166" s="182">
        <v>0</v>
      </c>
      <c r="I166" s="182">
        <v>493000</v>
      </c>
      <c r="J166" s="182">
        <v>0</v>
      </c>
      <c r="K166" s="191">
        <v>1983750</v>
      </c>
      <c r="L166" s="182">
        <v>1983750</v>
      </c>
      <c r="M166" s="182">
        <v>6523250</v>
      </c>
      <c r="N166" s="182">
        <v>6519250</v>
      </c>
    </row>
    <row r="167" spans="1:14" x14ac:dyDescent="0.25">
      <c r="A167" s="189" t="s">
        <v>544</v>
      </c>
      <c r="B167" s="189" t="s">
        <v>279</v>
      </c>
      <c r="C167" s="189" t="s">
        <v>280</v>
      </c>
      <c r="D167" s="189" t="s">
        <v>543</v>
      </c>
      <c r="E167" s="182">
        <v>29500000</v>
      </c>
      <c r="F167" s="182">
        <v>29500000</v>
      </c>
      <c r="G167" s="182">
        <v>29500000</v>
      </c>
      <c r="H167" s="182">
        <v>0</v>
      </c>
      <c r="I167" s="182">
        <v>4798200</v>
      </c>
      <c r="J167" s="182">
        <v>200440</v>
      </c>
      <c r="K167" s="191">
        <v>8722191</v>
      </c>
      <c r="L167" s="182">
        <v>5647191</v>
      </c>
      <c r="M167" s="182">
        <v>15779169</v>
      </c>
      <c r="N167" s="182">
        <v>15779169</v>
      </c>
    </row>
    <row r="168" spans="1:14" x14ac:dyDescent="0.25">
      <c r="A168" s="189" t="s">
        <v>544</v>
      </c>
      <c r="B168" s="189" t="s">
        <v>281</v>
      </c>
      <c r="C168" s="189" t="s">
        <v>282</v>
      </c>
      <c r="D168" s="189" t="s">
        <v>543</v>
      </c>
      <c r="E168" s="182">
        <v>29500000</v>
      </c>
      <c r="F168" s="182">
        <v>29500000</v>
      </c>
      <c r="G168" s="182">
        <v>29500000</v>
      </c>
      <c r="H168" s="182">
        <v>0</v>
      </c>
      <c r="I168" s="182">
        <v>4798200</v>
      </c>
      <c r="J168" s="182">
        <v>200440</v>
      </c>
      <c r="K168" s="191">
        <v>8722191</v>
      </c>
      <c r="L168" s="182">
        <v>5647191</v>
      </c>
      <c r="M168" s="182">
        <v>15779169</v>
      </c>
      <c r="N168" s="182">
        <v>15779169</v>
      </c>
    </row>
    <row r="169" spans="1:14" x14ac:dyDescent="0.25">
      <c r="A169" s="189" t="s">
        <v>544</v>
      </c>
      <c r="B169" s="189" t="s">
        <v>285</v>
      </c>
      <c r="C169" s="189" t="s">
        <v>286</v>
      </c>
      <c r="D169" s="189" t="s">
        <v>543</v>
      </c>
      <c r="E169" s="182">
        <v>4700000</v>
      </c>
      <c r="F169" s="182">
        <v>6950000</v>
      </c>
      <c r="G169" s="182">
        <v>6950000</v>
      </c>
      <c r="H169" s="182">
        <v>0</v>
      </c>
      <c r="I169" s="182">
        <v>4798200</v>
      </c>
      <c r="J169" s="182">
        <v>0</v>
      </c>
      <c r="K169" s="191">
        <v>777120</v>
      </c>
      <c r="L169" s="182">
        <v>777120</v>
      </c>
      <c r="M169" s="182">
        <v>1374680</v>
      </c>
      <c r="N169" s="182">
        <v>1374680</v>
      </c>
    </row>
    <row r="170" spans="1:14" x14ac:dyDescent="0.25">
      <c r="A170" s="189" t="s">
        <v>544</v>
      </c>
      <c r="B170" s="189" t="s">
        <v>287</v>
      </c>
      <c r="C170" s="189" t="s">
        <v>288</v>
      </c>
      <c r="D170" s="189" t="s">
        <v>543</v>
      </c>
      <c r="E170" s="182">
        <v>3800000</v>
      </c>
      <c r="F170" s="182">
        <v>3300000</v>
      </c>
      <c r="G170" s="182">
        <v>3300000</v>
      </c>
      <c r="H170" s="182">
        <v>0</v>
      </c>
      <c r="I170" s="182">
        <v>0</v>
      </c>
      <c r="J170" s="182">
        <v>0</v>
      </c>
      <c r="K170" s="191">
        <v>913570</v>
      </c>
      <c r="L170" s="182">
        <v>913570</v>
      </c>
      <c r="M170" s="182">
        <v>2386430</v>
      </c>
      <c r="N170" s="182">
        <v>2386430</v>
      </c>
    </row>
    <row r="171" spans="1:14" x14ac:dyDescent="0.25">
      <c r="A171" s="189" t="s">
        <v>544</v>
      </c>
      <c r="B171" s="189" t="s">
        <v>289</v>
      </c>
      <c r="C171" s="189" t="s">
        <v>290</v>
      </c>
      <c r="D171" s="189" t="s">
        <v>543</v>
      </c>
      <c r="E171" s="182">
        <v>1000000</v>
      </c>
      <c r="F171" s="182">
        <v>250000</v>
      </c>
      <c r="G171" s="182">
        <v>250000</v>
      </c>
      <c r="H171" s="182">
        <v>0</v>
      </c>
      <c r="I171" s="182">
        <v>0</v>
      </c>
      <c r="J171" s="182">
        <v>0</v>
      </c>
      <c r="K171" s="191">
        <v>0</v>
      </c>
      <c r="L171" s="182">
        <v>0</v>
      </c>
      <c r="M171" s="182">
        <v>250000</v>
      </c>
      <c r="N171" s="182">
        <v>250000</v>
      </c>
    </row>
    <row r="172" spans="1:14" x14ac:dyDescent="0.25">
      <c r="A172" s="189" t="s">
        <v>544</v>
      </c>
      <c r="B172" s="189" t="s">
        <v>293</v>
      </c>
      <c r="C172" s="189" t="s">
        <v>294</v>
      </c>
      <c r="D172" s="189" t="s">
        <v>543</v>
      </c>
      <c r="E172" s="182">
        <v>16000000</v>
      </c>
      <c r="F172" s="182">
        <v>16000000</v>
      </c>
      <c r="G172" s="182">
        <v>16000000</v>
      </c>
      <c r="H172" s="182">
        <v>0</v>
      </c>
      <c r="I172" s="182">
        <v>0</v>
      </c>
      <c r="J172" s="182">
        <v>0</v>
      </c>
      <c r="K172" s="191">
        <v>7031501</v>
      </c>
      <c r="L172" s="182">
        <v>3956501</v>
      </c>
      <c r="M172" s="182">
        <v>8968499</v>
      </c>
      <c r="N172" s="182">
        <v>8968499</v>
      </c>
    </row>
    <row r="173" spans="1:14" x14ac:dyDescent="0.25">
      <c r="A173" s="189" t="s">
        <v>544</v>
      </c>
      <c r="B173" s="189" t="s">
        <v>295</v>
      </c>
      <c r="C173" s="189" t="s">
        <v>296</v>
      </c>
      <c r="D173" s="189" t="s">
        <v>543</v>
      </c>
      <c r="E173" s="182">
        <v>4000000</v>
      </c>
      <c r="F173" s="182">
        <v>3000000</v>
      </c>
      <c r="G173" s="182">
        <v>3000000</v>
      </c>
      <c r="H173" s="182">
        <v>0</v>
      </c>
      <c r="I173" s="182">
        <v>0</v>
      </c>
      <c r="J173" s="182">
        <v>200440</v>
      </c>
      <c r="K173" s="191">
        <v>0</v>
      </c>
      <c r="L173" s="182">
        <v>0</v>
      </c>
      <c r="M173" s="182">
        <v>2799560</v>
      </c>
      <c r="N173" s="182">
        <v>2799560</v>
      </c>
    </row>
    <row r="174" spans="1:14" x14ac:dyDescent="0.25">
      <c r="A174" s="189" t="s">
        <v>544</v>
      </c>
      <c r="B174" s="189" t="s">
        <v>251</v>
      </c>
      <c r="C174" s="189" t="s">
        <v>252</v>
      </c>
      <c r="D174" s="189" t="s">
        <v>541</v>
      </c>
      <c r="E174" s="182">
        <v>43960000</v>
      </c>
      <c r="F174" s="182">
        <v>43960000</v>
      </c>
      <c r="G174" s="182">
        <v>35893000</v>
      </c>
      <c r="H174" s="182">
        <v>0</v>
      </c>
      <c r="I174" s="182">
        <v>4714696</v>
      </c>
      <c r="J174" s="182">
        <v>0</v>
      </c>
      <c r="K174" s="191">
        <v>26903265.350000001</v>
      </c>
      <c r="L174" s="182">
        <v>26903265.350000001</v>
      </c>
      <c r="M174" s="182">
        <v>12342038.65</v>
      </c>
      <c r="N174" s="182">
        <v>4275038.6500000004</v>
      </c>
    </row>
    <row r="175" spans="1:14" x14ac:dyDescent="0.25">
      <c r="A175" s="189" t="s">
        <v>544</v>
      </c>
      <c r="B175" s="189" t="s">
        <v>253</v>
      </c>
      <c r="C175" s="189" t="s">
        <v>254</v>
      </c>
      <c r="D175" s="189" t="s">
        <v>541</v>
      </c>
      <c r="E175" s="182">
        <v>11142000</v>
      </c>
      <c r="F175" s="182">
        <v>11142000</v>
      </c>
      <c r="G175" s="182">
        <v>11142000</v>
      </c>
      <c r="H175" s="182">
        <v>0</v>
      </c>
      <c r="I175" s="182">
        <v>4714696</v>
      </c>
      <c r="J175" s="182">
        <v>0</v>
      </c>
      <c r="K175" s="191">
        <v>6427304</v>
      </c>
      <c r="L175" s="182">
        <v>6427304</v>
      </c>
      <c r="M175" s="182">
        <v>0</v>
      </c>
      <c r="N175" s="182">
        <v>0</v>
      </c>
    </row>
    <row r="176" spans="1:14" x14ac:dyDescent="0.25">
      <c r="A176" s="189" t="s">
        <v>544</v>
      </c>
      <c r="B176" s="189" t="s">
        <v>311</v>
      </c>
      <c r="C176" s="189" t="s">
        <v>602</v>
      </c>
      <c r="D176" s="189" t="s">
        <v>541</v>
      </c>
      <c r="E176" s="182">
        <v>9273000</v>
      </c>
      <c r="F176" s="182">
        <v>9273000</v>
      </c>
      <c r="G176" s="182">
        <v>9273000</v>
      </c>
      <c r="H176" s="182">
        <v>0</v>
      </c>
      <c r="I176" s="182">
        <v>3924101</v>
      </c>
      <c r="J176" s="182">
        <v>0</v>
      </c>
      <c r="K176" s="191">
        <v>5348899</v>
      </c>
      <c r="L176" s="182">
        <v>5348899</v>
      </c>
      <c r="M176" s="182">
        <v>0</v>
      </c>
      <c r="N176" s="182">
        <v>0</v>
      </c>
    </row>
    <row r="177" spans="1:14" x14ac:dyDescent="0.25">
      <c r="A177" s="189" t="s">
        <v>544</v>
      </c>
      <c r="B177" s="189" t="s">
        <v>312</v>
      </c>
      <c r="C177" s="189" t="s">
        <v>603</v>
      </c>
      <c r="D177" s="189" t="s">
        <v>541</v>
      </c>
      <c r="E177" s="182">
        <v>1869000</v>
      </c>
      <c r="F177" s="182">
        <v>1869000</v>
      </c>
      <c r="G177" s="182">
        <v>1869000</v>
      </c>
      <c r="H177" s="182">
        <v>0</v>
      </c>
      <c r="I177" s="182">
        <v>790595</v>
      </c>
      <c r="J177" s="182">
        <v>0</v>
      </c>
      <c r="K177" s="191">
        <v>1078405</v>
      </c>
      <c r="L177" s="182">
        <v>1078405</v>
      </c>
      <c r="M177" s="182">
        <v>0</v>
      </c>
      <c r="N177" s="182">
        <v>0</v>
      </c>
    </row>
    <row r="178" spans="1:14" x14ac:dyDescent="0.25">
      <c r="A178" s="189" t="s">
        <v>544</v>
      </c>
      <c r="B178" s="189" t="s">
        <v>261</v>
      </c>
      <c r="C178" s="189" t="s">
        <v>262</v>
      </c>
      <c r="D178" s="189" t="s">
        <v>541</v>
      </c>
      <c r="E178" s="182">
        <v>24818000</v>
      </c>
      <c r="F178" s="182">
        <v>26818000</v>
      </c>
      <c r="G178" s="182">
        <v>24751000</v>
      </c>
      <c r="H178" s="182">
        <v>0</v>
      </c>
      <c r="I178" s="182">
        <v>0</v>
      </c>
      <c r="J178" s="182">
        <v>0</v>
      </c>
      <c r="K178" s="191">
        <v>20475961.350000001</v>
      </c>
      <c r="L178" s="182">
        <v>20475961.350000001</v>
      </c>
      <c r="M178" s="182">
        <v>6342038.6500000004</v>
      </c>
      <c r="N178" s="182">
        <v>4275038.6500000004</v>
      </c>
    </row>
    <row r="179" spans="1:14" x14ac:dyDescent="0.25">
      <c r="A179" s="189" t="s">
        <v>544</v>
      </c>
      <c r="B179" s="189" t="s">
        <v>263</v>
      </c>
      <c r="C179" s="189" t="s">
        <v>264</v>
      </c>
      <c r="D179" s="189" t="s">
        <v>541</v>
      </c>
      <c r="E179" s="182">
        <v>17000000</v>
      </c>
      <c r="F179" s="182">
        <v>19000000</v>
      </c>
      <c r="G179" s="182">
        <v>16933000</v>
      </c>
      <c r="H179" s="182">
        <v>0</v>
      </c>
      <c r="I179" s="182">
        <v>0</v>
      </c>
      <c r="J179" s="182">
        <v>0</v>
      </c>
      <c r="K179" s="191">
        <v>16932874.350000001</v>
      </c>
      <c r="L179" s="182">
        <v>16932874.350000001</v>
      </c>
      <c r="M179" s="182">
        <v>2067125.65</v>
      </c>
      <c r="N179" s="182">
        <v>125.65</v>
      </c>
    </row>
    <row r="180" spans="1:14" x14ac:dyDescent="0.25">
      <c r="A180" s="189" t="s">
        <v>544</v>
      </c>
      <c r="B180" s="189" t="s">
        <v>265</v>
      </c>
      <c r="C180" s="189" t="s">
        <v>266</v>
      </c>
      <c r="D180" s="189" t="s">
        <v>541</v>
      </c>
      <c r="E180" s="182">
        <v>7818000</v>
      </c>
      <c r="F180" s="182">
        <v>7818000</v>
      </c>
      <c r="G180" s="182">
        <v>7818000</v>
      </c>
      <c r="H180" s="182">
        <v>0</v>
      </c>
      <c r="I180" s="182">
        <v>0</v>
      </c>
      <c r="J180" s="182">
        <v>0</v>
      </c>
      <c r="K180" s="191">
        <v>3543087</v>
      </c>
      <c r="L180" s="182">
        <v>3543087</v>
      </c>
      <c r="M180" s="182">
        <v>4274913</v>
      </c>
      <c r="N180" s="182">
        <v>4274913</v>
      </c>
    </row>
    <row r="181" spans="1:14" x14ac:dyDescent="0.25">
      <c r="A181" s="189" t="s">
        <v>544</v>
      </c>
      <c r="B181" s="189" t="s">
        <v>267</v>
      </c>
      <c r="C181" s="189" t="s">
        <v>268</v>
      </c>
      <c r="D181" s="189" t="s">
        <v>541</v>
      </c>
      <c r="E181" s="182">
        <v>8000000</v>
      </c>
      <c r="F181" s="182">
        <v>6000000</v>
      </c>
      <c r="G181" s="182">
        <v>0</v>
      </c>
      <c r="H181" s="182">
        <v>0</v>
      </c>
      <c r="I181" s="182">
        <v>0</v>
      </c>
      <c r="J181" s="182">
        <v>0</v>
      </c>
      <c r="K181" s="191">
        <v>0</v>
      </c>
      <c r="L181" s="182">
        <v>0</v>
      </c>
      <c r="M181" s="182">
        <v>6000000</v>
      </c>
      <c r="N181" s="182">
        <v>0</v>
      </c>
    </row>
    <row r="182" spans="1:14" x14ac:dyDescent="0.25">
      <c r="A182" s="189" t="s">
        <v>544</v>
      </c>
      <c r="B182" s="189" t="s">
        <v>269</v>
      </c>
      <c r="C182" s="189" t="s">
        <v>270</v>
      </c>
      <c r="D182" s="189" t="s">
        <v>541</v>
      </c>
      <c r="E182" s="182">
        <v>8000000</v>
      </c>
      <c r="F182" s="182">
        <v>6000000</v>
      </c>
      <c r="G182" s="182">
        <v>0</v>
      </c>
      <c r="H182" s="182">
        <v>0</v>
      </c>
      <c r="I182" s="182">
        <v>0</v>
      </c>
      <c r="J182" s="182">
        <v>0</v>
      </c>
      <c r="K182" s="191">
        <v>0</v>
      </c>
      <c r="L182" s="182">
        <v>0</v>
      </c>
      <c r="M182" s="182">
        <v>6000000</v>
      </c>
      <c r="N182" s="182">
        <v>0</v>
      </c>
    </row>
    <row r="183" spans="1:14" x14ac:dyDescent="0.25">
      <c r="A183" s="189" t="s">
        <v>545</v>
      </c>
      <c r="B183" s="189" t="s">
        <v>587</v>
      </c>
      <c r="C183" s="189" t="s">
        <v>587</v>
      </c>
      <c r="D183" s="189" t="s">
        <v>541</v>
      </c>
      <c r="E183" s="182">
        <v>11325587195</v>
      </c>
      <c r="F183" s="182">
        <v>11325587195</v>
      </c>
      <c r="G183" s="182">
        <v>11019310145</v>
      </c>
      <c r="H183" s="182">
        <v>9540496.0899999999</v>
      </c>
      <c r="I183" s="182">
        <v>832290518.49000001</v>
      </c>
      <c r="J183" s="182">
        <v>10791848.289999999</v>
      </c>
      <c r="K183" s="191">
        <v>6223835579.0500002</v>
      </c>
      <c r="L183" s="182">
        <v>6219254066.5299997</v>
      </c>
      <c r="M183" s="182">
        <v>4249128753.0799999</v>
      </c>
      <c r="N183" s="182">
        <v>3942851703.0799999</v>
      </c>
    </row>
    <row r="184" spans="1:14" x14ac:dyDescent="0.25">
      <c r="A184" s="189" t="s">
        <v>545</v>
      </c>
      <c r="B184" s="189" t="s">
        <v>92</v>
      </c>
      <c r="C184" s="189" t="s">
        <v>93</v>
      </c>
      <c r="D184" s="189" t="s">
        <v>541</v>
      </c>
      <c r="E184" s="182">
        <v>9908319000</v>
      </c>
      <c r="F184" s="182">
        <v>9899719000</v>
      </c>
      <c r="G184" s="182">
        <v>9899719000</v>
      </c>
      <c r="H184" s="182">
        <v>0</v>
      </c>
      <c r="I184" s="182">
        <v>609297405.20000005</v>
      </c>
      <c r="J184" s="182">
        <v>0</v>
      </c>
      <c r="K184" s="191">
        <v>5558905933.1199999</v>
      </c>
      <c r="L184" s="182">
        <v>5558905933.1199999</v>
      </c>
      <c r="M184" s="182">
        <v>3731515661.6799998</v>
      </c>
      <c r="N184" s="182">
        <v>3731515661.6799998</v>
      </c>
    </row>
    <row r="185" spans="1:14" x14ac:dyDescent="0.25">
      <c r="A185" s="189" t="s">
        <v>545</v>
      </c>
      <c r="B185" s="189" t="s">
        <v>94</v>
      </c>
      <c r="C185" s="189" t="s">
        <v>95</v>
      </c>
      <c r="D185" s="189" t="s">
        <v>541</v>
      </c>
      <c r="E185" s="182">
        <v>3418584000</v>
      </c>
      <c r="F185" s="182">
        <v>3418584000</v>
      </c>
      <c r="G185" s="182">
        <v>3418584000</v>
      </c>
      <c r="H185" s="182">
        <v>0</v>
      </c>
      <c r="I185" s="182">
        <v>0</v>
      </c>
      <c r="J185" s="182">
        <v>0</v>
      </c>
      <c r="K185" s="191">
        <v>1983270556.52</v>
      </c>
      <c r="L185" s="182">
        <v>1983270556.52</v>
      </c>
      <c r="M185" s="182">
        <v>1435313443.48</v>
      </c>
      <c r="N185" s="182">
        <v>1435313443.48</v>
      </c>
    </row>
    <row r="186" spans="1:14" x14ac:dyDescent="0.25">
      <c r="A186" s="189" t="s">
        <v>545</v>
      </c>
      <c r="B186" s="189" t="s">
        <v>96</v>
      </c>
      <c r="C186" s="189" t="s">
        <v>97</v>
      </c>
      <c r="D186" s="189" t="s">
        <v>541</v>
      </c>
      <c r="E186" s="182">
        <v>3413584000</v>
      </c>
      <c r="F186" s="182">
        <v>3413584000</v>
      </c>
      <c r="G186" s="182">
        <v>3413584000</v>
      </c>
      <c r="H186" s="182">
        <v>0</v>
      </c>
      <c r="I186" s="182">
        <v>0</v>
      </c>
      <c r="J186" s="182">
        <v>0</v>
      </c>
      <c r="K186" s="191">
        <v>1983270556.52</v>
      </c>
      <c r="L186" s="182">
        <v>1983270556.52</v>
      </c>
      <c r="M186" s="182">
        <v>1430313443.48</v>
      </c>
      <c r="N186" s="182">
        <v>1430313443.48</v>
      </c>
    </row>
    <row r="187" spans="1:14" x14ac:dyDescent="0.25">
      <c r="A187" s="189" t="s">
        <v>545</v>
      </c>
      <c r="B187" s="189" t="s">
        <v>313</v>
      </c>
      <c r="C187" s="189" t="s">
        <v>314</v>
      </c>
      <c r="D187" s="189" t="s">
        <v>541</v>
      </c>
      <c r="E187" s="182">
        <v>5000000</v>
      </c>
      <c r="F187" s="182">
        <v>5000000</v>
      </c>
      <c r="G187" s="182">
        <v>5000000</v>
      </c>
      <c r="H187" s="182">
        <v>0</v>
      </c>
      <c r="I187" s="182">
        <v>0</v>
      </c>
      <c r="J187" s="182">
        <v>0</v>
      </c>
      <c r="K187" s="191">
        <v>0</v>
      </c>
      <c r="L187" s="182">
        <v>0</v>
      </c>
      <c r="M187" s="182">
        <v>5000000</v>
      </c>
      <c r="N187" s="182">
        <v>5000000</v>
      </c>
    </row>
    <row r="188" spans="1:14" x14ac:dyDescent="0.25">
      <c r="A188" s="189" t="s">
        <v>545</v>
      </c>
      <c r="B188" s="189" t="s">
        <v>98</v>
      </c>
      <c r="C188" s="189" t="s">
        <v>99</v>
      </c>
      <c r="D188" s="189" t="s">
        <v>541</v>
      </c>
      <c r="E188" s="182">
        <v>11000000</v>
      </c>
      <c r="F188" s="182">
        <v>11000000</v>
      </c>
      <c r="G188" s="182">
        <v>11000000</v>
      </c>
      <c r="H188" s="182">
        <v>0</v>
      </c>
      <c r="I188" s="182">
        <v>0</v>
      </c>
      <c r="J188" s="182">
        <v>0</v>
      </c>
      <c r="K188" s="191">
        <v>4167270.39</v>
      </c>
      <c r="L188" s="182">
        <v>4167270.39</v>
      </c>
      <c r="M188" s="182">
        <v>6832729.6100000003</v>
      </c>
      <c r="N188" s="182">
        <v>6832729.6100000003</v>
      </c>
    </row>
    <row r="189" spans="1:14" x14ac:dyDescent="0.25">
      <c r="A189" s="189" t="s">
        <v>545</v>
      </c>
      <c r="B189" s="189" t="s">
        <v>100</v>
      </c>
      <c r="C189" s="189" t="s">
        <v>101</v>
      </c>
      <c r="D189" s="189" t="s">
        <v>541</v>
      </c>
      <c r="E189" s="182">
        <v>11000000</v>
      </c>
      <c r="F189" s="182">
        <v>11000000</v>
      </c>
      <c r="G189" s="182">
        <v>11000000</v>
      </c>
      <c r="H189" s="182">
        <v>0</v>
      </c>
      <c r="I189" s="182">
        <v>0</v>
      </c>
      <c r="J189" s="182">
        <v>0</v>
      </c>
      <c r="K189" s="191">
        <v>4167270.39</v>
      </c>
      <c r="L189" s="182">
        <v>4167270.39</v>
      </c>
      <c r="M189" s="182">
        <v>6832729.6100000003</v>
      </c>
      <c r="N189" s="182">
        <v>6832729.6100000003</v>
      </c>
    </row>
    <row r="190" spans="1:14" x14ac:dyDescent="0.25">
      <c r="A190" s="189" t="s">
        <v>545</v>
      </c>
      <c r="B190" s="189" t="s">
        <v>102</v>
      </c>
      <c r="C190" s="189" t="s">
        <v>103</v>
      </c>
      <c r="D190" s="189" t="s">
        <v>541</v>
      </c>
      <c r="E190" s="182">
        <v>4978167000</v>
      </c>
      <c r="F190" s="182">
        <v>4969567000</v>
      </c>
      <c r="G190" s="182">
        <v>4969567000</v>
      </c>
      <c r="H190" s="182">
        <v>0</v>
      </c>
      <c r="I190" s="182">
        <v>66935.199999999997</v>
      </c>
      <c r="J190" s="182">
        <v>0</v>
      </c>
      <c r="K190" s="191">
        <v>2680130576.21</v>
      </c>
      <c r="L190" s="182">
        <v>2680130576.21</v>
      </c>
      <c r="M190" s="182">
        <v>2289369488.5900002</v>
      </c>
      <c r="N190" s="182">
        <v>2289369488.5900002</v>
      </c>
    </row>
    <row r="191" spans="1:14" x14ac:dyDescent="0.25">
      <c r="A191" s="189" t="s">
        <v>545</v>
      </c>
      <c r="B191" s="189" t="s">
        <v>104</v>
      </c>
      <c r="C191" s="189" t="s">
        <v>105</v>
      </c>
      <c r="D191" s="189" t="s">
        <v>541</v>
      </c>
      <c r="E191" s="182">
        <v>913627000</v>
      </c>
      <c r="F191" s="182">
        <v>905027000</v>
      </c>
      <c r="G191" s="182">
        <v>905027000</v>
      </c>
      <c r="H191" s="182">
        <v>0</v>
      </c>
      <c r="I191" s="182">
        <v>61854.400000000001</v>
      </c>
      <c r="J191" s="182">
        <v>0</v>
      </c>
      <c r="K191" s="191">
        <v>504579688.23000002</v>
      </c>
      <c r="L191" s="182">
        <v>504579688.23000002</v>
      </c>
      <c r="M191" s="182">
        <v>400385457.37</v>
      </c>
      <c r="N191" s="182">
        <v>400385457.37</v>
      </c>
    </row>
    <row r="192" spans="1:14" x14ac:dyDescent="0.25">
      <c r="A192" s="189" t="s">
        <v>545</v>
      </c>
      <c r="B192" s="189" t="s">
        <v>106</v>
      </c>
      <c r="C192" s="189" t="s">
        <v>107</v>
      </c>
      <c r="D192" s="189" t="s">
        <v>541</v>
      </c>
      <c r="E192" s="182">
        <v>2244831000</v>
      </c>
      <c r="F192" s="182">
        <v>2244831000</v>
      </c>
      <c r="G192" s="182">
        <v>2244831000</v>
      </c>
      <c r="H192" s="182">
        <v>0</v>
      </c>
      <c r="I192" s="182">
        <v>0</v>
      </c>
      <c r="J192" s="182">
        <v>0</v>
      </c>
      <c r="K192" s="191">
        <v>1309927731.6900001</v>
      </c>
      <c r="L192" s="182">
        <v>1309927731.6900001</v>
      </c>
      <c r="M192" s="182">
        <v>934903268.30999994</v>
      </c>
      <c r="N192" s="182">
        <v>934903268.30999994</v>
      </c>
    </row>
    <row r="193" spans="1:14" x14ac:dyDescent="0.25">
      <c r="A193" s="189" t="s">
        <v>545</v>
      </c>
      <c r="B193" s="189" t="s">
        <v>112</v>
      </c>
      <c r="C193" s="189" t="s">
        <v>113</v>
      </c>
      <c r="D193" s="189" t="s">
        <v>543</v>
      </c>
      <c r="E193" s="182">
        <v>647839000</v>
      </c>
      <c r="F193" s="182">
        <v>647839000</v>
      </c>
      <c r="G193" s="182">
        <v>647839000</v>
      </c>
      <c r="H193" s="182">
        <v>0</v>
      </c>
      <c r="I193" s="182">
        <v>4.32</v>
      </c>
      <c r="J193" s="182">
        <v>0</v>
      </c>
      <c r="K193" s="191">
        <v>795760.88</v>
      </c>
      <c r="L193" s="182">
        <v>795760.88</v>
      </c>
      <c r="M193" s="182">
        <v>647043234.79999995</v>
      </c>
      <c r="N193" s="182">
        <v>647043234.79999995</v>
      </c>
    </row>
    <row r="194" spans="1:14" x14ac:dyDescent="0.25">
      <c r="A194" s="189" t="s">
        <v>545</v>
      </c>
      <c r="B194" s="189" t="s">
        <v>108</v>
      </c>
      <c r="C194" s="189" t="s">
        <v>109</v>
      </c>
      <c r="D194" s="189" t="s">
        <v>541</v>
      </c>
      <c r="E194" s="182">
        <v>540993000</v>
      </c>
      <c r="F194" s="182">
        <v>540993000</v>
      </c>
      <c r="G194" s="182">
        <v>540993000</v>
      </c>
      <c r="H194" s="182">
        <v>0</v>
      </c>
      <c r="I194" s="182">
        <v>5076.4799999999996</v>
      </c>
      <c r="J194" s="182">
        <v>0</v>
      </c>
      <c r="K194" s="191">
        <v>494427385.87</v>
      </c>
      <c r="L194" s="182">
        <v>494427385.87</v>
      </c>
      <c r="M194" s="182">
        <v>46560537.649999999</v>
      </c>
      <c r="N194" s="182">
        <v>46560537.649999999</v>
      </c>
    </row>
    <row r="195" spans="1:14" x14ac:dyDescent="0.25">
      <c r="A195" s="189" t="s">
        <v>545</v>
      </c>
      <c r="B195" s="189" t="s">
        <v>110</v>
      </c>
      <c r="C195" s="189" t="s">
        <v>111</v>
      </c>
      <c r="D195" s="189" t="s">
        <v>541</v>
      </c>
      <c r="E195" s="182">
        <v>630877000</v>
      </c>
      <c r="F195" s="182">
        <v>630877000</v>
      </c>
      <c r="G195" s="182">
        <v>630877000</v>
      </c>
      <c r="H195" s="182">
        <v>0</v>
      </c>
      <c r="I195" s="182">
        <v>0</v>
      </c>
      <c r="J195" s="182">
        <v>0</v>
      </c>
      <c r="K195" s="191">
        <v>370400009.54000002</v>
      </c>
      <c r="L195" s="182">
        <v>370400009.54000002</v>
      </c>
      <c r="M195" s="182">
        <v>260476990.46000001</v>
      </c>
      <c r="N195" s="182">
        <v>260476990.46000001</v>
      </c>
    </row>
    <row r="196" spans="1:14" x14ac:dyDescent="0.25">
      <c r="A196" s="189" t="s">
        <v>545</v>
      </c>
      <c r="B196" s="189" t="s">
        <v>114</v>
      </c>
      <c r="C196" s="189" t="s">
        <v>115</v>
      </c>
      <c r="D196" s="189" t="s">
        <v>541</v>
      </c>
      <c r="E196" s="182">
        <v>756883000</v>
      </c>
      <c r="F196" s="182">
        <v>756883000</v>
      </c>
      <c r="G196" s="182">
        <v>756883000</v>
      </c>
      <c r="H196" s="182">
        <v>0</v>
      </c>
      <c r="I196" s="182">
        <v>304202637</v>
      </c>
      <c r="J196" s="182">
        <v>0</v>
      </c>
      <c r="K196" s="191">
        <v>452680363</v>
      </c>
      <c r="L196" s="182">
        <v>452680363</v>
      </c>
      <c r="M196" s="182">
        <v>0</v>
      </c>
      <c r="N196" s="182">
        <v>0</v>
      </c>
    </row>
    <row r="197" spans="1:14" x14ac:dyDescent="0.25">
      <c r="A197" s="189" t="s">
        <v>545</v>
      </c>
      <c r="B197" s="189" t="s">
        <v>315</v>
      </c>
      <c r="C197" s="189" t="s">
        <v>597</v>
      </c>
      <c r="D197" s="189" t="s">
        <v>541</v>
      </c>
      <c r="E197" s="182">
        <v>718069000</v>
      </c>
      <c r="F197" s="182">
        <v>718069000</v>
      </c>
      <c r="G197" s="182">
        <v>718069000</v>
      </c>
      <c r="H197" s="182">
        <v>0</v>
      </c>
      <c r="I197" s="182">
        <v>288599725</v>
      </c>
      <c r="J197" s="182">
        <v>0</v>
      </c>
      <c r="K197" s="191">
        <v>429469275</v>
      </c>
      <c r="L197" s="182">
        <v>429469275</v>
      </c>
      <c r="M197" s="182">
        <v>0</v>
      </c>
      <c r="N197" s="182">
        <v>0</v>
      </c>
    </row>
    <row r="198" spans="1:14" x14ac:dyDescent="0.25">
      <c r="A198" s="189" t="s">
        <v>545</v>
      </c>
      <c r="B198" s="189" t="s">
        <v>316</v>
      </c>
      <c r="C198" s="189" t="s">
        <v>583</v>
      </c>
      <c r="D198" s="189" t="s">
        <v>541</v>
      </c>
      <c r="E198" s="182">
        <v>38814000</v>
      </c>
      <c r="F198" s="182">
        <v>38814000</v>
      </c>
      <c r="G198" s="182">
        <v>38814000</v>
      </c>
      <c r="H198" s="182">
        <v>0</v>
      </c>
      <c r="I198" s="182">
        <v>15602912</v>
      </c>
      <c r="J198" s="182">
        <v>0</v>
      </c>
      <c r="K198" s="191">
        <v>23211088</v>
      </c>
      <c r="L198" s="182">
        <v>23211088</v>
      </c>
      <c r="M198" s="182">
        <v>0</v>
      </c>
      <c r="N198" s="182">
        <v>0</v>
      </c>
    </row>
    <row r="199" spans="1:14" x14ac:dyDescent="0.25">
      <c r="A199" s="189" t="s">
        <v>545</v>
      </c>
      <c r="B199" s="189" t="s">
        <v>118</v>
      </c>
      <c r="C199" s="189" t="s">
        <v>119</v>
      </c>
      <c r="D199" s="189" t="s">
        <v>541</v>
      </c>
      <c r="E199" s="182">
        <v>743685000</v>
      </c>
      <c r="F199" s="182">
        <v>743685000</v>
      </c>
      <c r="G199" s="182">
        <v>743685000</v>
      </c>
      <c r="H199" s="182">
        <v>0</v>
      </c>
      <c r="I199" s="182">
        <v>305027833</v>
      </c>
      <c r="J199" s="182">
        <v>0</v>
      </c>
      <c r="K199" s="191">
        <v>438657167</v>
      </c>
      <c r="L199" s="182">
        <v>438657167</v>
      </c>
      <c r="M199" s="182">
        <v>0</v>
      </c>
      <c r="N199" s="182">
        <v>0</v>
      </c>
    </row>
    <row r="200" spans="1:14" x14ac:dyDescent="0.25">
      <c r="A200" s="189" t="s">
        <v>545</v>
      </c>
      <c r="B200" s="189" t="s">
        <v>317</v>
      </c>
      <c r="C200" s="189" t="s">
        <v>598</v>
      </c>
      <c r="D200" s="189" t="s">
        <v>541</v>
      </c>
      <c r="E200" s="182">
        <v>394355000</v>
      </c>
      <c r="F200" s="182">
        <v>394355000</v>
      </c>
      <c r="G200" s="182">
        <v>394355000</v>
      </c>
      <c r="H200" s="182">
        <v>0</v>
      </c>
      <c r="I200" s="182">
        <v>164597189</v>
      </c>
      <c r="J200" s="182">
        <v>0</v>
      </c>
      <c r="K200" s="191">
        <v>229757811</v>
      </c>
      <c r="L200" s="182">
        <v>229757811</v>
      </c>
      <c r="M200" s="182">
        <v>0</v>
      </c>
      <c r="N200" s="182">
        <v>0</v>
      </c>
    </row>
    <row r="201" spans="1:14" x14ac:dyDescent="0.25">
      <c r="A201" s="189" t="s">
        <v>545</v>
      </c>
      <c r="B201" s="189" t="s">
        <v>318</v>
      </c>
      <c r="C201" s="189" t="s">
        <v>599</v>
      </c>
      <c r="D201" s="189" t="s">
        <v>541</v>
      </c>
      <c r="E201" s="182">
        <v>116443000</v>
      </c>
      <c r="F201" s="182">
        <v>116443000</v>
      </c>
      <c r="G201" s="182">
        <v>116443000</v>
      </c>
      <c r="H201" s="182">
        <v>0</v>
      </c>
      <c r="I201" s="182">
        <v>46809931</v>
      </c>
      <c r="J201" s="182">
        <v>0</v>
      </c>
      <c r="K201" s="191">
        <v>69633069</v>
      </c>
      <c r="L201" s="182">
        <v>69633069</v>
      </c>
      <c r="M201" s="182">
        <v>0</v>
      </c>
      <c r="N201" s="182">
        <v>0</v>
      </c>
    </row>
    <row r="202" spans="1:14" x14ac:dyDescent="0.25">
      <c r="A202" s="189" t="s">
        <v>545</v>
      </c>
      <c r="B202" s="189" t="s">
        <v>319</v>
      </c>
      <c r="C202" s="189" t="s">
        <v>600</v>
      </c>
      <c r="D202" s="189" t="s">
        <v>541</v>
      </c>
      <c r="E202" s="182">
        <v>232887000</v>
      </c>
      <c r="F202" s="182">
        <v>232887000</v>
      </c>
      <c r="G202" s="182">
        <v>232887000</v>
      </c>
      <c r="H202" s="182">
        <v>0</v>
      </c>
      <c r="I202" s="182">
        <v>93620713</v>
      </c>
      <c r="J202" s="182">
        <v>0</v>
      </c>
      <c r="K202" s="191">
        <v>139266287</v>
      </c>
      <c r="L202" s="182">
        <v>139266287</v>
      </c>
      <c r="M202" s="182">
        <v>0</v>
      </c>
      <c r="N202" s="182">
        <v>0</v>
      </c>
    </row>
    <row r="203" spans="1:14" x14ac:dyDescent="0.25">
      <c r="A203" s="189" t="s">
        <v>545</v>
      </c>
      <c r="B203" s="189" t="s">
        <v>123</v>
      </c>
      <c r="C203" s="189" t="s">
        <v>124</v>
      </c>
      <c r="D203" s="189" t="s">
        <v>541</v>
      </c>
      <c r="E203" s="182">
        <v>1006874402</v>
      </c>
      <c r="F203" s="182">
        <v>1006874402</v>
      </c>
      <c r="G203" s="182">
        <v>789409676.5</v>
      </c>
      <c r="H203" s="182">
        <v>856668.48</v>
      </c>
      <c r="I203" s="182">
        <v>147520927.31999999</v>
      </c>
      <c r="J203" s="182">
        <v>10791848.289999999</v>
      </c>
      <c r="K203" s="191">
        <v>486461948.63999999</v>
      </c>
      <c r="L203" s="182">
        <v>481880436.12</v>
      </c>
      <c r="M203" s="182">
        <v>361243009.26999998</v>
      </c>
      <c r="N203" s="182">
        <v>143778283.77000001</v>
      </c>
    </row>
    <row r="204" spans="1:14" x14ac:dyDescent="0.25">
      <c r="A204" s="189" t="s">
        <v>545</v>
      </c>
      <c r="B204" s="189" t="s">
        <v>125</v>
      </c>
      <c r="C204" s="189" t="s">
        <v>126</v>
      </c>
      <c r="D204" s="189" t="s">
        <v>541</v>
      </c>
      <c r="E204" s="182">
        <v>331717997</v>
      </c>
      <c r="F204" s="182">
        <v>306417997</v>
      </c>
      <c r="G204" s="182">
        <v>235228497</v>
      </c>
      <c r="H204" s="182">
        <v>0</v>
      </c>
      <c r="I204" s="182">
        <v>31630731.27</v>
      </c>
      <c r="J204" s="182">
        <v>8428991.9800000004</v>
      </c>
      <c r="K204" s="191">
        <v>159212119.06</v>
      </c>
      <c r="L204" s="182">
        <v>159212119.06</v>
      </c>
      <c r="M204" s="182">
        <v>107146154.69</v>
      </c>
      <c r="N204" s="182">
        <v>35956654.689999998</v>
      </c>
    </row>
    <row r="205" spans="1:14" x14ac:dyDescent="0.25">
      <c r="A205" s="189" t="s">
        <v>545</v>
      </c>
      <c r="B205" s="189" t="s">
        <v>306</v>
      </c>
      <c r="C205" s="189" t="s">
        <v>307</v>
      </c>
      <c r="D205" s="189" t="s">
        <v>541</v>
      </c>
      <c r="E205" s="182">
        <v>200526630</v>
      </c>
      <c r="F205" s="182">
        <v>163026630</v>
      </c>
      <c r="G205" s="182">
        <v>121084972</v>
      </c>
      <c r="H205" s="182">
        <v>0</v>
      </c>
      <c r="I205" s="182">
        <v>7387475</v>
      </c>
      <c r="J205" s="182">
        <v>5256205</v>
      </c>
      <c r="K205" s="191">
        <v>97052590</v>
      </c>
      <c r="L205" s="182">
        <v>97052590</v>
      </c>
      <c r="M205" s="182">
        <v>53330360</v>
      </c>
      <c r="N205" s="182">
        <v>11388702</v>
      </c>
    </row>
    <row r="206" spans="1:14" x14ac:dyDescent="0.25">
      <c r="A206" s="189" t="s">
        <v>545</v>
      </c>
      <c r="B206" s="189" t="s">
        <v>320</v>
      </c>
      <c r="C206" s="189" t="s">
        <v>321</v>
      </c>
      <c r="D206" s="189" t="s">
        <v>541</v>
      </c>
      <c r="E206" s="182">
        <v>3933000</v>
      </c>
      <c r="F206" s="182">
        <v>3333000</v>
      </c>
      <c r="G206" s="182">
        <v>2449750</v>
      </c>
      <c r="H206" s="182">
        <v>0</v>
      </c>
      <c r="I206" s="182">
        <v>690127.9</v>
      </c>
      <c r="J206" s="182">
        <v>0</v>
      </c>
      <c r="K206" s="191">
        <v>1583923.4</v>
      </c>
      <c r="L206" s="182">
        <v>1583923.4</v>
      </c>
      <c r="M206" s="182">
        <v>1058948.7</v>
      </c>
      <c r="N206" s="182">
        <v>175698.7</v>
      </c>
    </row>
    <row r="207" spans="1:14" x14ac:dyDescent="0.25">
      <c r="A207" s="189" t="s">
        <v>545</v>
      </c>
      <c r="B207" s="189" t="s">
        <v>127</v>
      </c>
      <c r="C207" s="189" t="s">
        <v>128</v>
      </c>
      <c r="D207" s="189" t="s">
        <v>541</v>
      </c>
      <c r="E207" s="182">
        <v>98126131</v>
      </c>
      <c r="F207" s="182">
        <v>100626131</v>
      </c>
      <c r="G207" s="182">
        <v>78094598</v>
      </c>
      <c r="H207" s="182">
        <v>0</v>
      </c>
      <c r="I207" s="182">
        <v>13879086.779999999</v>
      </c>
      <c r="J207" s="182">
        <v>3172786.98</v>
      </c>
      <c r="K207" s="191">
        <v>46054093.93</v>
      </c>
      <c r="L207" s="182">
        <v>46054093.93</v>
      </c>
      <c r="M207" s="182">
        <v>37520163.310000002</v>
      </c>
      <c r="N207" s="182">
        <v>14988630.310000001</v>
      </c>
    </row>
    <row r="208" spans="1:14" x14ac:dyDescent="0.25">
      <c r="A208" s="189" t="s">
        <v>545</v>
      </c>
      <c r="B208" s="189" t="s">
        <v>322</v>
      </c>
      <c r="C208" s="189" t="s">
        <v>323</v>
      </c>
      <c r="D208" s="189" t="s">
        <v>541</v>
      </c>
      <c r="E208" s="182">
        <v>1774000</v>
      </c>
      <c r="F208" s="182">
        <v>1774000</v>
      </c>
      <c r="G208" s="182">
        <v>1430500</v>
      </c>
      <c r="H208" s="182">
        <v>0</v>
      </c>
      <c r="I208" s="182">
        <v>489737.74</v>
      </c>
      <c r="J208" s="182">
        <v>0</v>
      </c>
      <c r="K208" s="191">
        <v>938544.75</v>
      </c>
      <c r="L208" s="182">
        <v>938544.75</v>
      </c>
      <c r="M208" s="182">
        <v>345717.51</v>
      </c>
      <c r="N208" s="182">
        <v>2217.5100000000002</v>
      </c>
    </row>
    <row r="209" spans="1:14" x14ac:dyDescent="0.25">
      <c r="A209" s="189" t="s">
        <v>545</v>
      </c>
      <c r="B209" s="189" t="s">
        <v>129</v>
      </c>
      <c r="C209" s="189" t="s">
        <v>130</v>
      </c>
      <c r="D209" s="189" t="s">
        <v>541</v>
      </c>
      <c r="E209" s="182">
        <v>27358236</v>
      </c>
      <c r="F209" s="182">
        <v>37658236</v>
      </c>
      <c r="G209" s="182">
        <v>32168677</v>
      </c>
      <c r="H209" s="182">
        <v>0</v>
      </c>
      <c r="I209" s="182">
        <v>9184303.8499999996</v>
      </c>
      <c r="J209" s="182">
        <v>0</v>
      </c>
      <c r="K209" s="191">
        <v>13582966.98</v>
      </c>
      <c r="L209" s="182">
        <v>13582966.98</v>
      </c>
      <c r="M209" s="182">
        <v>14890965.17</v>
      </c>
      <c r="N209" s="182">
        <v>9401406.1699999999</v>
      </c>
    </row>
    <row r="210" spans="1:14" x14ac:dyDescent="0.25">
      <c r="A210" s="189" t="s">
        <v>545</v>
      </c>
      <c r="B210" s="189" t="s">
        <v>131</v>
      </c>
      <c r="C210" s="189" t="s">
        <v>132</v>
      </c>
      <c r="D210" s="189" t="s">
        <v>541</v>
      </c>
      <c r="E210" s="182">
        <v>126929000</v>
      </c>
      <c r="F210" s="182">
        <v>120929000</v>
      </c>
      <c r="G210" s="182">
        <v>94421750</v>
      </c>
      <c r="H210" s="182">
        <v>0</v>
      </c>
      <c r="I210" s="182">
        <v>15643445.310000001</v>
      </c>
      <c r="J210" s="182">
        <v>0</v>
      </c>
      <c r="K210" s="191">
        <v>65390434.520000003</v>
      </c>
      <c r="L210" s="182">
        <v>63789574.5</v>
      </c>
      <c r="M210" s="182">
        <v>39895120.170000002</v>
      </c>
      <c r="N210" s="182">
        <v>13387870.17</v>
      </c>
    </row>
    <row r="211" spans="1:14" x14ac:dyDescent="0.25">
      <c r="A211" s="189" t="s">
        <v>545</v>
      </c>
      <c r="B211" s="189" t="s">
        <v>133</v>
      </c>
      <c r="C211" s="189" t="s">
        <v>134</v>
      </c>
      <c r="D211" s="189" t="s">
        <v>541</v>
      </c>
      <c r="E211" s="182">
        <v>13400000</v>
      </c>
      <c r="F211" s="182">
        <v>18400000</v>
      </c>
      <c r="G211" s="182">
        <v>16550000</v>
      </c>
      <c r="H211" s="182">
        <v>0</v>
      </c>
      <c r="I211" s="182">
        <v>2701309.01</v>
      </c>
      <c r="J211" s="182">
        <v>0</v>
      </c>
      <c r="K211" s="191">
        <v>10321285.99</v>
      </c>
      <c r="L211" s="182">
        <v>10321285.99</v>
      </c>
      <c r="M211" s="182">
        <v>5377405</v>
      </c>
      <c r="N211" s="182">
        <v>3527405</v>
      </c>
    </row>
    <row r="212" spans="1:14" x14ac:dyDescent="0.25">
      <c r="A212" s="189" t="s">
        <v>545</v>
      </c>
      <c r="B212" s="189" t="s">
        <v>135</v>
      </c>
      <c r="C212" s="189" t="s">
        <v>136</v>
      </c>
      <c r="D212" s="189" t="s">
        <v>541</v>
      </c>
      <c r="E212" s="182">
        <v>49200000</v>
      </c>
      <c r="F212" s="182">
        <v>40200000</v>
      </c>
      <c r="G212" s="182">
        <v>30750000</v>
      </c>
      <c r="H212" s="182">
        <v>0</v>
      </c>
      <c r="I212" s="182">
        <v>3451435</v>
      </c>
      <c r="J212" s="182">
        <v>0</v>
      </c>
      <c r="K212" s="191">
        <v>24946320</v>
      </c>
      <c r="L212" s="182">
        <v>24946320</v>
      </c>
      <c r="M212" s="182">
        <v>11802245</v>
      </c>
      <c r="N212" s="182">
        <v>2352245</v>
      </c>
    </row>
    <row r="213" spans="1:14" x14ac:dyDescent="0.25">
      <c r="A213" s="189" t="s">
        <v>545</v>
      </c>
      <c r="B213" s="189" t="s">
        <v>137</v>
      </c>
      <c r="C213" s="189" t="s">
        <v>138</v>
      </c>
      <c r="D213" s="189" t="s">
        <v>541</v>
      </c>
      <c r="E213" s="182">
        <v>12000000</v>
      </c>
      <c r="F213" s="182">
        <v>10000000</v>
      </c>
      <c r="G213" s="182">
        <v>6775000</v>
      </c>
      <c r="H213" s="182">
        <v>0</v>
      </c>
      <c r="I213" s="182">
        <v>803100</v>
      </c>
      <c r="J213" s="182">
        <v>0</v>
      </c>
      <c r="K213" s="191">
        <v>1405600</v>
      </c>
      <c r="L213" s="182">
        <v>1405600</v>
      </c>
      <c r="M213" s="182">
        <v>7791300</v>
      </c>
      <c r="N213" s="182">
        <v>4566300</v>
      </c>
    </row>
    <row r="214" spans="1:14" x14ac:dyDescent="0.25">
      <c r="A214" s="189" t="s">
        <v>545</v>
      </c>
      <c r="B214" s="189" t="s">
        <v>139</v>
      </c>
      <c r="C214" s="189" t="s">
        <v>140</v>
      </c>
      <c r="D214" s="189" t="s">
        <v>541</v>
      </c>
      <c r="E214" s="182">
        <v>47604000</v>
      </c>
      <c r="F214" s="182">
        <v>47604000</v>
      </c>
      <c r="G214" s="182">
        <v>36703000</v>
      </c>
      <c r="H214" s="182">
        <v>0</v>
      </c>
      <c r="I214" s="182">
        <v>8459936.1500000004</v>
      </c>
      <c r="J214" s="182">
        <v>0</v>
      </c>
      <c r="K214" s="191">
        <v>26397427.379999999</v>
      </c>
      <c r="L214" s="182">
        <v>24796567.359999999</v>
      </c>
      <c r="M214" s="182">
        <v>12746636.470000001</v>
      </c>
      <c r="N214" s="182">
        <v>1845636.47</v>
      </c>
    </row>
    <row r="215" spans="1:14" x14ac:dyDescent="0.25">
      <c r="A215" s="189" t="s">
        <v>545</v>
      </c>
      <c r="B215" s="189" t="s">
        <v>141</v>
      </c>
      <c r="C215" s="189" t="s">
        <v>142</v>
      </c>
      <c r="D215" s="189" t="s">
        <v>541</v>
      </c>
      <c r="E215" s="182">
        <v>4725000</v>
      </c>
      <c r="F215" s="182">
        <v>4725000</v>
      </c>
      <c r="G215" s="182">
        <v>3643750</v>
      </c>
      <c r="H215" s="182">
        <v>0</v>
      </c>
      <c r="I215" s="182">
        <v>227665.15</v>
      </c>
      <c r="J215" s="182">
        <v>0</v>
      </c>
      <c r="K215" s="191">
        <v>2319801.15</v>
      </c>
      <c r="L215" s="182">
        <v>2319801.15</v>
      </c>
      <c r="M215" s="182">
        <v>2177533.7000000002</v>
      </c>
      <c r="N215" s="182">
        <v>1096283.7</v>
      </c>
    </row>
    <row r="216" spans="1:14" x14ac:dyDescent="0.25">
      <c r="A216" s="189" t="s">
        <v>545</v>
      </c>
      <c r="B216" s="189" t="s">
        <v>143</v>
      </c>
      <c r="C216" s="189" t="s">
        <v>144</v>
      </c>
      <c r="D216" s="189" t="s">
        <v>541</v>
      </c>
      <c r="E216" s="182">
        <v>3746000</v>
      </c>
      <c r="F216" s="182">
        <v>3746000</v>
      </c>
      <c r="G216" s="182">
        <v>2949850</v>
      </c>
      <c r="H216" s="182">
        <v>0</v>
      </c>
      <c r="I216" s="182">
        <v>820011.58</v>
      </c>
      <c r="J216" s="182">
        <v>0</v>
      </c>
      <c r="K216" s="191">
        <v>601991.64</v>
      </c>
      <c r="L216" s="182">
        <v>511265.14</v>
      </c>
      <c r="M216" s="182">
        <v>2323996.7799999998</v>
      </c>
      <c r="N216" s="182">
        <v>1527846.78</v>
      </c>
    </row>
    <row r="217" spans="1:14" x14ac:dyDescent="0.25">
      <c r="A217" s="189" t="s">
        <v>545</v>
      </c>
      <c r="B217" s="189" t="s">
        <v>145</v>
      </c>
      <c r="C217" s="189" t="s">
        <v>146</v>
      </c>
      <c r="D217" s="189" t="s">
        <v>541</v>
      </c>
      <c r="E217" s="182">
        <v>500000</v>
      </c>
      <c r="F217" s="182">
        <v>500000</v>
      </c>
      <c r="G217" s="182">
        <v>465350</v>
      </c>
      <c r="H217" s="182">
        <v>0</v>
      </c>
      <c r="I217" s="182">
        <v>284740</v>
      </c>
      <c r="J217" s="182">
        <v>0</v>
      </c>
      <c r="K217" s="191">
        <v>177150</v>
      </c>
      <c r="L217" s="182">
        <v>177150</v>
      </c>
      <c r="M217" s="182">
        <v>38110</v>
      </c>
      <c r="N217" s="182">
        <v>3460</v>
      </c>
    </row>
    <row r="218" spans="1:14" x14ac:dyDescent="0.25">
      <c r="A218" s="189" t="s">
        <v>545</v>
      </c>
      <c r="B218" s="189" t="s">
        <v>147</v>
      </c>
      <c r="C218" s="189" t="s">
        <v>148</v>
      </c>
      <c r="D218" s="189" t="s">
        <v>541</v>
      </c>
      <c r="E218" s="182">
        <v>1000000</v>
      </c>
      <c r="F218" s="182">
        <v>1000000</v>
      </c>
      <c r="G218" s="182">
        <v>750000</v>
      </c>
      <c r="H218" s="182">
        <v>0</v>
      </c>
      <c r="I218" s="182">
        <v>188687</v>
      </c>
      <c r="J218" s="182">
        <v>0</v>
      </c>
      <c r="K218" s="191">
        <v>130263</v>
      </c>
      <c r="L218" s="182">
        <v>110273</v>
      </c>
      <c r="M218" s="182">
        <v>681050</v>
      </c>
      <c r="N218" s="182">
        <v>431050</v>
      </c>
    </row>
    <row r="219" spans="1:14" x14ac:dyDescent="0.25">
      <c r="A219" s="189" t="s">
        <v>545</v>
      </c>
      <c r="B219" s="189" t="s">
        <v>149</v>
      </c>
      <c r="C219" s="189" t="s">
        <v>150</v>
      </c>
      <c r="D219" s="189" t="s">
        <v>541</v>
      </c>
      <c r="E219" s="182">
        <v>200000</v>
      </c>
      <c r="F219" s="182">
        <v>200000</v>
      </c>
      <c r="G219" s="182">
        <v>200000</v>
      </c>
      <c r="H219" s="182">
        <v>0</v>
      </c>
      <c r="I219" s="182">
        <v>38724.36</v>
      </c>
      <c r="J219" s="182">
        <v>0</v>
      </c>
      <c r="K219" s="191">
        <v>58507.14</v>
      </c>
      <c r="L219" s="182">
        <v>58507.14</v>
      </c>
      <c r="M219" s="182">
        <v>102768.5</v>
      </c>
      <c r="N219" s="182">
        <v>102768.5</v>
      </c>
    </row>
    <row r="220" spans="1:14" x14ac:dyDescent="0.25">
      <c r="A220" s="189" t="s">
        <v>545</v>
      </c>
      <c r="B220" s="189" t="s">
        <v>326</v>
      </c>
      <c r="C220" s="189" t="s">
        <v>327</v>
      </c>
      <c r="D220" s="189" t="s">
        <v>541</v>
      </c>
      <c r="E220" s="182">
        <v>2046000</v>
      </c>
      <c r="F220" s="182">
        <v>2046000</v>
      </c>
      <c r="G220" s="182">
        <v>1534500</v>
      </c>
      <c r="H220" s="182">
        <v>0</v>
      </c>
      <c r="I220" s="182">
        <v>307860.21999999997</v>
      </c>
      <c r="J220" s="182">
        <v>0</v>
      </c>
      <c r="K220" s="191">
        <v>236071.5</v>
      </c>
      <c r="L220" s="182">
        <v>165335</v>
      </c>
      <c r="M220" s="182">
        <v>1502068.28</v>
      </c>
      <c r="N220" s="182">
        <v>990568.28</v>
      </c>
    </row>
    <row r="221" spans="1:14" x14ac:dyDescent="0.25">
      <c r="A221" s="189" t="s">
        <v>545</v>
      </c>
      <c r="B221" s="189" t="s">
        <v>151</v>
      </c>
      <c r="C221" s="189" t="s">
        <v>152</v>
      </c>
      <c r="D221" s="189" t="s">
        <v>541</v>
      </c>
      <c r="E221" s="182">
        <v>334518795</v>
      </c>
      <c r="F221" s="182">
        <v>361518795</v>
      </c>
      <c r="G221" s="182">
        <v>283181001</v>
      </c>
      <c r="H221" s="182">
        <v>0</v>
      </c>
      <c r="I221" s="182">
        <v>72723221.659999996</v>
      </c>
      <c r="J221" s="182">
        <v>0</v>
      </c>
      <c r="K221" s="191">
        <v>188064563.28</v>
      </c>
      <c r="L221" s="182">
        <v>186281887.28</v>
      </c>
      <c r="M221" s="182">
        <v>100731010.06</v>
      </c>
      <c r="N221" s="182">
        <v>22393216.059999999</v>
      </c>
    </row>
    <row r="222" spans="1:14" x14ac:dyDescent="0.25">
      <c r="A222" s="189" t="s">
        <v>545</v>
      </c>
      <c r="B222" s="189" t="s">
        <v>328</v>
      </c>
      <c r="C222" s="189" t="s">
        <v>329</v>
      </c>
      <c r="D222" s="189" t="s">
        <v>541</v>
      </c>
      <c r="E222" s="182">
        <v>2000000</v>
      </c>
      <c r="F222" s="182">
        <v>2000000</v>
      </c>
      <c r="G222" s="182">
        <v>2000000</v>
      </c>
      <c r="H222" s="182">
        <v>0</v>
      </c>
      <c r="I222" s="182">
        <v>0</v>
      </c>
      <c r="J222" s="182">
        <v>0</v>
      </c>
      <c r="K222" s="191">
        <v>0</v>
      </c>
      <c r="L222" s="182">
        <v>0</v>
      </c>
      <c r="M222" s="182">
        <v>2000000</v>
      </c>
      <c r="N222" s="182">
        <v>2000000</v>
      </c>
    </row>
    <row r="223" spans="1:14" x14ac:dyDescent="0.25">
      <c r="A223" s="189" t="s">
        <v>545</v>
      </c>
      <c r="B223" s="189" t="s">
        <v>330</v>
      </c>
      <c r="C223" s="189" t="s">
        <v>604</v>
      </c>
      <c r="D223" s="189" t="s">
        <v>541</v>
      </c>
      <c r="E223" s="182">
        <v>5000000</v>
      </c>
      <c r="F223" s="182">
        <v>5000000</v>
      </c>
      <c r="G223" s="182">
        <v>5000000</v>
      </c>
      <c r="H223" s="182">
        <v>0</v>
      </c>
      <c r="I223" s="182">
        <v>4556956</v>
      </c>
      <c r="J223" s="182">
        <v>0</v>
      </c>
      <c r="K223" s="191">
        <v>0</v>
      </c>
      <c r="L223" s="182">
        <v>0</v>
      </c>
      <c r="M223" s="182">
        <v>443044</v>
      </c>
      <c r="N223" s="182">
        <v>443044</v>
      </c>
    </row>
    <row r="224" spans="1:14" x14ac:dyDescent="0.25">
      <c r="A224" s="189" t="s">
        <v>545</v>
      </c>
      <c r="B224" s="189" t="s">
        <v>154</v>
      </c>
      <c r="C224" s="189" t="s">
        <v>155</v>
      </c>
      <c r="D224" s="189" t="s">
        <v>541</v>
      </c>
      <c r="E224" s="182">
        <v>319951179</v>
      </c>
      <c r="F224" s="182">
        <v>346951179</v>
      </c>
      <c r="G224" s="182">
        <v>268613385</v>
      </c>
      <c r="H224" s="182">
        <v>0</v>
      </c>
      <c r="I224" s="182">
        <v>66987535.920000002</v>
      </c>
      <c r="J224" s="182">
        <v>0</v>
      </c>
      <c r="K224" s="191">
        <v>183315376.52000001</v>
      </c>
      <c r="L224" s="182">
        <v>181607800.52000001</v>
      </c>
      <c r="M224" s="182">
        <v>96648266.560000002</v>
      </c>
      <c r="N224" s="182">
        <v>18310472.559999999</v>
      </c>
    </row>
    <row r="225" spans="1:14" x14ac:dyDescent="0.25">
      <c r="A225" s="189" t="s">
        <v>545</v>
      </c>
      <c r="B225" s="189" t="s">
        <v>156</v>
      </c>
      <c r="C225" s="189" t="s">
        <v>157</v>
      </c>
      <c r="D225" s="189" t="s">
        <v>541</v>
      </c>
      <c r="E225" s="182">
        <v>7567616</v>
      </c>
      <c r="F225" s="182">
        <v>7567616</v>
      </c>
      <c r="G225" s="182">
        <v>7567616</v>
      </c>
      <c r="H225" s="182">
        <v>0</v>
      </c>
      <c r="I225" s="182">
        <v>1178729.74</v>
      </c>
      <c r="J225" s="182">
        <v>0</v>
      </c>
      <c r="K225" s="191">
        <v>4749186.76</v>
      </c>
      <c r="L225" s="182">
        <v>4674086.76</v>
      </c>
      <c r="M225" s="182">
        <v>1639699.5</v>
      </c>
      <c r="N225" s="182">
        <v>1639699.5</v>
      </c>
    </row>
    <row r="226" spans="1:14" x14ac:dyDescent="0.25">
      <c r="A226" s="189" t="s">
        <v>545</v>
      </c>
      <c r="B226" s="189" t="s">
        <v>158</v>
      </c>
      <c r="C226" s="189" t="s">
        <v>159</v>
      </c>
      <c r="D226" s="189" t="s">
        <v>541</v>
      </c>
      <c r="E226" s="182">
        <v>33445676</v>
      </c>
      <c r="F226" s="182">
        <v>33445676</v>
      </c>
      <c r="G226" s="182">
        <v>29775878.5</v>
      </c>
      <c r="H226" s="182">
        <v>856668.48</v>
      </c>
      <c r="I226" s="182">
        <v>5606020.5199999996</v>
      </c>
      <c r="J226" s="182">
        <v>0</v>
      </c>
      <c r="K226" s="191">
        <v>19438236.75</v>
      </c>
      <c r="L226" s="182">
        <v>19141186.75</v>
      </c>
      <c r="M226" s="182">
        <v>7544750.25</v>
      </c>
      <c r="N226" s="182">
        <v>3874952.75</v>
      </c>
    </row>
    <row r="227" spans="1:14" x14ac:dyDescent="0.25">
      <c r="A227" s="189" t="s">
        <v>545</v>
      </c>
      <c r="B227" s="189" t="s">
        <v>160</v>
      </c>
      <c r="C227" s="189" t="s">
        <v>161</v>
      </c>
      <c r="D227" s="189" t="s">
        <v>541</v>
      </c>
      <c r="E227" s="182">
        <v>1700000</v>
      </c>
      <c r="F227" s="182">
        <v>1700000</v>
      </c>
      <c r="G227" s="182">
        <v>1275000</v>
      </c>
      <c r="H227" s="182">
        <v>0</v>
      </c>
      <c r="I227" s="182">
        <v>105595</v>
      </c>
      <c r="J227" s="182">
        <v>0</v>
      </c>
      <c r="K227" s="191">
        <v>640025</v>
      </c>
      <c r="L227" s="182">
        <v>640025</v>
      </c>
      <c r="M227" s="182">
        <v>954380</v>
      </c>
      <c r="N227" s="182">
        <v>529380</v>
      </c>
    </row>
    <row r="228" spans="1:14" x14ac:dyDescent="0.25">
      <c r="A228" s="189" t="s">
        <v>545</v>
      </c>
      <c r="B228" s="189" t="s">
        <v>162</v>
      </c>
      <c r="C228" s="189" t="s">
        <v>163</v>
      </c>
      <c r="D228" s="189" t="s">
        <v>541</v>
      </c>
      <c r="E228" s="182">
        <v>24979191</v>
      </c>
      <c r="F228" s="182">
        <v>24979191</v>
      </c>
      <c r="G228" s="182">
        <v>21734393.5</v>
      </c>
      <c r="H228" s="182">
        <v>0</v>
      </c>
      <c r="I228" s="182">
        <v>2860846</v>
      </c>
      <c r="J228" s="182">
        <v>0</v>
      </c>
      <c r="K228" s="191">
        <v>15646150</v>
      </c>
      <c r="L228" s="182">
        <v>15349100</v>
      </c>
      <c r="M228" s="182">
        <v>6472195</v>
      </c>
      <c r="N228" s="182">
        <v>3227397.5</v>
      </c>
    </row>
    <row r="229" spans="1:14" x14ac:dyDescent="0.25">
      <c r="A229" s="189" t="s">
        <v>545</v>
      </c>
      <c r="B229" s="189" t="s">
        <v>164</v>
      </c>
      <c r="C229" s="189" t="s">
        <v>165</v>
      </c>
      <c r="D229" s="189" t="s">
        <v>541</v>
      </c>
      <c r="E229" s="182">
        <v>2035715</v>
      </c>
      <c r="F229" s="182">
        <v>2035715</v>
      </c>
      <c r="G229" s="182">
        <v>2035715</v>
      </c>
      <c r="H229" s="182">
        <v>0</v>
      </c>
      <c r="I229" s="182">
        <v>943248</v>
      </c>
      <c r="J229" s="182">
        <v>0</v>
      </c>
      <c r="K229" s="191">
        <v>1092467</v>
      </c>
      <c r="L229" s="182">
        <v>1092467</v>
      </c>
      <c r="M229" s="182">
        <v>0</v>
      </c>
      <c r="N229" s="182">
        <v>0</v>
      </c>
    </row>
    <row r="230" spans="1:14" x14ac:dyDescent="0.25">
      <c r="A230" s="189" t="s">
        <v>545</v>
      </c>
      <c r="B230" s="189" t="s">
        <v>166</v>
      </c>
      <c r="C230" s="189" t="s">
        <v>167</v>
      </c>
      <c r="D230" s="189" t="s">
        <v>541</v>
      </c>
      <c r="E230" s="182">
        <v>4730770</v>
      </c>
      <c r="F230" s="182">
        <v>4730770</v>
      </c>
      <c r="G230" s="182">
        <v>4730770</v>
      </c>
      <c r="H230" s="182">
        <v>856668.48</v>
      </c>
      <c r="I230" s="182">
        <v>1696331.52</v>
      </c>
      <c r="J230" s="182">
        <v>0</v>
      </c>
      <c r="K230" s="191">
        <v>2059594.75</v>
      </c>
      <c r="L230" s="182">
        <v>2059594.75</v>
      </c>
      <c r="M230" s="182">
        <v>118175.25</v>
      </c>
      <c r="N230" s="182">
        <v>118175.25</v>
      </c>
    </row>
    <row r="231" spans="1:14" x14ac:dyDescent="0.25">
      <c r="A231" s="189" t="s">
        <v>545</v>
      </c>
      <c r="B231" s="189" t="s">
        <v>168</v>
      </c>
      <c r="C231" s="189" t="s">
        <v>169</v>
      </c>
      <c r="D231" s="189" t="s">
        <v>541</v>
      </c>
      <c r="E231" s="182">
        <v>83546141</v>
      </c>
      <c r="F231" s="182">
        <v>101246141</v>
      </c>
      <c r="G231" s="182">
        <v>80084605</v>
      </c>
      <c r="H231" s="182">
        <v>0</v>
      </c>
      <c r="I231" s="182">
        <v>5426581</v>
      </c>
      <c r="J231" s="182">
        <v>0</v>
      </c>
      <c r="K231" s="191">
        <v>25358126</v>
      </c>
      <c r="L231" s="182">
        <v>25358126</v>
      </c>
      <c r="M231" s="182">
        <v>70461434</v>
      </c>
      <c r="N231" s="182">
        <v>49299898</v>
      </c>
    </row>
    <row r="232" spans="1:14" x14ac:dyDescent="0.25">
      <c r="A232" s="189" t="s">
        <v>545</v>
      </c>
      <c r="B232" s="189" t="s">
        <v>170</v>
      </c>
      <c r="C232" s="189" t="s">
        <v>171</v>
      </c>
      <c r="D232" s="189" t="s">
        <v>541</v>
      </c>
      <c r="E232" s="182">
        <v>83546141</v>
      </c>
      <c r="F232" s="182">
        <v>101246141</v>
      </c>
      <c r="G232" s="182">
        <v>80084605</v>
      </c>
      <c r="H232" s="182">
        <v>0</v>
      </c>
      <c r="I232" s="182">
        <v>5426581</v>
      </c>
      <c r="J232" s="182">
        <v>0</v>
      </c>
      <c r="K232" s="191">
        <v>25358126</v>
      </c>
      <c r="L232" s="182">
        <v>25358126</v>
      </c>
      <c r="M232" s="182">
        <v>70461434</v>
      </c>
      <c r="N232" s="182">
        <v>49299898</v>
      </c>
    </row>
    <row r="233" spans="1:14" x14ac:dyDescent="0.25">
      <c r="A233" s="189" t="s">
        <v>545</v>
      </c>
      <c r="B233" s="189" t="s">
        <v>172</v>
      </c>
      <c r="C233" s="189" t="s">
        <v>173</v>
      </c>
      <c r="D233" s="189" t="s">
        <v>541</v>
      </c>
      <c r="E233" s="182">
        <v>0</v>
      </c>
      <c r="F233" s="182">
        <v>0</v>
      </c>
      <c r="G233" s="182">
        <v>0</v>
      </c>
      <c r="H233" s="182">
        <v>0</v>
      </c>
      <c r="I233" s="182">
        <v>0</v>
      </c>
      <c r="J233" s="182">
        <v>0</v>
      </c>
      <c r="K233" s="191">
        <v>0</v>
      </c>
      <c r="L233" s="182">
        <v>0</v>
      </c>
      <c r="M233" s="182">
        <v>0</v>
      </c>
      <c r="N233" s="182">
        <v>0</v>
      </c>
    </row>
    <row r="234" spans="1:14" x14ac:dyDescent="0.25">
      <c r="A234" s="189" t="s">
        <v>545</v>
      </c>
      <c r="B234" s="189" t="s">
        <v>309</v>
      </c>
      <c r="C234" s="189" t="s">
        <v>310</v>
      </c>
      <c r="D234" s="189" t="s">
        <v>541</v>
      </c>
      <c r="E234" s="182">
        <v>0</v>
      </c>
      <c r="F234" s="182">
        <v>0</v>
      </c>
      <c r="G234" s="182">
        <v>0</v>
      </c>
      <c r="H234" s="182">
        <v>0</v>
      </c>
      <c r="I234" s="182">
        <v>0</v>
      </c>
      <c r="J234" s="182">
        <v>0</v>
      </c>
      <c r="K234" s="191">
        <v>0</v>
      </c>
      <c r="L234" s="182">
        <v>0</v>
      </c>
      <c r="M234" s="182">
        <v>0</v>
      </c>
      <c r="N234" s="182">
        <v>0</v>
      </c>
    </row>
    <row r="235" spans="1:14" x14ac:dyDescent="0.25">
      <c r="A235" s="189" t="s">
        <v>545</v>
      </c>
      <c r="B235" s="189" t="s">
        <v>178</v>
      </c>
      <c r="C235" s="189" t="s">
        <v>179</v>
      </c>
      <c r="D235" s="189" t="s">
        <v>541</v>
      </c>
      <c r="E235" s="182">
        <v>89480793</v>
      </c>
      <c r="F235" s="182">
        <v>76080793</v>
      </c>
      <c r="G235" s="182">
        <v>61050595</v>
      </c>
      <c r="H235" s="182">
        <v>0</v>
      </c>
      <c r="I235" s="182">
        <v>15533108.199999999</v>
      </c>
      <c r="J235" s="182">
        <v>2362856.31</v>
      </c>
      <c r="K235" s="191">
        <v>28396077.390000001</v>
      </c>
      <c r="L235" s="182">
        <v>27586077.390000001</v>
      </c>
      <c r="M235" s="182">
        <v>29788751.100000001</v>
      </c>
      <c r="N235" s="182">
        <v>14758553.1</v>
      </c>
    </row>
    <row r="236" spans="1:14" x14ac:dyDescent="0.25">
      <c r="A236" s="189" t="s">
        <v>545</v>
      </c>
      <c r="B236" s="189" t="s">
        <v>180</v>
      </c>
      <c r="C236" s="189" t="s">
        <v>181</v>
      </c>
      <c r="D236" s="189" t="s">
        <v>541</v>
      </c>
      <c r="E236" s="182">
        <v>13000000</v>
      </c>
      <c r="F236" s="182">
        <v>13000000</v>
      </c>
      <c r="G236" s="182">
        <v>10500000</v>
      </c>
      <c r="H236" s="182">
        <v>0</v>
      </c>
      <c r="I236" s="182">
        <v>2126150.0499999998</v>
      </c>
      <c r="J236" s="182">
        <v>0</v>
      </c>
      <c r="K236" s="191">
        <v>5269389.62</v>
      </c>
      <c r="L236" s="182">
        <v>5269389.62</v>
      </c>
      <c r="M236" s="182">
        <v>5604460.3300000001</v>
      </c>
      <c r="N236" s="182">
        <v>3104460.33</v>
      </c>
    </row>
    <row r="237" spans="1:14" x14ac:dyDescent="0.25">
      <c r="A237" s="189" t="s">
        <v>545</v>
      </c>
      <c r="B237" s="189" t="s">
        <v>332</v>
      </c>
      <c r="C237" s="189" t="s">
        <v>333</v>
      </c>
      <c r="D237" s="189" t="s">
        <v>541</v>
      </c>
      <c r="E237" s="182">
        <v>1918000</v>
      </c>
      <c r="F237" s="182">
        <v>1918000</v>
      </c>
      <c r="G237" s="182">
        <v>1638500</v>
      </c>
      <c r="H237" s="182">
        <v>0</v>
      </c>
      <c r="I237" s="182">
        <v>31643.5</v>
      </c>
      <c r="J237" s="182">
        <v>0</v>
      </c>
      <c r="K237" s="191">
        <v>1124143.75</v>
      </c>
      <c r="L237" s="182">
        <v>1124143.75</v>
      </c>
      <c r="M237" s="182">
        <v>762212.75</v>
      </c>
      <c r="N237" s="182">
        <v>482712.75</v>
      </c>
    </row>
    <row r="238" spans="1:14" x14ac:dyDescent="0.25">
      <c r="A238" s="189" t="s">
        <v>545</v>
      </c>
      <c r="B238" s="189" t="s">
        <v>182</v>
      </c>
      <c r="C238" s="189" t="s">
        <v>183</v>
      </c>
      <c r="D238" s="189" t="s">
        <v>541</v>
      </c>
      <c r="E238" s="182">
        <v>25420000</v>
      </c>
      <c r="F238" s="182">
        <v>15420000</v>
      </c>
      <c r="G238" s="182">
        <v>14040000</v>
      </c>
      <c r="H238" s="182">
        <v>0</v>
      </c>
      <c r="I238" s="182">
        <v>10792989</v>
      </c>
      <c r="J238" s="182">
        <v>0</v>
      </c>
      <c r="K238" s="191">
        <v>1133135</v>
      </c>
      <c r="L238" s="182">
        <v>1133135</v>
      </c>
      <c r="M238" s="182">
        <v>3493876</v>
      </c>
      <c r="N238" s="182">
        <v>2113876</v>
      </c>
    </row>
    <row r="239" spans="1:14" x14ac:dyDescent="0.25">
      <c r="A239" s="189" t="s">
        <v>545</v>
      </c>
      <c r="B239" s="189" t="s">
        <v>184</v>
      </c>
      <c r="C239" s="189" t="s">
        <v>185</v>
      </c>
      <c r="D239" s="189" t="s">
        <v>541</v>
      </c>
      <c r="E239" s="182">
        <v>7181770</v>
      </c>
      <c r="F239" s="182">
        <v>7181770</v>
      </c>
      <c r="G239" s="182">
        <v>5386327</v>
      </c>
      <c r="H239" s="182">
        <v>0</v>
      </c>
      <c r="I239" s="182">
        <v>311540.62</v>
      </c>
      <c r="J239" s="182">
        <v>2271856.31</v>
      </c>
      <c r="K239" s="191">
        <v>2507667.2000000002</v>
      </c>
      <c r="L239" s="182">
        <v>2507667.2000000002</v>
      </c>
      <c r="M239" s="182">
        <v>2090705.87</v>
      </c>
      <c r="N239" s="182">
        <v>295262.87</v>
      </c>
    </row>
    <row r="240" spans="1:14" x14ac:dyDescent="0.25">
      <c r="A240" s="189" t="s">
        <v>545</v>
      </c>
      <c r="B240" s="189" t="s">
        <v>186</v>
      </c>
      <c r="C240" s="189" t="s">
        <v>187</v>
      </c>
      <c r="D240" s="189" t="s">
        <v>541</v>
      </c>
      <c r="E240" s="182">
        <v>8196286</v>
      </c>
      <c r="F240" s="182">
        <v>10196286</v>
      </c>
      <c r="G240" s="182">
        <v>8147215</v>
      </c>
      <c r="H240" s="182">
        <v>0</v>
      </c>
      <c r="I240" s="182">
        <v>603521.6</v>
      </c>
      <c r="J240" s="182">
        <v>0</v>
      </c>
      <c r="K240" s="191">
        <v>3317438.59</v>
      </c>
      <c r="L240" s="182">
        <v>3317438.59</v>
      </c>
      <c r="M240" s="182">
        <v>6275325.8099999996</v>
      </c>
      <c r="N240" s="182">
        <v>4226254.8099999996</v>
      </c>
    </row>
    <row r="241" spans="1:14" x14ac:dyDescent="0.25">
      <c r="A241" s="189" t="s">
        <v>545</v>
      </c>
      <c r="B241" s="189" t="s">
        <v>188</v>
      </c>
      <c r="C241" s="189" t="s">
        <v>189</v>
      </c>
      <c r="D241" s="189" t="s">
        <v>541</v>
      </c>
      <c r="E241" s="182">
        <v>28160737</v>
      </c>
      <c r="F241" s="182">
        <v>23460737</v>
      </c>
      <c r="G241" s="182">
        <v>17835553</v>
      </c>
      <c r="H241" s="182">
        <v>0</v>
      </c>
      <c r="I241" s="182">
        <v>1620000</v>
      </c>
      <c r="J241" s="182">
        <v>0</v>
      </c>
      <c r="K241" s="191">
        <v>13975012.48</v>
      </c>
      <c r="L241" s="182">
        <v>13165012.48</v>
      </c>
      <c r="M241" s="182">
        <v>7865724.5199999996</v>
      </c>
      <c r="N241" s="182">
        <v>2240540.52</v>
      </c>
    </row>
    <row r="242" spans="1:14" x14ac:dyDescent="0.25">
      <c r="A242" s="189" t="s">
        <v>545</v>
      </c>
      <c r="B242" s="189" t="s">
        <v>190</v>
      </c>
      <c r="C242" s="189" t="s">
        <v>191</v>
      </c>
      <c r="D242" s="189" t="s">
        <v>541</v>
      </c>
      <c r="E242" s="182">
        <v>5604000</v>
      </c>
      <c r="F242" s="182">
        <v>4904000</v>
      </c>
      <c r="G242" s="182">
        <v>3503000</v>
      </c>
      <c r="H242" s="182">
        <v>0</v>
      </c>
      <c r="I242" s="182">
        <v>47263.43</v>
      </c>
      <c r="J242" s="182">
        <v>91000</v>
      </c>
      <c r="K242" s="191">
        <v>1069290.75</v>
      </c>
      <c r="L242" s="182">
        <v>1069290.75</v>
      </c>
      <c r="M242" s="182">
        <v>3696445.82</v>
      </c>
      <c r="N242" s="182">
        <v>2295445.8199999998</v>
      </c>
    </row>
    <row r="243" spans="1:14" x14ac:dyDescent="0.25">
      <c r="A243" s="189" t="s">
        <v>545</v>
      </c>
      <c r="B243" s="189" t="s">
        <v>192</v>
      </c>
      <c r="C243" s="189" t="s">
        <v>193</v>
      </c>
      <c r="D243" s="189" t="s">
        <v>541</v>
      </c>
      <c r="E243" s="182">
        <v>1340000</v>
      </c>
      <c r="F243" s="182">
        <v>1340000</v>
      </c>
      <c r="G243" s="182">
        <v>1305000</v>
      </c>
      <c r="H243" s="182">
        <v>0</v>
      </c>
      <c r="I243" s="182">
        <v>24600</v>
      </c>
      <c r="J243" s="182">
        <v>0</v>
      </c>
      <c r="K243" s="191">
        <v>400</v>
      </c>
      <c r="L243" s="182">
        <v>200</v>
      </c>
      <c r="M243" s="182">
        <v>1315000</v>
      </c>
      <c r="N243" s="182">
        <v>1280000</v>
      </c>
    </row>
    <row r="244" spans="1:14" x14ac:dyDescent="0.25">
      <c r="A244" s="189" t="s">
        <v>545</v>
      </c>
      <c r="B244" s="189" t="s">
        <v>194</v>
      </c>
      <c r="C244" s="189" t="s">
        <v>195</v>
      </c>
      <c r="D244" s="189" t="s">
        <v>541</v>
      </c>
      <c r="E244" s="182">
        <v>1340000</v>
      </c>
      <c r="F244" s="182">
        <v>1340000</v>
      </c>
      <c r="G244" s="182">
        <v>1305000</v>
      </c>
      <c r="H244" s="182">
        <v>0</v>
      </c>
      <c r="I244" s="182">
        <v>24600</v>
      </c>
      <c r="J244" s="182">
        <v>0</v>
      </c>
      <c r="K244" s="191">
        <v>400</v>
      </c>
      <c r="L244" s="182">
        <v>200</v>
      </c>
      <c r="M244" s="182">
        <v>1315000</v>
      </c>
      <c r="N244" s="182">
        <v>1280000</v>
      </c>
    </row>
    <row r="245" spans="1:14" x14ac:dyDescent="0.25">
      <c r="A245" s="189" t="s">
        <v>545</v>
      </c>
      <c r="B245" s="189" t="s">
        <v>196</v>
      </c>
      <c r="C245" s="189" t="s">
        <v>197</v>
      </c>
      <c r="D245" s="189" t="s">
        <v>541</v>
      </c>
      <c r="E245" s="182">
        <v>2150000</v>
      </c>
      <c r="F245" s="182">
        <v>2150000</v>
      </c>
      <c r="G245" s="182">
        <v>1412500</v>
      </c>
      <c r="H245" s="182">
        <v>0</v>
      </c>
      <c r="I245" s="182">
        <v>113207.78</v>
      </c>
      <c r="J245" s="182">
        <v>0</v>
      </c>
      <c r="K245" s="191">
        <v>0</v>
      </c>
      <c r="L245" s="182">
        <v>0</v>
      </c>
      <c r="M245" s="182">
        <v>2036792.22</v>
      </c>
      <c r="N245" s="182">
        <v>1299292.22</v>
      </c>
    </row>
    <row r="246" spans="1:14" x14ac:dyDescent="0.25">
      <c r="A246" s="189" t="s">
        <v>545</v>
      </c>
      <c r="B246" s="189" t="s">
        <v>334</v>
      </c>
      <c r="C246" s="189" t="s">
        <v>335</v>
      </c>
      <c r="D246" s="189" t="s">
        <v>541</v>
      </c>
      <c r="E246" s="182">
        <v>150000</v>
      </c>
      <c r="F246" s="182">
        <v>150000</v>
      </c>
      <c r="G246" s="182">
        <v>150000</v>
      </c>
      <c r="H246" s="182">
        <v>0</v>
      </c>
      <c r="I246" s="182">
        <v>113207.78</v>
      </c>
      <c r="J246" s="182">
        <v>0</v>
      </c>
      <c r="K246" s="191">
        <v>0</v>
      </c>
      <c r="L246" s="182">
        <v>0</v>
      </c>
      <c r="M246" s="182">
        <v>36792.22</v>
      </c>
      <c r="N246" s="182">
        <v>36792.22</v>
      </c>
    </row>
    <row r="247" spans="1:14" x14ac:dyDescent="0.25">
      <c r="A247" s="189" t="s">
        <v>545</v>
      </c>
      <c r="B247" s="189" t="s">
        <v>198</v>
      </c>
      <c r="C247" s="189" t="s">
        <v>199</v>
      </c>
      <c r="D247" s="189" t="s">
        <v>541</v>
      </c>
      <c r="E247" s="182">
        <v>2000000</v>
      </c>
      <c r="F247" s="182">
        <v>2000000</v>
      </c>
      <c r="G247" s="182">
        <v>1262500</v>
      </c>
      <c r="H247" s="182">
        <v>0</v>
      </c>
      <c r="I247" s="182">
        <v>0</v>
      </c>
      <c r="J247" s="182">
        <v>0</v>
      </c>
      <c r="K247" s="191">
        <v>0</v>
      </c>
      <c r="L247" s="182">
        <v>0</v>
      </c>
      <c r="M247" s="182">
        <v>2000000</v>
      </c>
      <c r="N247" s="182">
        <v>1262500</v>
      </c>
    </row>
    <row r="248" spans="1:14" x14ac:dyDescent="0.25">
      <c r="A248" s="189" t="s">
        <v>545</v>
      </c>
      <c r="B248" s="189" t="s">
        <v>200</v>
      </c>
      <c r="C248" s="189" t="s">
        <v>201</v>
      </c>
      <c r="D248" s="189" t="s">
        <v>541</v>
      </c>
      <c r="E248" s="182">
        <v>65233793</v>
      </c>
      <c r="F248" s="182">
        <v>65233793</v>
      </c>
      <c r="G248" s="182">
        <v>44111594</v>
      </c>
      <c r="H248" s="182">
        <v>4021243.61</v>
      </c>
      <c r="I248" s="182">
        <v>9641388.3599999994</v>
      </c>
      <c r="J248" s="182">
        <v>0</v>
      </c>
      <c r="K248" s="191">
        <v>14617918.1</v>
      </c>
      <c r="L248" s="182">
        <v>14617918.1</v>
      </c>
      <c r="M248" s="182">
        <v>36953242.93</v>
      </c>
      <c r="N248" s="182">
        <v>15831043.93</v>
      </c>
    </row>
    <row r="249" spans="1:14" x14ac:dyDescent="0.25">
      <c r="A249" s="189" t="s">
        <v>545</v>
      </c>
      <c r="B249" s="189" t="s">
        <v>202</v>
      </c>
      <c r="C249" s="189" t="s">
        <v>203</v>
      </c>
      <c r="D249" s="189" t="s">
        <v>541</v>
      </c>
      <c r="E249" s="182">
        <v>34706100</v>
      </c>
      <c r="F249" s="182">
        <v>34706100</v>
      </c>
      <c r="G249" s="182">
        <v>23805824</v>
      </c>
      <c r="H249" s="182">
        <v>1737255</v>
      </c>
      <c r="I249" s="182">
        <v>8933873.3599999994</v>
      </c>
      <c r="J249" s="182">
        <v>0</v>
      </c>
      <c r="K249" s="191">
        <v>9999938.6400000006</v>
      </c>
      <c r="L249" s="182">
        <v>9999938.6400000006</v>
      </c>
      <c r="M249" s="182">
        <v>14035033</v>
      </c>
      <c r="N249" s="182">
        <v>3134757</v>
      </c>
    </row>
    <row r="250" spans="1:14" x14ac:dyDescent="0.25">
      <c r="A250" s="189" t="s">
        <v>545</v>
      </c>
      <c r="B250" s="189" t="s">
        <v>204</v>
      </c>
      <c r="C250" s="189" t="s">
        <v>205</v>
      </c>
      <c r="D250" s="189" t="s">
        <v>541</v>
      </c>
      <c r="E250" s="182">
        <v>26298967</v>
      </c>
      <c r="F250" s="182">
        <v>26298967</v>
      </c>
      <c r="G250" s="182">
        <v>18424225</v>
      </c>
      <c r="H250" s="182">
        <v>0</v>
      </c>
      <c r="I250" s="182">
        <v>7875381.3600000003</v>
      </c>
      <c r="J250" s="182">
        <v>0</v>
      </c>
      <c r="K250" s="191">
        <v>9999938.6400000006</v>
      </c>
      <c r="L250" s="182">
        <v>9999938.6400000006</v>
      </c>
      <c r="M250" s="182">
        <v>8423647</v>
      </c>
      <c r="N250" s="182">
        <v>548905</v>
      </c>
    </row>
    <row r="251" spans="1:14" x14ac:dyDescent="0.25">
      <c r="A251" s="189" t="s">
        <v>545</v>
      </c>
      <c r="B251" s="189" t="s">
        <v>208</v>
      </c>
      <c r="C251" s="189" t="s">
        <v>209</v>
      </c>
      <c r="D251" s="189" t="s">
        <v>541</v>
      </c>
      <c r="E251" s="182">
        <v>8102133</v>
      </c>
      <c r="F251" s="182">
        <v>8102133</v>
      </c>
      <c r="G251" s="182">
        <v>5076599</v>
      </c>
      <c r="H251" s="182">
        <v>1737255</v>
      </c>
      <c r="I251" s="182">
        <v>1058492</v>
      </c>
      <c r="J251" s="182">
        <v>0</v>
      </c>
      <c r="K251" s="191">
        <v>0</v>
      </c>
      <c r="L251" s="182">
        <v>0</v>
      </c>
      <c r="M251" s="182">
        <v>5306386</v>
      </c>
      <c r="N251" s="182">
        <v>2280852</v>
      </c>
    </row>
    <row r="252" spans="1:14" x14ac:dyDescent="0.25">
      <c r="A252" s="189" t="s">
        <v>545</v>
      </c>
      <c r="B252" s="189" t="s">
        <v>210</v>
      </c>
      <c r="C252" s="189" t="s">
        <v>211</v>
      </c>
      <c r="D252" s="189" t="s">
        <v>541</v>
      </c>
      <c r="E252" s="182">
        <v>305000</v>
      </c>
      <c r="F252" s="182">
        <v>305000</v>
      </c>
      <c r="G252" s="182">
        <v>305000</v>
      </c>
      <c r="H252" s="182">
        <v>0</v>
      </c>
      <c r="I252" s="182">
        <v>0</v>
      </c>
      <c r="J252" s="182">
        <v>0</v>
      </c>
      <c r="K252" s="191">
        <v>0</v>
      </c>
      <c r="L252" s="182">
        <v>0</v>
      </c>
      <c r="M252" s="182">
        <v>305000</v>
      </c>
      <c r="N252" s="182">
        <v>305000</v>
      </c>
    </row>
    <row r="253" spans="1:14" x14ac:dyDescent="0.25">
      <c r="A253" s="189" t="s">
        <v>545</v>
      </c>
      <c r="B253" s="189" t="s">
        <v>216</v>
      </c>
      <c r="C253" s="189" t="s">
        <v>217</v>
      </c>
      <c r="D253" s="189" t="s">
        <v>541</v>
      </c>
      <c r="E253" s="182">
        <v>2978000</v>
      </c>
      <c r="F253" s="182">
        <v>2978000</v>
      </c>
      <c r="G253" s="182">
        <v>2000250</v>
      </c>
      <c r="H253" s="182">
        <v>0</v>
      </c>
      <c r="I253" s="182">
        <v>55800</v>
      </c>
      <c r="J253" s="182">
        <v>0</v>
      </c>
      <c r="K253" s="191">
        <v>0</v>
      </c>
      <c r="L253" s="182">
        <v>0</v>
      </c>
      <c r="M253" s="182">
        <v>2922200</v>
      </c>
      <c r="N253" s="182">
        <v>1944450</v>
      </c>
    </row>
    <row r="254" spans="1:14" x14ac:dyDescent="0.25">
      <c r="A254" s="189" t="s">
        <v>545</v>
      </c>
      <c r="B254" s="189" t="s">
        <v>218</v>
      </c>
      <c r="C254" s="189" t="s">
        <v>219</v>
      </c>
      <c r="D254" s="189" t="s">
        <v>541</v>
      </c>
      <c r="E254" s="182">
        <v>830000</v>
      </c>
      <c r="F254" s="182">
        <v>830000</v>
      </c>
      <c r="G254" s="182">
        <v>522500</v>
      </c>
      <c r="H254" s="182">
        <v>0</v>
      </c>
      <c r="I254" s="182">
        <v>0</v>
      </c>
      <c r="J254" s="182">
        <v>0</v>
      </c>
      <c r="K254" s="191">
        <v>0</v>
      </c>
      <c r="L254" s="182">
        <v>0</v>
      </c>
      <c r="M254" s="182">
        <v>830000</v>
      </c>
      <c r="N254" s="182">
        <v>522500</v>
      </c>
    </row>
    <row r="255" spans="1:14" x14ac:dyDescent="0.25">
      <c r="A255" s="189" t="s">
        <v>545</v>
      </c>
      <c r="B255" s="189" t="s">
        <v>336</v>
      </c>
      <c r="C255" s="189" t="s">
        <v>337</v>
      </c>
      <c r="D255" s="189" t="s">
        <v>541</v>
      </c>
      <c r="E255" s="182">
        <v>67000</v>
      </c>
      <c r="F255" s="182">
        <v>67000</v>
      </c>
      <c r="G255" s="182">
        <v>67000</v>
      </c>
      <c r="H255" s="182">
        <v>0</v>
      </c>
      <c r="I255" s="182">
        <v>55800</v>
      </c>
      <c r="J255" s="182">
        <v>0</v>
      </c>
      <c r="K255" s="191">
        <v>0</v>
      </c>
      <c r="L255" s="182">
        <v>0</v>
      </c>
      <c r="M255" s="182">
        <v>11200</v>
      </c>
      <c r="N255" s="182">
        <v>11200</v>
      </c>
    </row>
    <row r="256" spans="1:14" x14ac:dyDescent="0.25">
      <c r="A256" s="189" t="s">
        <v>545</v>
      </c>
      <c r="B256" s="189" t="s">
        <v>338</v>
      </c>
      <c r="C256" s="189" t="s">
        <v>339</v>
      </c>
      <c r="D256" s="189" t="s">
        <v>541</v>
      </c>
      <c r="E256" s="182">
        <v>99000</v>
      </c>
      <c r="F256" s="182">
        <v>99000</v>
      </c>
      <c r="G256" s="182">
        <v>74250</v>
      </c>
      <c r="H256" s="182">
        <v>0</v>
      </c>
      <c r="I256" s="182">
        <v>0</v>
      </c>
      <c r="J256" s="182">
        <v>0</v>
      </c>
      <c r="K256" s="191">
        <v>0</v>
      </c>
      <c r="L256" s="182">
        <v>0</v>
      </c>
      <c r="M256" s="182">
        <v>99000</v>
      </c>
      <c r="N256" s="182">
        <v>74250</v>
      </c>
    </row>
    <row r="257" spans="1:14" x14ac:dyDescent="0.25">
      <c r="A257" s="189" t="s">
        <v>545</v>
      </c>
      <c r="B257" s="189" t="s">
        <v>220</v>
      </c>
      <c r="C257" s="189" t="s">
        <v>221</v>
      </c>
      <c r="D257" s="189" t="s">
        <v>541</v>
      </c>
      <c r="E257" s="182">
        <v>1345000</v>
      </c>
      <c r="F257" s="182">
        <v>1345000</v>
      </c>
      <c r="G257" s="182">
        <v>858750</v>
      </c>
      <c r="H257" s="182">
        <v>0</v>
      </c>
      <c r="I257" s="182">
        <v>0</v>
      </c>
      <c r="J257" s="182">
        <v>0</v>
      </c>
      <c r="K257" s="191">
        <v>0</v>
      </c>
      <c r="L257" s="182">
        <v>0</v>
      </c>
      <c r="M257" s="182">
        <v>1345000</v>
      </c>
      <c r="N257" s="182">
        <v>858750</v>
      </c>
    </row>
    <row r="258" spans="1:14" x14ac:dyDescent="0.25">
      <c r="A258" s="189" t="s">
        <v>545</v>
      </c>
      <c r="B258" s="189" t="s">
        <v>222</v>
      </c>
      <c r="C258" s="189" t="s">
        <v>223</v>
      </c>
      <c r="D258" s="189" t="s">
        <v>541</v>
      </c>
      <c r="E258" s="182">
        <v>40000</v>
      </c>
      <c r="F258" s="182">
        <v>40000</v>
      </c>
      <c r="G258" s="182">
        <v>30000</v>
      </c>
      <c r="H258" s="182">
        <v>0</v>
      </c>
      <c r="I258" s="182">
        <v>0</v>
      </c>
      <c r="J258" s="182">
        <v>0</v>
      </c>
      <c r="K258" s="191">
        <v>0</v>
      </c>
      <c r="L258" s="182">
        <v>0</v>
      </c>
      <c r="M258" s="182">
        <v>40000</v>
      </c>
      <c r="N258" s="182">
        <v>30000</v>
      </c>
    </row>
    <row r="259" spans="1:14" x14ac:dyDescent="0.25">
      <c r="A259" s="189" t="s">
        <v>545</v>
      </c>
      <c r="B259" s="189" t="s">
        <v>224</v>
      </c>
      <c r="C259" s="189" t="s">
        <v>225</v>
      </c>
      <c r="D259" s="189" t="s">
        <v>541</v>
      </c>
      <c r="E259" s="182">
        <v>198000</v>
      </c>
      <c r="F259" s="182">
        <v>198000</v>
      </c>
      <c r="G259" s="182">
        <v>148500</v>
      </c>
      <c r="H259" s="182">
        <v>0</v>
      </c>
      <c r="I259" s="182">
        <v>0</v>
      </c>
      <c r="J259" s="182">
        <v>0</v>
      </c>
      <c r="K259" s="191">
        <v>0</v>
      </c>
      <c r="L259" s="182">
        <v>0</v>
      </c>
      <c r="M259" s="182">
        <v>198000</v>
      </c>
      <c r="N259" s="182">
        <v>148500</v>
      </c>
    </row>
    <row r="260" spans="1:14" x14ac:dyDescent="0.25">
      <c r="A260" s="189" t="s">
        <v>545</v>
      </c>
      <c r="B260" s="189" t="s">
        <v>226</v>
      </c>
      <c r="C260" s="189" t="s">
        <v>227</v>
      </c>
      <c r="D260" s="189" t="s">
        <v>541</v>
      </c>
      <c r="E260" s="182">
        <v>399000</v>
      </c>
      <c r="F260" s="182">
        <v>399000</v>
      </c>
      <c r="G260" s="182">
        <v>299250</v>
      </c>
      <c r="H260" s="182">
        <v>0</v>
      </c>
      <c r="I260" s="182">
        <v>0</v>
      </c>
      <c r="J260" s="182">
        <v>0</v>
      </c>
      <c r="K260" s="191">
        <v>0</v>
      </c>
      <c r="L260" s="182">
        <v>0</v>
      </c>
      <c r="M260" s="182">
        <v>399000</v>
      </c>
      <c r="N260" s="182">
        <v>299250</v>
      </c>
    </row>
    <row r="261" spans="1:14" x14ac:dyDescent="0.25">
      <c r="A261" s="189" t="s">
        <v>545</v>
      </c>
      <c r="B261" s="189" t="s">
        <v>228</v>
      </c>
      <c r="C261" s="189" t="s">
        <v>229</v>
      </c>
      <c r="D261" s="189" t="s">
        <v>541</v>
      </c>
      <c r="E261" s="182">
        <v>3047000</v>
      </c>
      <c r="F261" s="182">
        <v>3047000</v>
      </c>
      <c r="G261" s="182">
        <v>1960250</v>
      </c>
      <c r="H261" s="182">
        <v>1298757.1100000001</v>
      </c>
      <c r="I261" s="182">
        <v>0</v>
      </c>
      <c r="J261" s="182">
        <v>0</v>
      </c>
      <c r="K261" s="191">
        <v>0</v>
      </c>
      <c r="L261" s="182">
        <v>0</v>
      </c>
      <c r="M261" s="182">
        <v>1748242.89</v>
      </c>
      <c r="N261" s="182">
        <v>661492.89</v>
      </c>
    </row>
    <row r="262" spans="1:14" x14ac:dyDescent="0.25">
      <c r="A262" s="189" t="s">
        <v>545</v>
      </c>
      <c r="B262" s="189" t="s">
        <v>230</v>
      </c>
      <c r="C262" s="189" t="s">
        <v>231</v>
      </c>
      <c r="D262" s="189" t="s">
        <v>541</v>
      </c>
      <c r="E262" s="182">
        <v>251000</v>
      </c>
      <c r="F262" s="182">
        <v>251000</v>
      </c>
      <c r="G262" s="182">
        <v>188250</v>
      </c>
      <c r="H262" s="182">
        <v>0</v>
      </c>
      <c r="I262" s="182">
        <v>0</v>
      </c>
      <c r="J262" s="182">
        <v>0</v>
      </c>
      <c r="K262" s="191">
        <v>0</v>
      </c>
      <c r="L262" s="182">
        <v>0</v>
      </c>
      <c r="M262" s="182">
        <v>251000</v>
      </c>
      <c r="N262" s="182">
        <v>188250</v>
      </c>
    </row>
    <row r="263" spans="1:14" x14ac:dyDescent="0.25">
      <c r="A263" s="189" t="s">
        <v>545</v>
      </c>
      <c r="B263" s="189" t="s">
        <v>232</v>
      </c>
      <c r="C263" s="189" t="s">
        <v>233</v>
      </c>
      <c r="D263" s="189" t="s">
        <v>541</v>
      </c>
      <c r="E263" s="182">
        <v>2796000</v>
      </c>
      <c r="F263" s="182">
        <v>2796000</v>
      </c>
      <c r="G263" s="182">
        <v>1772000</v>
      </c>
      <c r="H263" s="182">
        <v>1298757.1100000001</v>
      </c>
      <c r="I263" s="182">
        <v>0</v>
      </c>
      <c r="J263" s="182">
        <v>0</v>
      </c>
      <c r="K263" s="191">
        <v>0</v>
      </c>
      <c r="L263" s="182">
        <v>0</v>
      </c>
      <c r="M263" s="182">
        <v>1497242.89</v>
      </c>
      <c r="N263" s="182">
        <v>473242.89</v>
      </c>
    </row>
    <row r="264" spans="1:14" x14ac:dyDescent="0.25">
      <c r="A264" s="189" t="s">
        <v>545</v>
      </c>
      <c r="B264" s="189" t="s">
        <v>234</v>
      </c>
      <c r="C264" s="189" t="s">
        <v>601</v>
      </c>
      <c r="D264" s="189" t="s">
        <v>541</v>
      </c>
      <c r="E264" s="182">
        <v>24502693</v>
      </c>
      <c r="F264" s="182">
        <v>24502693</v>
      </c>
      <c r="G264" s="182">
        <v>16345270</v>
      </c>
      <c r="H264" s="182">
        <v>985231.5</v>
      </c>
      <c r="I264" s="182">
        <v>651715</v>
      </c>
      <c r="J264" s="182">
        <v>0</v>
      </c>
      <c r="K264" s="191">
        <v>4617979.46</v>
      </c>
      <c r="L264" s="182">
        <v>4617979.46</v>
      </c>
      <c r="M264" s="182">
        <v>18247767.039999999</v>
      </c>
      <c r="N264" s="182">
        <v>10090344.039999999</v>
      </c>
    </row>
    <row r="265" spans="1:14" x14ac:dyDescent="0.25">
      <c r="A265" s="189" t="s">
        <v>545</v>
      </c>
      <c r="B265" s="189" t="s">
        <v>235</v>
      </c>
      <c r="C265" s="189" t="s">
        <v>236</v>
      </c>
      <c r="D265" s="189" t="s">
        <v>541</v>
      </c>
      <c r="E265" s="182">
        <v>7116000</v>
      </c>
      <c r="F265" s="182">
        <v>7116000</v>
      </c>
      <c r="G265" s="182">
        <v>5812000</v>
      </c>
      <c r="H265" s="182">
        <v>829231.5</v>
      </c>
      <c r="I265" s="182">
        <v>0</v>
      </c>
      <c r="J265" s="182">
        <v>0</v>
      </c>
      <c r="K265" s="191">
        <v>2259723.2799999998</v>
      </c>
      <c r="L265" s="182">
        <v>2259723.2799999998</v>
      </c>
      <c r="M265" s="182">
        <v>4027045.22</v>
      </c>
      <c r="N265" s="182">
        <v>2723045.22</v>
      </c>
    </row>
    <row r="266" spans="1:14" x14ac:dyDescent="0.25">
      <c r="A266" s="189" t="s">
        <v>545</v>
      </c>
      <c r="B266" s="189" t="s">
        <v>237</v>
      </c>
      <c r="C266" s="189" t="s">
        <v>238</v>
      </c>
      <c r="D266" s="189" t="s">
        <v>541</v>
      </c>
      <c r="E266" s="182">
        <v>0</v>
      </c>
      <c r="F266" s="182">
        <v>0</v>
      </c>
      <c r="G266" s="182">
        <v>0</v>
      </c>
      <c r="H266" s="182">
        <v>0</v>
      </c>
      <c r="I266" s="182">
        <v>0</v>
      </c>
      <c r="J266" s="182">
        <v>0</v>
      </c>
      <c r="K266" s="191">
        <v>0</v>
      </c>
      <c r="L266" s="182">
        <v>0</v>
      </c>
      <c r="M266" s="182">
        <v>0</v>
      </c>
      <c r="N266" s="182">
        <v>0</v>
      </c>
    </row>
    <row r="267" spans="1:14" x14ac:dyDescent="0.25">
      <c r="A267" s="189" t="s">
        <v>545</v>
      </c>
      <c r="B267" s="189" t="s">
        <v>239</v>
      </c>
      <c r="C267" s="189" t="s">
        <v>240</v>
      </c>
      <c r="D267" s="189" t="s">
        <v>541</v>
      </c>
      <c r="E267" s="182">
        <v>15203693</v>
      </c>
      <c r="F267" s="182">
        <v>15203693</v>
      </c>
      <c r="G267" s="182">
        <v>8837770</v>
      </c>
      <c r="H267" s="182">
        <v>156000</v>
      </c>
      <c r="I267" s="182">
        <v>381375</v>
      </c>
      <c r="J267" s="182">
        <v>0</v>
      </c>
      <c r="K267" s="191">
        <v>1966856.18</v>
      </c>
      <c r="L267" s="182">
        <v>1966856.18</v>
      </c>
      <c r="M267" s="182">
        <v>12699461.82</v>
      </c>
      <c r="N267" s="182">
        <v>6333538.8200000003</v>
      </c>
    </row>
    <row r="268" spans="1:14" x14ac:dyDescent="0.25">
      <c r="A268" s="189" t="s">
        <v>545</v>
      </c>
      <c r="B268" s="189" t="s">
        <v>241</v>
      </c>
      <c r="C268" s="189" t="s">
        <v>242</v>
      </c>
      <c r="D268" s="189" t="s">
        <v>541</v>
      </c>
      <c r="E268" s="182">
        <v>133000</v>
      </c>
      <c r="F268" s="182">
        <v>133000</v>
      </c>
      <c r="G268" s="182">
        <v>133000</v>
      </c>
      <c r="H268" s="182">
        <v>0</v>
      </c>
      <c r="I268" s="182">
        <v>133000</v>
      </c>
      <c r="J268" s="182">
        <v>0</v>
      </c>
      <c r="K268" s="191">
        <v>0</v>
      </c>
      <c r="L268" s="182">
        <v>0</v>
      </c>
      <c r="M268" s="182">
        <v>0</v>
      </c>
      <c r="N268" s="182">
        <v>0</v>
      </c>
    </row>
    <row r="269" spans="1:14" x14ac:dyDescent="0.25">
      <c r="A269" s="189" t="s">
        <v>545</v>
      </c>
      <c r="B269" s="189" t="s">
        <v>243</v>
      </c>
      <c r="C269" s="189" t="s">
        <v>244</v>
      </c>
      <c r="D269" s="189" t="s">
        <v>541</v>
      </c>
      <c r="E269" s="182">
        <v>1356000</v>
      </c>
      <c r="F269" s="182">
        <v>1356000</v>
      </c>
      <c r="G269" s="182">
        <v>1042000</v>
      </c>
      <c r="H269" s="182">
        <v>0</v>
      </c>
      <c r="I269" s="182">
        <v>0</v>
      </c>
      <c r="J269" s="182">
        <v>0</v>
      </c>
      <c r="K269" s="191">
        <v>386600</v>
      </c>
      <c r="L269" s="182">
        <v>386600</v>
      </c>
      <c r="M269" s="182">
        <v>969400</v>
      </c>
      <c r="N269" s="182">
        <v>655400</v>
      </c>
    </row>
    <row r="270" spans="1:14" x14ac:dyDescent="0.25">
      <c r="A270" s="189" t="s">
        <v>545</v>
      </c>
      <c r="B270" s="189" t="s">
        <v>245</v>
      </c>
      <c r="C270" s="189" t="s">
        <v>246</v>
      </c>
      <c r="D270" s="189" t="s">
        <v>541</v>
      </c>
      <c r="E270" s="182">
        <v>123000</v>
      </c>
      <c r="F270" s="182">
        <v>123000</v>
      </c>
      <c r="G270" s="182">
        <v>92250</v>
      </c>
      <c r="H270" s="182">
        <v>0</v>
      </c>
      <c r="I270" s="182">
        <v>0</v>
      </c>
      <c r="J270" s="182">
        <v>0</v>
      </c>
      <c r="K270" s="191">
        <v>4800</v>
      </c>
      <c r="L270" s="182">
        <v>4800</v>
      </c>
      <c r="M270" s="182">
        <v>118200</v>
      </c>
      <c r="N270" s="182">
        <v>87450</v>
      </c>
    </row>
    <row r="271" spans="1:14" x14ac:dyDescent="0.25">
      <c r="A271" s="189" t="s">
        <v>545</v>
      </c>
      <c r="B271" s="189" t="s">
        <v>249</v>
      </c>
      <c r="C271" s="189" t="s">
        <v>250</v>
      </c>
      <c r="D271" s="189" t="s">
        <v>541</v>
      </c>
      <c r="E271" s="182">
        <v>571000</v>
      </c>
      <c r="F271" s="182">
        <v>571000</v>
      </c>
      <c r="G271" s="182">
        <v>428250</v>
      </c>
      <c r="H271" s="182">
        <v>0</v>
      </c>
      <c r="I271" s="182">
        <v>137340</v>
      </c>
      <c r="J271" s="182">
        <v>0</v>
      </c>
      <c r="K271" s="191">
        <v>0</v>
      </c>
      <c r="L271" s="182">
        <v>0</v>
      </c>
      <c r="M271" s="182">
        <v>433660</v>
      </c>
      <c r="N271" s="182">
        <v>290910</v>
      </c>
    </row>
    <row r="272" spans="1:14" x14ac:dyDescent="0.25">
      <c r="A272" s="189" t="s">
        <v>545</v>
      </c>
      <c r="B272" s="189" t="s">
        <v>279</v>
      </c>
      <c r="C272" s="189" t="s">
        <v>280</v>
      </c>
      <c r="D272" s="189" t="s">
        <v>543</v>
      </c>
      <c r="E272" s="182">
        <v>47031000</v>
      </c>
      <c r="F272" s="182">
        <v>47031000</v>
      </c>
      <c r="G272" s="182">
        <v>47031000</v>
      </c>
      <c r="H272" s="182">
        <v>4662584</v>
      </c>
      <c r="I272" s="182">
        <v>19327310.899999999</v>
      </c>
      <c r="J272" s="182">
        <v>0</v>
      </c>
      <c r="K272" s="191">
        <v>22050439.84</v>
      </c>
      <c r="L272" s="182">
        <v>22050439.84</v>
      </c>
      <c r="M272" s="182">
        <v>990665.26</v>
      </c>
      <c r="N272" s="182">
        <v>990665.26</v>
      </c>
    </row>
    <row r="273" spans="1:14" x14ac:dyDescent="0.25">
      <c r="A273" s="189" t="s">
        <v>545</v>
      </c>
      <c r="B273" s="189" t="s">
        <v>281</v>
      </c>
      <c r="C273" s="189" t="s">
        <v>282</v>
      </c>
      <c r="D273" s="189" t="s">
        <v>543</v>
      </c>
      <c r="E273" s="182">
        <v>25000000</v>
      </c>
      <c r="F273" s="182">
        <v>17047517.809999999</v>
      </c>
      <c r="G273" s="182">
        <v>17047517.809999999</v>
      </c>
      <c r="H273" s="182">
        <v>3024116</v>
      </c>
      <c r="I273" s="182">
        <v>0</v>
      </c>
      <c r="J273" s="182">
        <v>0</v>
      </c>
      <c r="K273" s="191">
        <v>13762283.65</v>
      </c>
      <c r="L273" s="182">
        <v>13762283.65</v>
      </c>
      <c r="M273" s="182">
        <v>261118.16</v>
      </c>
      <c r="N273" s="182">
        <v>261118.16</v>
      </c>
    </row>
    <row r="274" spans="1:14" x14ac:dyDescent="0.25">
      <c r="A274" s="189" t="s">
        <v>545</v>
      </c>
      <c r="B274" s="189" t="s">
        <v>398</v>
      </c>
      <c r="C274" s="189" t="s">
        <v>501</v>
      </c>
      <c r="D274" s="189" t="s">
        <v>543</v>
      </c>
      <c r="E274" s="182">
        <v>15000000</v>
      </c>
      <c r="F274" s="182">
        <v>13762284</v>
      </c>
      <c r="G274" s="182">
        <v>13762284</v>
      </c>
      <c r="H274" s="182">
        <v>0</v>
      </c>
      <c r="I274" s="182">
        <v>0</v>
      </c>
      <c r="J274" s="182">
        <v>0</v>
      </c>
      <c r="K274" s="191">
        <v>13762283.65</v>
      </c>
      <c r="L274" s="182">
        <v>13762283.65</v>
      </c>
      <c r="M274" s="182">
        <v>0.35</v>
      </c>
      <c r="N274" s="182">
        <v>0.35</v>
      </c>
    </row>
    <row r="275" spans="1:14" x14ac:dyDescent="0.25">
      <c r="A275" s="189" t="s">
        <v>545</v>
      </c>
      <c r="B275" s="189" t="s">
        <v>285</v>
      </c>
      <c r="C275" s="189" t="s">
        <v>286</v>
      </c>
      <c r="D275" s="189" t="s">
        <v>543</v>
      </c>
      <c r="E275" s="182">
        <v>0</v>
      </c>
      <c r="F275" s="182">
        <v>0</v>
      </c>
      <c r="G275" s="182">
        <v>0</v>
      </c>
      <c r="H275" s="182">
        <v>0</v>
      </c>
      <c r="I275" s="182">
        <v>0</v>
      </c>
      <c r="J275" s="182">
        <v>0</v>
      </c>
      <c r="K275" s="191">
        <v>0</v>
      </c>
      <c r="L275" s="182">
        <v>0</v>
      </c>
      <c r="M275" s="182">
        <v>0</v>
      </c>
      <c r="N275" s="182">
        <v>0</v>
      </c>
    </row>
    <row r="276" spans="1:14" x14ac:dyDescent="0.25">
      <c r="A276" s="189" t="s">
        <v>545</v>
      </c>
      <c r="B276" s="189" t="s">
        <v>287</v>
      </c>
      <c r="C276" s="189" t="s">
        <v>288</v>
      </c>
      <c r="D276" s="189" t="s">
        <v>543</v>
      </c>
      <c r="E276" s="182">
        <v>0</v>
      </c>
      <c r="F276" s="182">
        <v>0</v>
      </c>
      <c r="G276" s="182">
        <v>0</v>
      </c>
      <c r="H276" s="182">
        <v>0</v>
      </c>
      <c r="I276" s="182">
        <v>0</v>
      </c>
      <c r="J276" s="182">
        <v>0</v>
      </c>
      <c r="K276" s="191">
        <v>0</v>
      </c>
      <c r="L276" s="182">
        <v>0</v>
      </c>
      <c r="M276" s="182">
        <v>0</v>
      </c>
      <c r="N276" s="182">
        <v>0</v>
      </c>
    </row>
    <row r="277" spans="1:14" x14ac:dyDescent="0.25">
      <c r="A277" s="189" t="s">
        <v>545</v>
      </c>
      <c r="B277" s="189" t="s">
        <v>289</v>
      </c>
      <c r="C277" s="189" t="s">
        <v>290</v>
      </c>
      <c r="D277" s="189" t="s">
        <v>543</v>
      </c>
      <c r="E277" s="182">
        <v>10000000</v>
      </c>
      <c r="F277" s="182">
        <v>2585233.81</v>
      </c>
      <c r="G277" s="182">
        <v>2585233.81</v>
      </c>
      <c r="H277" s="182">
        <v>2392746</v>
      </c>
      <c r="I277" s="182">
        <v>0</v>
      </c>
      <c r="J277" s="182">
        <v>0</v>
      </c>
      <c r="K277" s="191">
        <v>0</v>
      </c>
      <c r="L277" s="182">
        <v>0</v>
      </c>
      <c r="M277" s="182">
        <v>192487.81</v>
      </c>
      <c r="N277" s="182">
        <v>192487.81</v>
      </c>
    </row>
    <row r="278" spans="1:14" x14ac:dyDescent="0.25">
      <c r="A278" s="189" t="s">
        <v>545</v>
      </c>
      <c r="B278" s="189" t="s">
        <v>291</v>
      </c>
      <c r="C278" s="189" t="s">
        <v>292</v>
      </c>
      <c r="D278" s="189" t="s">
        <v>543</v>
      </c>
      <c r="E278" s="182">
        <v>0</v>
      </c>
      <c r="F278" s="182">
        <v>0</v>
      </c>
      <c r="G278" s="182">
        <v>0</v>
      </c>
      <c r="H278" s="182">
        <v>0</v>
      </c>
      <c r="I278" s="182">
        <v>0</v>
      </c>
      <c r="J278" s="182">
        <v>0</v>
      </c>
      <c r="K278" s="191">
        <v>0</v>
      </c>
      <c r="L278" s="182">
        <v>0</v>
      </c>
      <c r="M278" s="182">
        <v>0</v>
      </c>
      <c r="N278" s="182">
        <v>0</v>
      </c>
    </row>
    <row r="279" spans="1:14" x14ac:dyDescent="0.25">
      <c r="A279" s="189" t="s">
        <v>545</v>
      </c>
      <c r="B279" s="189" t="s">
        <v>295</v>
      </c>
      <c r="C279" s="189" t="s">
        <v>296</v>
      </c>
      <c r="D279" s="189" t="s">
        <v>543</v>
      </c>
      <c r="E279" s="182">
        <v>0</v>
      </c>
      <c r="F279" s="182">
        <v>700000</v>
      </c>
      <c r="G279" s="182">
        <v>700000</v>
      </c>
      <c r="H279" s="182">
        <v>631370</v>
      </c>
      <c r="I279" s="182">
        <v>0</v>
      </c>
      <c r="J279" s="182">
        <v>0</v>
      </c>
      <c r="K279" s="191">
        <v>0</v>
      </c>
      <c r="L279" s="182">
        <v>0</v>
      </c>
      <c r="M279" s="182">
        <v>68630</v>
      </c>
      <c r="N279" s="182">
        <v>68630</v>
      </c>
    </row>
    <row r="280" spans="1:14" x14ac:dyDescent="0.25">
      <c r="A280" s="189" t="s">
        <v>545</v>
      </c>
      <c r="B280" s="189" t="s">
        <v>297</v>
      </c>
      <c r="C280" s="189" t="s">
        <v>298</v>
      </c>
      <c r="D280" s="189" t="s">
        <v>543</v>
      </c>
      <c r="E280" s="182">
        <v>0</v>
      </c>
      <c r="F280" s="182">
        <v>1350982.19</v>
      </c>
      <c r="G280" s="182">
        <v>1350982.19</v>
      </c>
      <c r="H280" s="182">
        <v>0</v>
      </c>
      <c r="I280" s="182">
        <v>0</v>
      </c>
      <c r="J280" s="182">
        <v>0</v>
      </c>
      <c r="K280" s="191">
        <v>1350982.19</v>
      </c>
      <c r="L280" s="182">
        <v>1350982.19</v>
      </c>
      <c r="M280" s="182">
        <v>0</v>
      </c>
      <c r="N280" s="182">
        <v>0</v>
      </c>
    </row>
    <row r="281" spans="1:14" x14ac:dyDescent="0.25">
      <c r="A281" s="189" t="s">
        <v>545</v>
      </c>
      <c r="B281" s="189" t="s">
        <v>299</v>
      </c>
      <c r="C281" s="189" t="s">
        <v>300</v>
      </c>
      <c r="D281" s="189" t="s">
        <v>543</v>
      </c>
      <c r="E281" s="182">
        <v>0</v>
      </c>
      <c r="F281" s="182">
        <v>1350982.19</v>
      </c>
      <c r="G281" s="182">
        <v>1350982.19</v>
      </c>
      <c r="H281" s="182">
        <v>0</v>
      </c>
      <c r="I281" s="182">
        <v>0</v>
      </c>
      <c r="J281" s="182">
        <v>0</v>
      </c>
      <c r="K281" s="191">
        <v>1350982.19</v>
      </c>
      <c r="L281" s="182">
        <v>1350982.19</v>
      </c>
      <c r="M281" s="182">
        <v>0</v>
      </c>
      <c r="N281" s="182">
        <v>0</v>
      </c>
    </row>
    <row r="282" spans="1:14" x14ac:dyDescent="0.25">
      <c r="A282" s="189" t="s">
        <v>545</v>
      </c>
      <c r="B282" s="189" t="s">
        <v>340</v>
      </c>
      <c r="C282" s="189" t="s">
        <v>341</v>
      </c>
      <c r="D282" s="189" t="s">
        <v>543</v>
      </c>
      <c r="E282" s="182">
        <v>22031000</v>
      </c>
      <c r="F282" s="182">
        <v>28632500</v>
      </c>
      <c r="G282" s="182">
        <v>28632500</v>
      </c>
      <c r="H282" s="182">
        <v>1638468</v>
      </c>
      <c r="I282" s="182">
        <v>19327310.899999999</v>
      </c>
      <c r="J282" s="182">
        <v>0</v>
      </c>
      <c r="K282" s="191">
        <v>6937174</v>
      </c>
      <c r="L282" s="182">
        <v>6937174</v>
      </c>
      <c r="M282" s="182">
        <v>729547.1</v>
      </c>
      <c r="N282" s="182">
        <v>729547.1</v>
      </c>
    </row>
    <row r="283" spans="1:14" x14ac:dyDescent="0.25">
      <c r="A283" s="189" t="s">
        <v>545</v>
      </c>
      <c r="B283" s="189" t="s">
        <v>342</v>
      </c>
      <c r="C283" s="189" t="s">
        <v>343</v>
      </c>
      <c r="D283" s="189" t="s">
        <v>543</v>
      </c>
      <c r="E283" s="182">
        <v>22031000</v>
      </c>
      <c r="F283" s="182">
        <v>28632500</v>
      </c>
      <c r="G283" s="182">
        <v>28632500</v>
      </c>
      <c r="H283" s="182">
        <v>1638468</v>
      </c>
      <c r="I283" s="182">
        <v>19327310.899999999</v>
      </c>
      <c r="J283" s="182">
        <v>0</v>
      </c>
      <c r="K283" s="191">
        <v>6937174</v>
      </c>
      <c r="L283" s="182">
        <v>6937174</v>
      </c>
      <c r="M283" s="182">
        <v>729547.1</v>
      </c>
      <c r="N283" s="182">
        <v>729547.1</v>
      </c>
    </row>
    <row r="284" spans="1:14" x14ac:dyDescent="0.25">
      <c r="A284" s="189" t="s">
        <v>545</v>
      </c>
      <c r="B284" s="189" t="s">
        <v>251</v>
      </c>
      <c r="C284" s="189" t="s">
        <v>252</v>
      </c>
      <c r="D284" s="189" t="s">
        <v>541</v>
      </c>
      <c r="E284" s="182">
        <v>298129000</v>
      </c>
      <c r="F284" s="182">
        <v>306729000</v>
      </c>
      <c r="G284" s="182">
        <v>239038874.5</v>
      </c>
      <c r="H284" s="182">
        <v>0</v>
      </c>
      <c r="I284" s="182">
        <v>46503486.710000001</v>
      </c>
      <c r="J284" s="182">
        <v>0</v>
      </c>
      <c r="K284" s="191">
        <v>141799339.34999999</v>
      </c>
      <c r="L284" s="182">
        <v>141799339.34999999</v>
      </c>
      <c r="M284" s="182">
        <v>118426173.94</v>
      </c>
      <c r="N284" s="182">
        <v>50736048.439999998</v>
      </c>
    </row>
    <row r="285" spans="1:14" x14ac:dyDescent="0.25">
      <c r="A285" s="189" t="s">
        <v>545</v>
      </c>
      <c r="B285" s="189" t="s">
        <v>253</v>
      </c>
      <c r="C285" s="189" t="s">
        <v>254</v>
      </c>
      <c r="D285" s="189" t="s">
        <v>541</v>
      </c>
      <c r="E285" s="182">
        <v>115667000</v>
      </c>
      <c r="F285" s="182">
        <v>115667000</v>
      </c>
      <c r="G285" s="182">
        <v>115667000</v>
      </c>
      <c r="H285" s="182">
        <v>0</v>
      </c>
      <c r="I285" s="182">
        <v>46498104.700000003</v>
      </c>
      <c r="J285" s="182">
        <v>0</v>
      </c>
      <c r="K285" s="191">
        <v>69168895.299999997</v>
      </c>
      <c r="L285" s="182">
        <v>69168895.299999997</v>
      </c>
      <c r="M285" s="182">
        <v>0</v>
      </c>
      <c r="N285" s="182">
        <v>0</v>
      </c>
    </row>
    <row r="286" spans="1:14" x14ac:dyDescent="0.25">
      <c r="A286" s="189" t="s">
        <v>545</v>
      </c>
      <c r="B286" s="189" t="s">
        <v>344</v>
      </c>
      <c r="C286" s="189" t="s">
        <v>602</v>
      </c>
      <c r="D286" s="189" t="s">
        <v>541</v>
      </c>
      <c r="E286" s="182">
        <v>96260000</v>
      </c>
      <c r="F286" s="182">
        <v>96260000</v>
      </c>
      <c r="G286" s="182">
        <v>96260000</v>
      </c>
      <c r="H286" s="182">
        <v>0</v>
      </c>
      <c r="I286" s="182">
        <v>38696624.060000002</v>
      </c>
      <c r="J286" s="182">
        <v>0</v>
      </c>
      <c r="K286" s="191">
        <v>57563375.939999998</v>
      </c>
      <c r="L286" s="182">
        <v>57563375.939999998</v>
      </c>
      <c r="M286" s="182">
        <v>0</v>
      </c>
      <c r="N286" s="182">
        <v>0</v>
      </c>
    </row>
    <row r="287" spans="1:14" x14ac:dyDescent="0.25">
      <c r="A287" s="189" t="s">
        <v>545</v>
      </c>
      <c r="B287" s="189" t="s">
        <v>345</v>
      </c>
      <c r="C287" s="189" t="s">
        <v>603</v>
      </c>
      <c r="D287" s="189" t="s">
        <v>541</v>
      </c>
      <c r="E287" s="182">
        <v>19407000</v>
      </c>
      <c r="F287" s="182">
        <v>19407000</v>
      </c>
      <c r="G287" s="182">
        <v>19407000</v>
      </c>
      <c r="H287" s="182">
        <v>0</v>
      </c>
      <c r="I287" s="182">
        <v>7801480.6399999997</v>
      </c>
      <c r="J287" s="182">
        <v>0</v>
      </c>
      <c r="K287" s="191">
        <v>11605519.359999999</v>
      </c>
      <c r="L287" s="182">
        <v>11605519.359999999</v>
      </c>
      <c r="M287" s="182">
        <v>0</v>
      </c>
      <c r="N287" s="182">
        <v>0</v>
      </c>
    </row>
    <row r="288" spans="1:14" x14ac:dyDescent="0.25">
      <c r="A288" s="189" t="s">
        <v>545</v>
      </c>
      <c r="B288" s="189" t="s">
        <v>261</v>
      </c>
      <c r="C288" s="189" t="s">
        <v>262</v>
      </c>
      <c r="D288" s="189" t="s">
        <v>541</v>
      </c>
      <c r="E288" s="182">
        <v>179462000</v>
      </c>
      <c r="F288" s="182">
        <v>179462000</v>
      </c>
      <c r="G288" s="182">
        <v>111771874.5</v>
      </c>
      <c r="H288" s="182">
        <v>0</v>
      </c>
      <c r="I288" s="182">
        <v>5382.01</v>
      </c>
      <c r="J288" s="182">
        <v>0</v>
      </c>
      <c r="K288" s="191">
        <v>61240980.789999999</v>
      </c>
      <c r="L288" s="182">
        <v>61240980.789999999</v>
      </c>
      <c r="M288" s="182">
        <v>118215637.2</v>
      </c>
      <c r="N288" s="182">
        <v>50525511.700000003</v>
      </c>
    </row>
    <row r="289" spans="1:14" x14ac:dyDescent="0.25">
      <c r="A289" s="189" t="s">
        <v>545</v>
      </c>
      <c r="B289" s="189" t="s">
        <v>263</v>
      </c>
      <c r="C289" s="189" t="s">
        <v>264</v>
      </c>
      <c r="D289" s="189" t="s">
        <v>541</v>
      </c>
      <c r="E289" s="182">
        <v>150000000</v>
      </c>
      <c r="F289" s="182">
        <v>150000000</v>
      </c>
      <c r="G289" s="182">
        <v>82309874.5</v>
      </c>
      <c r="H289" s="182">
        <v>0</v>
      </c>
      <c r="I289" s="182">
        <v>5382.01</v>
      </c>
      <c r="J289" s="182">
        <v>0</v>
      </c>
      <c r="K289" s="191">
        <v>40642849.789999999</v>
      </c>
      <c r="L289" s="182">
        <v>40642849.789999999</v>
      </c>
      <c r="M289" s="182">
        <v>109351768.2</v>
      </c>
      <c r="N289" s="182">
        <v>41661642.700000003</v>
      </c>
    </row>
    <row r="290" spans="1:14" x14ac:dyDescent="0.25">
      <c r="A290" s="189" t="s">
        <v>545</v>
      </c>
      <c r="B290" s="189" t="s">
        <v>265</v>
      </c>
      <c r="C290" s="189" t="s">
        <v>266</v>
      </c>
      <c r="D290" s="189" t="s">
        <v>541</v>
      </c>
      <c r="E290" s="182">
        <v>29462000</v>
      </c>
      <c r="F290" s="182">
        <v>29462000</v>
      </c>
      <c r="G290" s="182">
        <v>29462000</v>
      </c>
      <c r="H290" s="182">
        <v>0</v>
      </c>
      <c r="I290" s="182">
        <v>0</v>
      </c>
      <c r="J290" s="182">
        <v>0</v>
      </c>
      <c r="K290" s="191">
        <v>20598131</v>
      </c>
      <c r="L290" s="182">
        <v>20598131</v>
      </c>
      <c r="M290" s="182">
        <v>8863869</v>
      </c>
      <c r="N290" s="182">
        <v>8863869</v>
      </c>
    </row>
    <row r="291" spans="1:14" x14ac:dyDescent="0.25">
      <c r="A291" s="189" t="s">
        <v>545</v>
      </c>
      <c r="B291" s="189" t="s">
        <v>267</v>
      </c>
      <c r="C291" s="189" t="s">
        <v>268</v>
      </c>
      <c r="D291" s="189" t="s">
        <v>541</v>
      </c>
      <c r="E291" s="182">
        <v>3000000</v>
      </c>
      <c r="F291" s="182">
        <v>11600000</v>
      </c>
      <c r="G291" s="182">
        <v>11600000</v>
      </c>
      <c r="H291" s="182">
        <v>0</v>
      </c>
      <c r="I291" s="182">
        <v>0</v>
      </c>
      <c r="J291" s="182">
        <v>0</v>
      </c>
      <c r="K291" s="191">
        <v>11389463.26</v>
      </c>
      <c r="L291" s="182">
        <v>11389463.26</v>
      </c>
      <c r="M291" s="182">
        <v>210536.74</v>
      </c>
      <c r="N291" s="182">
        <v>210536.74</v>
      </c>
    </row>
    <row r="292" spans="1:14" x14ac:dyDescent="0.25">
      <c r="A292" s="189" t="s">
        <v>545</v>
      </c>
      <c r="B292" s="189" t="s">
        <v>269</v>
      </c>
      <c r="C292" s="189" t="s">
        <v>270</v>
      </c>
      <c r="D292" s="189" t="s">
        <v>541</v>
      </c>
      <c r="E292" s="182">
        <v>3000000</v>
      </c>
      <c r="F292" s="182">
        <v>11600000</v>
      </c>
      <c r="G292" s="182">
        <v>11600000</v>
      </c>
      <c r="H292" s="182">
        <v>0</v>
      </c>
      <c r="I292" s="182">
        <v>0</v>
      </c>
      <c r="J292" s="182">
        <v>0</v>
      </c>
      <c r="K292" s="191">
        <v>11389463.26</v>
      </c>
      <c r="L292" s="182">
        <v>11389463.26</v>
      </c>
      <c r="M292" s="182">
        <v>210536.74</v>
      </c>
      <c r="N292" s="182">
        <v>210536.74</v>
      </c>
    </row>
    <row r="293" spans="1:14" x14ac:dyDescent="0.25">
      <c r="A293" s="189" t="s">
        <v>546</v>
      </c>
      <c r="B293" s="189" t="s">
        <v>587</v>
      </c>
      <c r="C293" s="189" t="s">
        <v>587</v>
      </c>
      <c r="D293" s="189" t="s">
        <v>541</v>
      </c>
      <c r="E293" s="182">
        <v>106163237755</v>
      </c>
      <c r="F293" s="182">
        <v>112163237755</v>
      </c>
      <c r="G293" s="182">
        <v>104411102686.89999</v>
      </c>
      <c r="H293" s="182">
        <v>427591943.13999999</v>
      </c>
      <c r="I293" s="182">
        <v>12212756689.24</v>
      </c>
      <c r="J293" s="182">
        <v>475211326.99000001</v>
      </c>
      <c r="K293" s="191">
        <v>64340733557.870003</v>
      </c>
      <c r="L293" s="182">
        <v>64115018062.099998</v>
      </c>
      <c r="M293" s="182">
        <v>34706944237.760002</v>
      </c>
      <c r="N293" s="182">
        <v>26954809169.66</v>
      </c>
    </row>
    <row r="294" spans="1:14" x14ac:dyDescent="0.25">
      <c r="A294" s="189" t="s">
        <v>546</v>
      </c>
      <c r="B294" s="189" t="s">
        <v>92</v>
      </c>
      <c r="C294" s="189" t="s">
        <v>93</v>
      </c>
      <c r="D294" s="189" t="s">
        <v>541</v>
      </c>
      <c r="E294" s="182">
        <v>69224041000</v>
      </c>
      <c r="F294" s="182">
        <v>69224041000</v>
      </c>
      <c r="G294" s="182">
        <v>67408558314</v>
      </c>
      <c r="H294" s="182">
        <v>0</v>
      </c>
      <c r="I294" s="182">
        <v>3654511391</v>
      </c>
      <c r="J294" s="182">
        <v>0</v>
      </c>
      <c r="K294" s="191">
        <v>42381690197.019997</v>
      </c>
      <c r="L294" s="182">
        <v>42381690197.019997</v>
      </c>
      <c r="M294" s="182">
        <v>23187839411.98</v>
      </c>
      <c r="N294" s="182">
        <v>21372356725.98</v>
      </c>
    </row>
    <row r="295" spans="1:14" x14ac:dyDescent="0.25">
      <c r="A295" s="189" t="s">
        <v>546</v>
      </c>
      <c r="B295" s="189" t="s">
        <v>94</v>
      </c>
      <c r="C295" s="189" t="s">
        <v>95</v>
      </c>
      <c r="D295" s="189" t="s">
        <v>541</v>
      </c>
      <c r="E295" s="182">
        <v>25618223000</v>
      </c>
      <c r="F295" s="182">
        <v>25618223000</v>
      </c>
      <c r="G295" s="182">
        <v>24639223000</v>
      </c>
      <c r="H295" s="182">
        <v>0</v>
      </c>
      <c r="I295" s="182">
        <v>0</v>
      </c>
      <c r="J295" s="182">
        <v>0</v>
      </c>
      <c r="K295" s="191">
        <v>15838682416.82</v>
      </c>
      <c r="L295" s="182">
        <v>15838682416.82</v>
      </c>
      <c r="M295" s="182">
        <v>9779540583.1800003</v>
      </c>
      <c r="N295" s="182">
        <v>8800540583.1800003</v>
      </c>
    </row>
    <row r="296" spans="1:14" x14ac:dyDescent="0.25">
      <c r="A296" s="189" t="s">
        <v>546</v>
      </c>
      <c r="B296" s="189" t="s">
        <v>96</v>
      </c>
      <c r="C296" s="189" t="s">
        <v>97</v>
      </c>
      <c r="D296" s="189" t="s">
        <v>541</v>
      </c>
      <c r="E296" s="182">
        <v>25601107000</v>
      </c>
      <c r="F296" s="182">
        <v>25601107000</v>
      </c>
      <c r="G296" s="182">
        <v>24622107000</v>
      </c>
      <c r="H296" s="182">
        <v>0</v>
      </c>
      <c r="I296" s="182">
        <v>0</v>
      </c>
      <c r="J296" s="182">
        <v>0</v>
      </c>
      <c r="K296" s="191">
        <v>15823410616.82</v>
      </c>
      <c r="L296" s="182">
        <v>15823410616.82</v>
      </c>
      <c r="M296" s="182">
        <v>9777696383.1800003</v>
      </c>
      <c r="N296" s="182">
        <v>8798696383.1800003</v>
      </c>
    </row>
    <row r="297" spans="1:14" x14ac:dyDescent="0.25">
      <c r="A297" s="189" t="s">
        <v>546</v>
      </c>
      <c r="B297" s="189" t="s">
        <v>346</v>
      </c>
      <c r="C297" s="189" t="s">
        <v>347</v>
      </c>
      <c r="D297" s="189" t="s">
        <v>541</v>
      </c>
      <c r="E297" s="182">
        <v>17116000</v>
      </c>
      <c r="F297" s="182">
        <v>17116000</v>
      </c>
      <c r="G297" s="182">
        <v>17116000</v>
      </c>
      <c r="H297" s="182">
        <v>0</v>
      </c>
      <c r="I297" s="182">
        <v>0</v>
      </c>
      <c r="J297" s="182">
        <v>0</v>
      </c>
      <c r="K297" s="191">
        <v>15271800</v>
      </c>
      <c r="L297" s="182">
        <v>15271800</v>
      </c>
      <c r="M297" s="182">
        <v>1844200</v>
      </c>
      <c r="N297" s="182">
        <v>1844200</v>
      </c>
    </row>
    <row r="298" spans="1:14" x14ac:dyDescent="0.25">
      <c r="A298" s="189" t="s">
        <v>546</v>
      </c>
      <c r="B298" s="189" t="s">
        <v>98</v>
      </c>
      <c r="C298" s="189" t="s">
        <v>99</v>
      </c>
      <c r="D298" s="189" t="s">
        <v>541</v>
      </c>
      <c r="E298" s="182">
        <v>3406791000</v>
      </c>
      <c r="F298" s="182">
        <v>3606791000</v>
      </c>
      <c r="G298" s="182">
        <v>3456791000</v>
      </c>
      <c r="H298" s="182">
        <v>0</v>
      </c>
      <c r="I298" s="182">
        <v>0</v>
      </c>
      <c r="J298" s="182">
        <v>0</v>
      </c>
      <c r="K298" s="191">
        <v>2409624841.52</v>
      </c>
      <c r="L298" s="182">
        <v>2409624841.52</v>
      </c>
      <c r="M298" s="182">
        <v>1197166158.48</v>
      </c>
      <c r="N298" s="182">
        <v>1047166158.48</v>
      </c>
    </row>
    <row r="299" spans="1:14" x14ac:dyDescent="0.25">
      <c r="A299" s="189" t="s">
        <v>546</v>
      </c>
      <c r="B299" s="189" t="s">
        <v>100</v>
      </c>
      <c r="C299" s="189" t="s">
        <v>101</v>
      </c>
      <c r="D299" s="189" t="s">
        <v>541</v>
      </c>
      <c r="E299" s="182">
        <v>8000000</v>
      </c>
      <c r="F299" s="182">
        <v>8000000</v>
      </c>
      <c r="G299" s="182">
        <v>8000000</v>
      </c>
      <c r="H299" s="182">
        <v>0</v>
      </c>
      <c r="I299" s="182">
        <v>0</v>
      </c>
      <c r="J299" s="182">
        <v>0</v>
      </c>
      <c r="K299" s="191">
        <v>3795422.08</v>
      </c>
      <c r="L299" s="182">
        <v>3795422.08</v>
      </c>
      <c r="M299" s="182">
        <v>4204577.92</v>
      </c>
      <c r="N299" s="182">
        <v>4204577.92</v>
      </c>
    </row>
    <row r="300" spans="1:14" x14ac:dyDescent="0.25">
      <c r="A300" s="189" t="s">
        <v>546</v>
      </c>
      <c r="B300" s="189" t="s">
        <v>348</v>
      </c>
      <c r="C300" s="189" t="s">
        <v>349</v>
      </c>
      <c r="D300" s="189" t="s">
        <v>541</v>
      </c>
      <c r="E300" s="182">
        <v>24994000</v>
      </c>
      <c r="F300" s="182">
        <v>24994000</v>
      </c>
      <c r="G300" s="182">
        <v>24994000</v>
      </c>
      <c r="H300" s="182">
        <v>0</v>
      </c>
      <c r="I300" s="182">
        <v>0</v>
      </c>
      <c r="J300" s="182">
        <v>0</v>
      </c>
      <c r="K300" s="191">
        <v>4134297</v>
      </c>
      <c r="L300" s="182">
        <v>4134297</v>
      </c>
      <c r="M300" s="182">
        <v>20859703</v>
      </c>
      <c r="N300" s="182">
        <v>20859703</v>
      </c>
    </row>
    <row r="301" spans="1:14" x14ac:dyDescent="0.25">
      <c r="A301" s="189" t="s">
        <v>546</v>
      </c>
      <c r="B301" s="189" t="s">
        <v>350</v>
      </c>
      <c r="C301" s="189" t="s">
        <v>351</v>
      </c>
      <c r="D301" s="189" t="s">
        <v>541</v>
      </c>
      <c r="E301" s="182">
        <v>3373797000</v>
      </c>
      <c r="F301" s="182">
        <v>3573797000</v>
      </c>
      <c r="G301" s="182">
        <v>3423797000</v>
      </c>
      <c r="H301" s="182">
        <v>0</v>
      </c>
      <c r="I301" s="182">
        <v>0</v>
      </c>
      <c r="J301" s="182">
        <v>0</v>
      </c>
      <c r="K301" s="191">
        <v>2401695122.4400001</v>
      </c>
      <c r="L301" s="182">
        <v>2401695122.4400001</v>
      </c>
      <c r="M301" s="182">
        <v>1172101877.5599999</v>
      </c>
      <c r="N301" s="182">
        <v>1022101877.5599999</v>
      </c>
    </row>
    <row r="302" spans="1:14" x14ac:dyDescent="0.25">
      <c r="A302" s="189" t="s">
        <v>546</v>
      </c>
      <c r="B302" s="189" t="s">
        <v>102</v>
      </c>
      <c r="C302" s="189" t="s">
        <v>103</v>
      </c>
      <c r="D302" s="189" t="s">
        <v>541</v>
      </c>
      <c r="E302" s="182">
        <v>29694590000</v>
      </c>
      <c r="F302" s="182">
        <v>29494590000</v>
      </c>
      <c r="G302" s="182">
        <v>28808107314</v>
      </c>
      <c r="H302" s="182">
        <v>0</v>
      </c>
      <c r="I302" s="182">
        <v>0</v>
      </c>
      <c r="J302" s="182">
        <v>0</v>
      </c>
      <c r="K302" s="191">
        <v>17283457329.68</v>
      </c>
      <c r="L302" s="182">
        <v>17283457329.68</v>
      </c>
      <c r="M302" s="182">
        <v>12211132670.32</v>
      </c>
      <c r="N302" s="182">
        <v>11524649984.32</v>
      </c>
    </row>
    <row r="303" spans="1:14" x14ac:dyDescent="0.25">
      <c r="A303" s="189" t="s">
        <v>546</v>
      </c>
      <c r="B303" s="189" t="s">
        <v>104</v>
      </c>
      <c r="C303" s="189" t="s">
        <v>105</v>
      </c>
      <c r="D303" s="189" t="s">
        <v>541</v>
      </c>
      <c r="E303" s="182">
        <v>9856906000</v>
      </c>
      <c r="F303" s="182">
        <v>9656906000</v>
      </c>
      <c r="G303" s="182">
        <v>9276906000</v>
      </c>
      <c r="H303" s="182">
        <v>0</v>
      </c>
      <c r="I303" s="182">
        <v>0</v>
      </c>
      <c r="J303" s="182">
        <v>0</v>
      </c>
      <c r="K303" s="191">
        <v>6248659690.3800001</v>
      </c>
      <c r="L303" s="182">
        <v>6248659690.3800001</v>
      </c>
      <c r="M303" s="182">
        <v>3408246309.6199999</v>
      </c>
      <c r="N303" s="182">
        <v>3028246309.6199999</v>
      </c>
    </row>
    <row r="304" spans="1:14" x14ac:dyDescent="0.25">
      <c r="A304" s="189" t="s">
        <v>546</v>
      </c>
      <c r="B304" s="189" t="s">
        <v>106</v>
      </c>
      <c r="C304" s="189" t="s">
        <v>107</v>
      </c>
      <c r="D304" s="189" t="s">
        <v>541</v>
      </c>
      <c r="E304" s="182">
        <v>3637068000</v>
      </c>
      <c r="F304" s="182">
        <v>3637068000</v>
      </c>
      <c r="G304" s="182">
        <v>3507068000</v>
      </c>
      <c r="H304" s="182">
        <v>0</v>
      </c>
      <c r="I304" s="182">
        <v>0</v>
      </c>
      <c r="J304" s="182">
        <v>0</v>
      </c>
      <c r="K304" s="191">
        <v>2162923974.9000001</v>
      </c>
      <c r="L304" s="182">
        <v>2162923974.9000001</v>
      </c>
      <c r="M304" s="182">
        <v>1474144025.0999999</v>
      </c>
      <c r="N304" s="182">
        <v>1344144025.0999999</v>
      </c>
    </row>
    <row r="305" spans="1:14" x14ac:dyDescent="0.25">
      <c r="A305" s="189" t="s">
        <v>546</v>
      </c>
      <c r="B305" s="189" t="s">
        <v>112</v>
      </c>
      <c r="C305" s="189" t="s">
        <v>113</v>
      </c>
      <c r="D305" s="189" t="s">
        <v>543</v>
      </c>
      <c r="E305" s="182">
        <v>4378933000</v>
      </c>
      <c r="F305" s="182">
        <v>4378933000</v>
      </c>
      <c r="G305" s="182">
        <v>4378933000</v>
      </c>
      <c r="H305" s="182">
        <v>0</v>
      </c>
      <c r="I305" s="182">
        <v>0</v>
      </c>
      <c r="J305" s="182">
        <v>0</v>
      </c>
      <c r="K305" s="191">
        <v>5905251.9100000001</v>
      </c>
      <c r="L305" s="182">
        <v>5905251.9100000001</v>
      </c>
      <c r="M305" s="182">
        <v>4373027748.0900002</v>
      </c>
      <c r="N305" s="182">
        <v>4373027748.0900002</v>
      </c>
    </row>
    <row r="306" spans="1:14" x14ac:dyDescent="0.25">
      <c r="A306" s="189" t="s">
        <v>546</v>
      </c>
      <c r="B306" s="189" t="s">
        <v>108</v>
      </c>
      <c r="C306" s="189" t="s">
        <v>109</v>
      </c>
      <c r="D306" s="189" t="s">
        <v>541</v>
      </c>
      <c r="E306" s="182">
        <v>3859929000</v>
      </c>
      <c r="F306" s="182">
        <v>3859929000</v>
      </c>
      <c r="G306" s="182">
        <v>3859929000</v>
      </c>
      <c r="H306" s="182">
        <v>0</v>
      </c>
      <c r="I306" s="182">
        <v>0</v>
      </c>
      <c r="J306" s="182">
        <v>0</v>
      </c>
      <c r="K306" s="191">
        <v>3841030837.3800001</v>
      </c>
      <c r="L306" s="182">
        <v>3841030837.3800001</v>
      </c>
      <c r="M306" s="182">
        <v>18898162.620000001</v>
      </c>
      <c r="N306" s="182">
        <v>18898162.620000001</v>
      </c>
    </row>
    <row r="307" spans="1:14" x14ac:dyDescent="0.25">
      <c r="A307" s="189" t="s">
        <v>546</v>
      </c>
      <c r="B307" s="189" t="s">
        <v>110</v>
      </c>
      <c r="C307" s="189" t="s">
        <v>111</v>
      </c>
      <c r="D307" s="189" t="s">
        <v>541</v>
      </c>
      <c r="E307" s="182">
        <v>7961754000</v>
      </c>
      <c r="F307" s="182">
        <v>7961754000</v>
      </c>
      <c r="G307" s="182">
        <v>7785271314</v>
      </c>
      <c r="H307" s="182">
        <v>0</v>
      </c>
      <c r="I307" s="182">
        <v>0</v>
      </c>
      <c r="J307" s="182">
        <v>0</v>
      </c>
      <c r="K307" s="191">
        <v>5024937575.1099997</v>
      </c>
      <c r="L307" s="182">
        <v>5024937575.1099997</v>
      </c>
      <c r="M307" s="182">
        <v>2936816424.8899999</v>
      </c>
      <c r="N307" s="182">
        <v>2760333738.8899999</v>
      </c>
    </row>
    <row r="308" spans="1:14" x14ac:dyDescent="0.25">
      <c r="A308" s="189" t="s">
        <v>546</v>
      </c>
      <c r="B308" s="189" t="s">
        <v>114</v>
      </c>
      <c r="C308" s="189" t="s">
        <v>115</v>
      </c>
      <c r="D308" s="189" t="s">
        <v>541</v>
      </c>
      <c r="E308" s="182">
        <v>5298410000</v>
      </c>
      <c r="F308" s="182">
        <v>5298410000</v>
      </c>
      <c r="G308" s="182">
        <v>5298410000</v>
      </c>
      <c r="H308" s="182">
        <v>0</v>
      </c>
      <c r="I308" s="182">
        <v>1842560523</v>
      </c>
      <c r="J308" s="182">
        <v>0</v>
      </c>
      <c r="K308" s="191">
        <v>3455849477</v>
      </c>
      <c r="L308" s="182">
        <v>3455849477</v>
      </c>
      <c r="M308" s="182">
        <v>0</v>
      </c>
      <c r="N308" s="182">
        <v>0</v>
      </c>
    </row>
    <row r="309" spans="1:14" x14ac:dyDescent="0.25">
      <c r="A309" s="189" t="s">
        <v>546</v>
      </c>
      <c r="B309" s="189" t="s">
        <v>352</v>
      </c>
      <c r="C309" s="189" t="s">
        <v>597</v>
      </c>
      <c r="D309" s="189" t="s">
        <v>541</v>
      </c>
      <c r="E309" s="182">
        <v>5026697000</v>
      </c>
      <c r="F309" s="182">
        <v>5026697000</v>
      </c>
      <c r="G309" s="182">
        <v>5026697000</v>
      </c>
      <c r="H309" s="182">
        <v>0</v>
      </c>
      <c r="I309" s="182">
        <v>1748039370</v>
      </c>
      <c r="J309" s="182">
        <v>0</v>
      </c>
      <c r="K309" s="191">
        <v>3278657630</v>
      </c>
      <c r="L309" s="182">
        <v>3278657630</v>
      </c>
      <c r="M309" s="182">
        <v>0</v>
      </c>
      <c r="N309" s="182">
        <v>0</v>
      </c>
    </row>
    <row r="310" spans="1:14" x14ac:dyDescent="0.25">
      <c r="A310" s="189" t="s">
        <v>546</v>
      </c>
      <c r="B310" s="189" t="s">
        <v>353</v>
      </c>
      <c r="C310" s="189" t="s">
        <v>583</v>
      </c>
      <c r="D310" s="189" t="s">
        <v>541</v>
      </c>
      <c r="E310" s="182">
        <v>271713000</v>
      </c>
      <c r="F310" s="182">
        <v>271713000</v>
      </c>
      <c r="G310" s="182">
        <v>271713000</v>
      </c>
      <c r="H310" s="182">
        <v>0</v>
      </c>
      <c r="I310" s="182">
        <v>94521153</v>
      </c>
      <c r="J310" s="182">
        <v>0</v>
      </c>
      <c r="K310" s="191">
        <v>177191847</v>
      </c>
      <c r="L310" s="182">
        <v>177191847</v>
      </c>
      <c r="M310" s="182">
        <v>0</v>
      </c>
      <c r="N310" s="182">
        <v>0</v>
      </c>
    </row>
    <row r="311" spans="1:14" x14ac:dyDescent="0.25">
      <c r="A311" s="189" t="s">
        <v>546</v>
      </c>
      <c r="B311" s="189" t="s">
        <v>118</v>
      </c>
      <c r="C311" s="189" t="s">
        <v>119</v>
      </c>
      <c r="D311" s="189" t="s">
        <v>541</v>
      </c>
      <c r="E311" s="182">
        <v>5206027000</v>
      </c>
      <c r="F311" s="182">
        <v>5206027000</v>
      </c>
      <c r="G311" s="182">
        <v>5206027000</v>
      </c>
      <c r="H311" s="182">
        <v>0</v>
      </c>
      <c r="I311" s="182">
        <v>1811950868</v>
      </c>
      <c r="J311" s="182">
        <v>0</v>
      </c>
      <c r="K311" s="191">
        <v>3394076132</v>
      </c>
      <c r="L311" s="182">
        <v>3394076132</v>
      </c>
      <c r="M311" s="182">
        <v>0</v>
      </c>
      <c r="N311" s="182">
        <v>0</v>
      </c>
    </row>
    <row r="312" spans="1:14" x14ac:dyDescent="0.25">
      <c r="A312" s="189" t="s">
        <v>546</v>
      </c>
      <c r="B312" s="189" t="s">
        <v>354</v>
      </c>
      <c r="C312" s="189" t="s">
        <v>598</v>
      </c>
      <c r="D312" s="189" t="s">
        <v>541</v>
      </c>
      <c r="E312" s="182">
        <v>2760607000</v>
      </c>
      <c r="F312" s="182">
        <v>2760607000</v>
      </c>
      <c r="G312" s="182">
        <v>2760607000</v>
      </c>
      <c r="H312" s="182">
        <v>0</v>
      </c>
      <c r="I312" s="182">
        <v>961260457</v>
      </c>
      <c r="J312" s="182">
        <v>0</v>
      </c>
      <c r="K312" s="191">
        <v>1799346543</v>
      </c>
      <c r="L312" s="182">
        <v>1799346543</v>
      </c>
      <c r="M312" s="182">
        <v>0</v>
      </c>
      <c r="N312" s="182">
        <v>0</v>
      </c>
    </row>
    <row r="313" spans="1:14" x14ac:dyDescent="0.25">
      <c r="A313" s="189" t="s">
        <v>546</v>
      </c>
      <c r="B313" s="189" t="s">
        <v>355</v>
      </c>
      <c r="C313" s="189" t="s">
        <v>599</v>
      </c>
      <c r="D313" s="189" t="s">
        <v>541</v>
      </c>
      <c r="E313" s="182">
        <v>815140000</v>
      </c>
      <c r="F313" s="182">
        <v>815140000</v>
      </c>
      <c r="G313" s="182">
        <v>815140000</v>
      </c>
      <c r="H313" s="182">
        <v>0</v>
      </c>
      <c r="I313" s="182">
        <v>283562886</v>
      </c>
      <c r="J313" s="182">
        <v>0</v>
      </c>
      <c r="K313" s="191">
        <v>531577114</v>
      </c>
      <c r="L313" s="182">
        <v>531577114</v>
      </c>
      <c r="M313" s="182">
        <v>0</v>
      </c>
      <c r="N313" s="182">
        <v>0</v>
      </c>
    </row>
    <row r="314" spans="1:14" x14ac:dyDescent="0.25">
      <c r="A314" s="189" t="s">
        <v>546</v>
      </c>
      <c r="B314" s="189" t="s">
        <v>356</v>
      </c>
      <c r="C314" s="189" t="s">
        <v>600</v>
      </c>
      <c r="D314" s="189" t="s">
        <v>541</v>
      </c>
      <c r="E314" s="182">
        <v>1630280000</v>
      </c>
      <c r="F314" s="182">
        <v>1630280000</v>
      </c>
      <c r="G314" s="182">
        <v>1630280000</v>
      </c>
      <c r="H314" s="182">
        <v>0</v>
      </c>
      <c r="I314" s="182">
        <v>567127525</v>
      </c>
      <c r="J314" s="182">
        <v>0</v>
      </c>
      <c r="K314" s="191">
        <v>1063152475</v>
      </c>
      <c r="L314" s="182">
        <v>1063152475</v>
      </c>
      <c r="M314" s="182">
        <v>0</v>
      </c>
      <c r="N314" s="182">
        <v>0</v>
      </c>
    </row>
    <row r="315" spans="1:14" x14ac:dyDescent="0.25">
      <c r="A315" s="189" t="s">
        <v>546</v>
      </c>
      <c r="B315" s="189" t="s">
        <v>123</v>
      </c>
      <c r="C315" s="189" t="s">
        <v>124</v>
      </c>
      <c r="D315" s="189" t="s">
        <v>541</v>
      </c>
      <c r="E315" s="182">
        <v>9869454182</v>
      </c>
      <c r="F315" s="182">
        <v>13869454182</v>
      </c>
      <c r="G315" s="182">
        <v>12162622810.4</v>
      </c>
      <c r="H315" s="182">
        <v>47929015.289999999</v>
      </c>
      <c r="I315" s="182">
        <v>2252177498.73</v>
      </c>
      <c r="J315" s="182">
        <v>598500</v>
      </c>
      <c r="K315" s="191">
        <v>7001898631.6000004</v>
      </c>
      <c r="L315" s="182">
        <v>6843982179.1599998</v>
      </c>
      <c r="M315" s="182">
        <v>4566850536.3800001</v>
      </c>
      <c r="N315" s="182">
        <v>2860019164.7800002</v>
      </c>
    </row>
    <row r="316" spans="1:14" x14ac:dyDescent="0.25">
      <c r="A316" s="189" t="s">
        <v>546</v>
      </c>
      <c r="B316" s="189" t="s">
        <v>125</v>
      </c>
      <c r="C316" s="189" t="s">
        <v>126</v>
      </c>
      <c r="D316" s="189" t="s">
        <v>541</v>
      </c>
      <c r="E316" s="182">
        <v>3181468559</v>
      </c>
      <c r="F316" s="182">
        <v>7181468559</v>
      </c>
      <c r="G316" s="182">
        <v>6433040431.8999996</v>
      </c>
      <c r="H316" s="182">
        <v>47081815.289999999</v>
      </c>
      <c r="I316" s="182">
        <v>468322650.12</v>
      </c>
      <c r="J316" s="182">
        <v>0</v>
      </c>
      <c r="K316" s="191">
        <v>3698358582.6900001</v>
      </c>
      <c r="L316" s="182">
        <v>3590555273.6199999</v>
      </c>
      <c r="M316" s="182">
        <v>2967705510.9000001</v>
      </c>
      <c r="N316" s="182">
        <v>2219277383.8000002</v>
      </c>
    </row>
    <row r="317" spans="1:14" x14ac:dyDescent="0.25">
      <c r="A317" s="189" t="s">
        <v>546</v>
      </c>
      <c r="B317" s="189" t="s">
        <v>306</v>
      </c>
      <c r="C317" s="189" t="s">
        <v>307</v>
      </c>
      <c r="D317" s="189" t="s">
        <v>541</v>
      </c>
      <c r="E317" s="182">
        <v>431740903</v>
      </c>
      <c r="F317" s="182">
        <v>431740903</v>
      </c>
      <c r="G317" s="182">
        <v>315870451.80000001</v>
      </c>
      <c r="H317" s="182">
        <v>70000</v>
      </c>
      <c r="I317" s="182">
        <v>3693568</v>
      </c>
      <c r="J317" s="182">
        <v>0</v>
      </c>
      <c r="K317" s="191">
        <v>211948722.06999999</v>
      </c>
      <c r="L317" s="182">
        <v>211948722.06999999</v>
      </c>
      <c r="M317" s="182">
        <v>216028612.93000001</v>
      </c>
      <c r="N317" s="182">
        <v>100158161.73</v>
      </c>
    </row>
    <row r="318" spans="1:14" x14ac:dyDescent="0.25">
      <c r="A318" s="189" t="s">
        <v>546</v>
      </c>
      <c r="B318" s="189" t="s">
        <v>127</v>
      </c>
      <c r="C318" s="189" t="s">
        <v>128</v>
      </c>
      <c r="D318" s="189" t="s">
        <v>541</v>
      </c>
      <c r="E318" s="182">
        <v>719138329</v>
      </c>
      <c r="F318" s="182">
        <v>719138329</v>
      </c>
      <c r="G318" s="182">
        <v>719138328.29999995</v>
      </c>
      <c r="H318" s="182">
        <v>0</v>
      </c>
      <c r="I318" s="182">
        <v>81918523.920000002</v>
      </c>
      <c r="J318" s="182">
        <v>0</v>
      </c>
      <c r="K318" s="191">
        <v>423755660.02999997</v>
      </c>
      <c r="L318" s="182">
        <v>320177186.56999999</v>
      </c>
      <c r="M318" s="182">
        <v>213464145.05000001</v>
      </c>
      <c r="N318" s="182">
        <v>213464144.34999999</v>
      </c>
    </row>
    <row r="319" spans="1:14" x14ac:dyDescent="0.25">
      <c r="A319" s="189" t="s">
        <v>546</v>
      </c>
      <c r="B319" s="189" t="s">
        <v>322</v>
      </c>
      <c r="C319" s="189" t="s">
        <v>323</v>
      </c>
      <c r="D319" s="189" t="s">
        <v>541</v>
      </c>
      <c r="E319" s="182">
        <v>23472000</v>
      </c>
      <c r="F319" s="182">
        <v>23472000</v>
      </c>
      <c r="G319" s="182">
        <v>23472000</v>
      </c>
      <c r="H319" s="182">
        <v>0</v>
      </c>
      <c r="I319" s="182">
        <v>217312.67</v>
      </c>
      <c r="J319" s="182">
        <v>0</v>
      </c>
      <c r="K319" s="191">
        <v>8264455.79</v>
      </c>
      <c r="L319" s="182">
        <v>5006080.67</v>
      </c>
      <c r="M319" s="182">
        <v>14990231.539999999</v>
      </c>
      <c r="N319" s="182">
        <v>14990231.539999999</v>
      </c>
    </row>
    <row r="320" spans="1:14" x14ac:dyDescent="0.25">
      <c r="A320" s="189" t="s">
        <v>546</v>
      </c>
      <c r="B320" s="189" t="s">
        <v>129</v>
      </c>
      <c r="C320" s="189" t="s">
        <v>130</v>
      </c>
      <c r="D320" s="189" t="s">
        <v>541</v>
      </c>
      <c r="E320" s="182">
        <v>2007117327</v>
      </c>
      <c r="F320" s="182">
        <v>2007117327</v>
      </c>
      <c r="G320" s="182">
        <v>1374559651.8</v>
      </c>
      <c r="H320" s="182">
        <v>47011815.289999999</v>
      </c>
      <c r="I320" s="182">
        <v>382493245.52999997</v>
      </c>
      <c r="J320" s="182">
        <v>0</v>
      </c>
      <c r="K320" s="191">
        <v>389566967.80000001</v>
      </c>
      <c r="L320" s="182">
        <v>388600507.31</v>
      </c>
      <c r="M320" s="182">
        <v>1188045298.3800001</v>
      </c>
      <c r="N320" s="182">
        <v>555487623.17999995</v>
      </c>
    </row>
    <row r="321" spans="1:14" x14ac:dyDescent="0.25">
      <c r="A321" s="189" t="s">
        <v>546</v>
      </c>
      <c r="B321" s="189" t="s">
        <v>129</v>
      </c>
      <c r="C321" s="189" t="s">
        <v>130</v>
      </c>
      <c r="D321" s="189" t="s">
        <v>543</v>
      </c>
      <c r="E321" s="182">
        <v>0</v>
      </c>
      <c r="F321" s="182">
        <v>4000000000</v>
      </c>
      <c r="G321" s="182">
        <v>4000000000</v>
      </c>
      <c r="H321" s="182">
        <v>0</v>
      </c>
      <c r="I321" s="182">
        <v>0</v>
      </c>
      <c r="J321" s="182">
        <v>0</v>
      </c>
      <c r="K321" s="191">
        <v>2664822777</v>
      </c>
      <c r="L321" s="182">
        <v>2664822777</v>
      </c>
      <c r="M321" s="182">
        <v>1335177223</v>
      </c>
      <c r="N321" s="182">
        <v>1335177223</v>
      </c>
    </row>
    <row r="322" spans="1:14" x14ac:dyDescent="0.25">
      <c r="A322" s="189" t="s">
        <v>546</v>
      </c>
      <c r="B322" s="189" t="s">
        <v>131</v>
      </c>
      <c r="C322" s="189" t="s">
        <v>132</v>
      </c>
      <c r="D322" s="189" t="s">
        <v>541</v>
      </c>
      <c r="E322" s="182">
        <v>4328674526</v>
      </c>
      <c r="F322" s="182">
        <v>4329984526</v>
      </c>
      <c r="G322" s="182">
        <v>4141677274.5</v>
      </c>
      <c r="H322" s="182">
        <v>0</v>
      </c>
      <c r="I322" s="182">
        <v>1197404760.53</v>
      </c>
      <c r="J322" s="182">
        <v>0</v>
      </c>
      <c r="K322" s="191">
        <v>2809612759.9499998</v>
      </c>
      <c r="L322" s="182">
        <v>2781811208.3699999</v>
      </c>
      <c r="M322" s="182">
        <v>322967005.51999998</v>
      </c>
      <c r="N322" s="182">
        <v>134659754.02000001</v>
      </c>
    </row>
    <row r="323" spans="1:14" x14ac:dyDescent="0.25">
      <c r="A323" s="189" t="s">
        <v>546</v>
      </c>
      <c r="B323" s="189" t="s">
        <v>133</v>
      </c>
      <c r="C323" s="189" t="s">
        <v>134</v>
      </c>
      <c r="D323" s="189" t="s">
        <v>541</v>
      </c>
      <c r="E323" s="182">
        <v>2503011786</v>
      </c>
      <c r="F323" s="182">
        <v>2503011786</v>
      </c>
      <c r="G323" s="182">
        <v>2503011785.5</v>
      </c>
      <c r="H323" s="182">
        <v>0</v>
      </c>
      <c r="I323" s="182">
        <v>931925578.13</v>
      </c>
      <c r="J323" s="182">
        <v>0</v>
      </c>
      <c r="K323" s="191">
        <v>1571086207.3699999</v>
      </c>
      <c r="L323" s="182">
        <v>1570382044.8800001</v>
      </c>
      <c r="M323" s="182">
        <v>0.5</v>
      </c>
      <c r="N323" s="182">
        <v>0</v>
      </c>
    </row>
    <row r="324" spans="1:14" x14ac:dyDescent="0.25">
      <c r="A324" s="189" t="s">
        <v>546</v>
      </c>
      <c r="B324" s="189" t="s">
        <v>135</v>
      </c>
      <c r="C324" s="189" t="s">
        <v>136</v>
      </c>
      <c r="D324" s="189" t="s">
        <v>541</v>
      </c>
      <c r="E324" s="182">
        <v>973642474</v>
      </c>
      <c r="F324" s="182">
        <v>973642474</v>
      </c>
      <c r="G324" s="182">
        <v>973642473.5</v>
      </c>
      <c r="H324" s="182">
        <v>0</v>
      </c>
      <c r="I324" s="182">
        <v>156296203.41999999</v>
      </c>
      <c r="J324" s="182">
        <v>0</v>
      </c>
      <c r="K324" s="191">
        <v>817346270.08000004</v>
      </c>
      <c r="L324" s="182">
        <v>817346270.08000004</v>
      </c>
      <c r="M324" s="182">
        <v>0.5</v>
      </c>
      <c r="N324" s="182">
        <v>0</v>
      </c>
    </row>
    <row r="325" spans="1:14" x14ac:dyDescent="0.25">
      <c r="A325" s="189" t="s">
        <v>546</v>
      </c>
      <c r="B325" s="189" t="s">
        <v>137</v>
      </c>
      <c r="C325" s="189" t="s">
        <v>138</v>
      </c>
      <c r="D325" s="189" t="s">
        <v>541</v>
      </c>
      <c r="E325" s="182">
        <v>3942858</v>
      </c>
      <c r="F325" s="182">
        <v>3942858</v>
      </c>
      <c r="G325" s="182">
        <v>3942857.5</v>
      </c>
      <c r="H325" s="182">
        <v>0</v>
      </c>
      <c r="I325" s="182">
        <v>2568022.5</v>
      </c>
      <c r="J325" s="182">
        <v>0</v>
      </c>
      <c r="K325" s="191">
        <v>935940</v>
      </c>
      <c r="L325" s="182">
        <v>935940</v>
      </c>
      <c r="M325" s="182">
        <v>438895.5</v>
      </c>
      <c r="N325" s="182">
        <v>438895</v>
      </c>
    </row>
    <row r="326" spans="1:14" x14ac:dyDescent="0.25">
      <c r="A326" s="189" t="s">
        <v>546</v>
      </c>
      <c r="B326" s="189" t="s">
        <v>139</v>
      </c>
      <c r="C326" s="189" t="s">
        <v>140</v>
      </c>
      <c r="D326" s="189" t="s">
        <v>541</v>
      </c>
      <c r="E326" s="182">
        <v>753229000</v>
      </c>
      <c r="F326" s="182">
        <v>753229000</v>
      </c>
      <c r="G326" s="182">
        <v>564921750</v>
      </c>
      <c r="H326" s="182">
        <v>0</v>
      </c>
      <c r="I326" s="182">
        <v>87018801.049999997</v>
      </c>
      <c r="J326" s="182">
        <v>0</v>
      </c>
      <c r="K326" s="191">
        <v>355720862.37</v>
      </c>
      <c r="L326" s="182">
        <v>330704223.27999997</v>
      </c>
      <c r="M326" s="182">
        <v>310489336.57999998</v>
      </c>
      <c r="N326" s="182">
        <v>122182086.58</v>
      </c>
    </row>
    <row r="327" spans="1:14" x14ac:dyDescent="0.25">
      <c r="A327" s="189" t="s">
        <v>546</v>
      </c>
      <c r="B327" s="189" t="s">
        <v>141</v>
      </c>
      <c r="C327" s="189" t="s">
        <v>142</v>
      </c>
      <c r="D327" s="189" t="s">
        <v>541</v>
      </c>
      <c r="E327" s="182">
        <v>94848408</v>
      </c>
      <c r="F327" s="182">
        <v>96158408</v>
      </c>
      <c r="G327" s="182">
        <v>96158408</v>
      </c>
      <c r="H327" s="182">
        <v>0</v>
      </c>
      <c r="I327" s="182">
        <v>19596155.43</v>
      </c>
      <c r="J327" s="182">
        <v>0</v>
      </c>
      <c r="K327" s="191">
        <v>64523480.130000003</v>
      </c>
      <c r="L327" s="182">
        <v>62442730.130000003</v>
      </c>
      <c r="M327" s="182">
        <v>12038772.439999999</v>
      </c>
      <c r="N327" s="182">
        <v>12038772.439999999</v>
      </c>
    </row>
    <row r="328" spans="1:14" x14ac:dyDescent="0.25">
      <c r="A328" s="189" t="s">
        <v>546</v>
      </c>
      <c r="B328" s="189" t="s">
        <v>143</v>
      </c>
      <c r="C328" s="189" t="s">
        <v>144</v>
      </c>
      <c r="D328" s="189" t="s">
        <v>541</v>
      </c>
      <c r="E328" s="182">
        <v>4451091</v>
      </c>
      <c r="F328" s="182">
        <v>3141091</v>
      </c>
      <c r="G328" s="182">
        <v>3141090.75</v>
      </c>
      <c r="H328" s="182">
        <v>0</v>
      </c>
      <c r="I328" s="182">
        <v>1173951.1200000001</v>
      </c>
      <c r="J328" s="182">
        <v>0</v>
      </c>
      <c r="K328" s="191">
        <v>951790</v>
      </c>
      <c r="L328" s="182">
        <v>951790</v>
      </c>
      <c r="M328" s="182">
        <v>1015349.88</v>
      </c>
      <c r="N328" s="182">
        <v>1015349.63</v>
      </c>
    </row>
    <row r="329" spans="1:14" x14ac:dyDescent="0.25">
      <c r="A329" s="189" t="s">
        <v>546</v>
      </c>
      <c r="B329" s="189" t="s">
        <v>145</v>
      </c>
      <c r="C329" s="189" t="s">
        <v>146</v>
      </c>
      <c r="D329" s="189" t="s">
        <v>541</v>
      </c>
      <c r="E329" s="182">
        <v>1831091</v>
      </c>
      <c r="F329" s="182">
        <v>1831091</v>
      </c>
      <c r="G329" s="182">
        <v>1831090.75</v>
      </c>
      <c r="H329" s="182">
        <v>0</v>
      </c>
      <c r="I329" s="182">
        <v>958311.12</v>
      </c>
      <c r="J329" s="182">
        <v>0</v>
      </c>
      <c r="K329" s="191">
        <v>871790</v>
      </c>
      <c r="L329" s="182">
        <v>871790</v>
      </c>
      <c r="M329" s="182">
        <v>989.88</v>
      </c>
      <c r="N329" s="182">
        <v>989.63</v>
      </c>
    </row>
    <row r="330" spans="1:14" x14ac:dyDescent="0.25">
      <c r="A330" s="189" t="s">
        <v>546</v>
      </c>
      <c r="B330" s="189" t="s">
        <v>147</v>
      </c>
      <c r="C330" s="189" t="s">
        <v>148</v>
      </c>
      <c r="D330" s="189" t="s">
        <v>541</v>
      </c>
      <c r="E330" s="182">
        <v>2620000</v>
      </c>
      <c r="F330" s="182">
        <v>1310000</v>
      </c>
      <c r="G330" s="182">
        <v>1310000</v>
      </c>
      <c r="H330" s="182">
        <v>0</v>
      </c>
      <c r="I330" s="182">
        <v>215640</v>
      </c>
      <c r="J330" s="182">
        <v>0</v>
      </c>
      <c r="K330" s="191">
        <v>80000</v>
      </c>
      <c r="L330" s="182">
        <v>80000</v>
      </c>
      <c r="M330" s="182">
        <v>1014360</v>
      </c>
      <c r="N330" s="182">
        <v>1014360</v>
      </c>
    </row>
    <row r="331" spans="1:14" x14ac:dyDescent="0.25">
      <c r="A331" s="189" t="s">
        <v>546</v>
      </c>
      <c r="B331" s="189" t="s">
        <v>151</v>
      </c>
      <c r="C331" s="189" t="s">
        <v>152</v>
      </c>
      <c r="D331" s="189" t="s">
        <v>541</v>
      </c>
      <c r="E331" s="182">
        <v>310063679</v>
      </c>
      <c r="F331" s="182">
        <v>304063679</v>
      </c>
      <c r="G331" s="182">
        <v>304063678.68000001</v>
      </c>
      <c r="H331" s="182">
        <v>0</v>
      </c>
      <c r="I331" s="182">
        <v>58722703.280000001</v>
      </c>
      <c r="J331" s="182">
        <v>0</v>
      </c>
      <c r="K331" s="191">
        <v>76317711.989999995</v>
      </c>
      <c r="L331" s="182">
        <v>76317711.989999995</v>
      </c>
      <c r="M331" s="182">
        <v>169023263.72999999</v>
      </c>
      <c r="N331" s="182">
        <v>169023263.41</v>
      </c>
    </row>
    <row r="332" spans="1:14" x14ac:dyDescent="0.25">
      <c r="A332" s="189" t="s">
        <v>546</v>
      </c>
      <c r="B332" s="189" t="s">
        <v>359</v>
      </c>
      <c r="C332" s="189" t="s">
        <v>605</v>
      </c>
      <c r="D332" s="189" t="s">
        <v>541</v>
      </c>
      <c r="E332" s="182">
        <v>21381819</v>
      </c>
      <c r="F332" s="182">
        <v>21381819</v>
      </c>
      <c r="G332" s="182">
        <v>21381818.75</v>
      </c>
      <c r="H332" s="182">
        <v>0</v>
      </c>
      <c r="I332" s="182">
        <v>14288264</v>
      </c>
      <c r="J332" s="182">
        <v>0</v>
      </c>
      <c r="K332" s="191">
        <v>7016088</v>
      </c>
      <c r="L332" s="182">
        <v>7016088</v>
      </c>
      <c r="M332" s="182">
        <v>77467</v>
      </c>
      <c r="N332" s="182">
        <v>77466.75</v>
      </c>
    </row>
    <row r="333" spans="1:14" x14ac:dyDescent="0.25">
      <c r="A333" s="189" t="s">
        <v>546</v>
      </c>
      <c r="B333" s="189" t="s">
        <v>330</v>
      </c>
      <c r="C333" s="189" t="s">
        <v>604</v>
      </c>
      <c r="D333" s="189" t="s">
        <v>541</v>
      </c>
      <c r="E333" s="182">
        <v>106119000</v>
      </c>
      <c r="F333" s="182">
        <v>106119000</v>
      </c>
      <c r="G333" s="182">
        <v>106119000</v>
      </c>
      <c r="H333" s="182">
        <v>0</v>
      </c>
      <c r="I333" s="182">
        <v>23422974.120000001</v>
      </c>
      <c r="J333" s="182">
        <v>0</v>
      </c>
      <c r="K333" s="191">
        <v>14797925</v>
      </c>
      <c r="L333" s="182">
        <v>14797925</v>
      </c>
      <c r="M333" s="182">
        <v>67898100.879999995</v>
      </c>
      <c r="N333" s="182">
        <v>67898100.879999995</v>
      </c>
    </row>
    <row r="334" spans="1:14" x14ac:dyDescent="0.25">
      <c r="A334" s="189" t="s">
        <v>546</v>
      </c>
      <c r="B334" s="189" t="s">
        <v>154</v>
      </c>
      <c r="C334" s="189" t="s">
        <v>155</v>
      </c>
      <c r="D334" s="189" t="s">
        <v>541</v>
      </c>
      <c r="E334" s="182">
        <v>126000000</v>
      </c>
      <c r="F334" s="182">
        <v>120000000</v>
      </c>
      <c r="G334" s="182">
        <v>120000000</v>
      </c>
      <c r="H334" s="182">
        <v>0</v>
      </c>
      <c r="I334" s="182">
        <v>18192035.09</v>
      </c>
      <c r="J334" s="182">
        <v>0</v>
      </c>
      <c r="K334" s="191">
        <v>44935165.090000004</v>
      </c>
      <c r="L334" s="182">
        <v>44935165.090000004</v>
      </c>
      <c r="M334" s="182">
        <v>56872799.82</v>
      </c>
      <c r="N334" s="182">
        <v>56872799.82</v>
      </c>
    </row>
    <row r="335" spans="1:14" x14ac:dyDescent="0.25">
      <c r="A335" s="189" t="s">
        <v>546</v>
      </c>
      <c r="B335" s="189" t="s">
        <v>156</v>
      </c>
      <c r="C335" s="189" t="s">
        <v>157</v>
      </c>
      <c r="D335" s="189" t="s">
        <v>541</v>
      </c>
      <c r="E335" s="182">
        <v>56562860</v>
      </c>
      <c r="F335" s="182">
        <v>56562860</v>
      </c>
      <c r="G335" s="182">
        <v>56562859.93</v>
      </c>
      <c r="H335" s="182">
        <v>0</v>
      </c>
      <c r="I335" s="182">
        <v>2819430.07</v>
      </c>
      <c r="J335" s="182">
        <v>0</v>
      </c>
      <c r="K335" s="191">
        <v>9568533.9000000004</v>
      </c>
      <c r="L335" s="182">
        <v>9568533.9000000004</v>
      </c>
      <c r="M335" s="182">
        <v>44174896.030000001</v>
      </c>
      <c r="N335" s="182">
        <v>44174895.960000001</v>
      </c>
    </row>
    <row r="336" spans="1:14" x14ac:dyDescent="0.25">
      <c r="A336" s="189" t="s">
        <v>546</v>
      </c>
      <c r="B336" s="189" t="s">
        <v>158</v>
      </c>
      <c r="C336" s="189" t="s">
        <v>159</v>
      </c>
      <c r="D336" s="189" t="s">
        <v>541</v>
      </c>
      <c r="E336" s="182">
        <v>128523280</v>
      </c>
      <c r="F336" s="182">
        <v>128523280</v>
      </c>
      <c r="G336" s="182">
        <v>102149794.02</v>
      </c>
      <c r="H336" s="182">
        <v>737200</v>
      </c>
      <c r="I336" s="182">
        <v>25111565</v>
      </c>
      <c r="J336" s="182">
        <v>0</v>
      </c>
      <c r="K336" s="191">
        <v>56747845</v>
      </c>
      <c r="L336" s="182">
        <v>56414555</v>
      </c>
      <c r="M336" s="182">
        <v>45926670</v>
      </c>
      <c r="N336" s="182">
        <v>19553184.02</v>
      </c>
    </row>
    <row r="337" spans="1:14" x14ac:dyDescent="0.25">
      <c r="A337" s="189" t="s">
        <v>546</v>
      </c>
      <c r="B337" s="189" t="s">
        <v>160</v>
      </c>
      <c r="C337" s="189" t="s">
        <v>161</v>
      </c>
      <c r="D337" s="189" t="s">
        <v>541</v>
      </c>
      <c r="E337" s="182">
        <v>4829000</v>
      </c>
      <c r="F337" s="182">
        <v>4829000</v>
      </c>
      <c r="G337" s="182">
        <v>4829000</v>
      </c>
      <c r="H337" s="182">
        <v>0</v>
      </c>
      <c r="I337" s="182">
        <v>891625</v>
      </c>
      <c r="J337" s="182">
        <v>0</v>
      </c>
      <c r="K337" s="191">
        <v>1835040</v>
      </c>
      <c r="L337" s="182">
        <v>1820700</v>
      </c>
      <c r="M337" s="182">
        <v>2102335</v>
      </c>
      <c r="N337" s="182">
        <v>2102335</v>
      </c>
    </row>
    <row r="338" spans="1:14" x14ac:dyDescent="0.25">
      <c r="A338" s="189" t="s">
        <v>546</v>
      </c>
      <c r="B338" s="189" t="s">
        <v>162</v>
      </c>
      <c r="C338" s="189" t="s">
        <v>163</v>
      </c>
      <c r="D338" s="189" t="s">
        <v>541</v>
      </c>
      <c r="E338" s="182">
        <v>119154137</v>
      </c>
      <c r="F338" s="182">
        <v>119154137</v>
      </c>
      <c r="G338" s="182">
        <v>92780651.269999996</v>
      </c>
      <c r="H338" s="182">
        <v>737200</v>
      </c>
      <c r="I338" s="182">
        <v>24219940</v>
      </c>
      <c r="J338" s="182">
        <v>0</v>
      </c>
      <c r="K338" s="191">
        <v>54912805</v>
      </c>
      <c r="L338" s="182">
        <v>54593855</v>
      </c>
      <c r="M338" s="182">
        <v>39284192</v>
      </c>
      <c r="N338" s="182">
        <v>12910706.27</v>
      </c>
    </row>
    <row r="339" spans="1:14" x14ac:dyDescent="0.25">
      <c r="A339" s="189" t="s">
        <v>546</v>
      </c>
      <c r="B339" s="189" t="s">
        <v>164</v>
      </c>
      <c r="C339" s="189" t="s">
        <v>165</v>
      </c>
      <c r="D339" s="189" t="s">
        <v>541</v>
      </c>
      <c r="E339" s="182">
        <v>2851000</v>
      </c>
      <c r="F339" s="182">
        <v>2851000</v>
      </c>
      <c r="G339" s="182">
        <v>2851000</v>
      </c>
      <c r="H339" s="182">
        <v>0</v>
      </c>
      <c r="I339" s="182">
        <v>0</v>
      </c>
      <c r="J339" s="182">
        <v>0</v>
      </c>
      <c r="K339" s="191">
        <v>0</v>
      </c>
      <c r="L339" s="182">
        <v>0</v>
      </c>
      <c r="M339" s="182">
        <v>2851000</v>
      </c>
      <c r="N339" s="182">
        <v>2851000</v>
      </c>
    </row>
    <row r="340" spans="1:14" x14ac:dyDescent="0.25">
      <c r="A340" s="189" t="s">
        <v>546</v>
      </c>
      <c r="B340" s="189" t="s">
        <v>166</v>
      </c>
      <c r="C340" s="189" t="s">
        <v>167</v>
      </c>
      <c r="D340" s="189" t="s">
        <v>541</v>
      </c>
      <c r="E340" s="182">
        <v>1689143</v>
      </c>
      <c r="F340" s="182">
        <v>1689143</v>
      </c>
      <c r="G340" s="182">
        <v>1689142.75</v>
      </c>
      <c r="H340" s="182">
        <v>0</v>
      </c>
      <c r="I340" s="182">
        <v>0</v>
      </c>
      <c r="J340" s="182">
        <v>0</v>
      </c>
      <c r="K340" s="191">
        <v>0</v>
      </c>
      <c r="L340" s="182">
        <v>0</v>
      </c>
      <c r="M340" s="182">
        <v>1689143</v>
      </c>
      <c r="N340" s="182">
        <v>1689142.75</v>
      </c>
    </row>
    <row r="341" spans="1:14" x14ac:dyDescent="0.25">
      <c r="A341" s="189" t="s">
        <v>546</v>
      </c>
      <c r="B341" s="189" t="s">
        <v>168</v>
      </c>
      <c r="C341" s="189" t="s">
        <v>169</v>
      </c>
      <c r="D341" s="189" t="s">
        <v>541</v>
      </c>
      <c r="E341" s="182">
        <v>1290997262</v>
      </c>
      <c r="F341" s="182">
        <v>1244459372.29</v>
      </c>
      <c r="G341" s="182">
        <v>507929108.79000002</v>
      </c>
      <c r="H341" s="182">
        <v>0</v>
      </c>
      <c r="I341" s="182">
        <v>355898853.39999998</v>
      </c>
      <c r="J341" s="182">
        <v>0</v>
      </c>
      <c r="K341" s="191">
        <v>112496187.59999999</v>
      </c>
      <c r="L341" s="182">
        <v>112496187.59999999</v>
      </c>
      <c r="M341" s="182">
        <v>776064331.28999996</v>
      </c>
      <c r="N341" s="182">
        <v>39534067.789999999</v>
      </c>
    </row>
    <row r="342" spans="1:14" x14ac:dyDescent="0.25">
      <c r="A342" s="189" t="s">
        <v>546</v>
      </c>
      <c r="B342" s="189" t="s">
        <v>170</v>
      </c>
      <c r="C342" s="189" t="s">
        <v>171</v>
      </c>
      <c r="D342" s="189" t="s">
        <v>541</v>
      </c>
      <c r="E342" s="182">
        <v>1290997262</v>
      </c>
      <c r="F342" s="182">
        <v>1244459372.29</v>
      </c>
      <c r="G342" s="182">
        <v>507929108.79000002</v>
      </c>
      <c r="H342" s="182">
        <v>0</v>
      </c>
      <c r="I342" s="182">
        <v>355898853.39999998</v>
      </c>
      <c r="J342" s="182">
        <v>0</v>
      </c>
      <c r="K342" s="191">
        <v>112496187.59999999</v>
      </c>
      <c r="L342" s="182">
        <v>112496187.59999999</v>
      </c>
      <c r="M342" s="182">
        <v>776064331.28999996</v>
      </c>
      <c r="N342" s="182">
        <v>39534067.789999999</v>
      </c>
    </row>
    <row r="343" spans="1:14" x14ac:dyDescent="0.25">
      <c r="A343" s="189" t="s">
        <v>546</v>
      </c>
      <c r="B343" s="189" t="s">
        <v>172</v>
      </c>
      <c r="C343" s="189" t="s">
        <v>173</v>
      </c>
      <c r="D343" s="189" t="s">
        <v>541</v>
      </c>
      <c r="E343" s="182">
        <v>1413715</v>
      </c>
      <c r="F343" s="182">
        <v>1413715</v>
      </c>
      <c r="G343" s="182">
        <v>1413714.75</v>
      </c>
      <c r="H343" s="182">
        <v>0</v>
      </c>
      <c r="I343" s="182">
        <v>670000</v>
      </c>
      <c r="J343" s="182">
        <v>0</v>
      </c>
      <c r="K343" s="191">
        <v>0</v>
      </c>
      <c r="L343" s="182">
        <v>0</v>
      </c>
      <c r="M343" s="182">
        <v>743715</v>
      </c>
      <c r="N343" s="182">
        <v>743714.75</v>
      </c>
    </row>
    <row r="344" spans="1:14" x14ac:dyDescent="0.25">
      <c r="A344" s="189" t="s">
        <v>546</v>
      </c>
      <c r="B344" s="189" t="s">
        <v>309</v>
      </c>
      <c r="C344" s="189" t="s">
        <v>310</v>
      </c>
      <c r="D344" s="189" t="s">
        <v>541</v>
      </c>
      <c r="E344" s="182">
        <v>1413715</v>
      </c>
      <c r="F344" s="182">
        <v>1413715</v>
      </c>
      <c r="G344" s="182">
        <v>1413714.75</v>
      </c>
      <c r="H344" s="182">
        <v>0</v>
      </c>
      <c r="I344" s="182">
        <v>670000</v>
      </c>
      <c r="J344" s="182">
        <v>0</v>
      </c>
      <c r="K344" s="191">
        <v>0</v>
      </c>
      <c r="L344" s="182">
        <v>0</v>
      </c>
      <c r="M344" s="182">
        <v>743715</v>
      </c>
      <c r="N344" s="182">
        <v>743714.75</v>
      </c>
    </row>
    <row r="345" spans="1:14" x14ac:dyDescent="0.25">
      <c r="A345" s="189" t="s">
        <v>546</v>
      </c>
      <c r="B345" s="189" t="s">
        <v>178</v>
      </c>
      <c r="C345" s="189" t="s">
        <v>179</v>
      </c>
      <c r="D345" s="189" t="s">
        <v>541</v>
      </c>
      <c r="E345" s="182">
        <v>594069615</v>
      </c>
      <c r="F345" s="182">
        <v>600069615</v>
      </c>
      <c r="G345" s="182">
        <v>600069614.54999995</v>
      </c>
      <c r="H345" s="182">
        <v>110000</v>
      </c>
      <c r="I345" s="182">
        <v>128928023.98999999</v>
      </c>
      <c r="J345" s="182">
        <v>598500</v>
      </c>
      <c r="K345" s="191">
        <v>240659368.44999999</v>
      </c>
      <c r="L345" s="182">
        <v>218698399.66</v>
      </c>
      <c r="M345" s="182">
        <v>229773722.56</v>
      </c>
      <c r="N345" s="182">
        <v>229773722.11000001</v>
      </c>
    </row>
    <row r="346" spans="1:14" x14ac:dyDescent="0.25">
      <c r="A346" s="189" t="s">
        <v>546</v>
      </c>
      <c r="B346" s="189" t="s">
        <v>180</v>
      </c>
      <c r="C346" s="189" t="s">
        <v>181</v>
      </c>
      <c r="D346" s="189" t="s">
        <v>541</v>
      </c>
      <c r="E346" s="182">
        <v>125656000</v>
      </c>
      <c r="F346" s="182">
        <v>125656000</v>
      </c>
      <c r="G346" s="182">
        <v>125656000</v>
      </c>
      <c r="H346" s="182">
        <v>110000</v>
      </c>
      <c r="I346" s="182">
        <v>0</v>
      </c>
      <c r="J346" s="182">
        <v>0</v>
      </c>
      <c r="K346" s="191">
        <v>13349017</v>
      </c>
      <c r="L346" s="182">
        <v>13349017</v>
      </c>
      <c r="M346" s="182">
        <v>112196983</v>
      </c>
      <c r="N346" s="182">
        <v>112196983</v>
      </c>
    </row>
    <row r="347" spans="1:14" x14ac:dyDescent="0.25">
      <c r="A347" s="189" t="s">
        <v>546</v>
      </c>
      <c r="B347" s="189" t="s">
        <v>332</v>
      </c>
      <c r="C347" s="189" t="s">
        <v>333</v>
      </c>
      <c r="D347" s="189" t="s">
        <v>541</v>
      </c>
      <c r="E347" s="182">
        <v>188229817</v>
      </c>
      <c r="F347" s="182">
        <v>188229817</v>
      </c>
      <c r="G347" s="182">
        <v>188229817</v>
      </c>
      <c r="H347" s="182">
        <v>0</v>
      </c>
      <c r="I347" s="182">
        <v>28687434.780000001</v>
      </c>
      <c r="J347" s="182">
        <v>0</v>
      </c>
      <c r="K347" s="191">
        <v>146682113.24000001</v>
      </c>
      <c r="L347" s="182">
        <v>146682113.24000001</v>
      </c>
      <c r="M347" s="182">
        <v>12860268.98</v>
      </c>
      <c r="N347" s="182">
        <v>12860268.98</v>
      </c>
    </row>
    <row r="348" spans="1:14" x14ac:dyDescent="0.25">
      <c r="A348" s="189" t="s">
        <v>546</v>
      </c>
      <c r="B348" s="189" t="s">
        <v>182</v>
      </c>
      <c r="C348" s="189" t="s">
        <v>183</v>
      </c>
      <c r="D348" s="189" t="s">
        <v>541</v>
      </c>
      <c r="E348" s="182">
        <v>95028648</v>
      </c>
      <c r="F348" s="182">
        <v>95028648</v>
      </c>
      <c r="G348" s="182">
        <v>95028648</v>
      </c>
      <c r="H348" s="182">
        <v>0</v>
      </c>
      <c r="I348" s="182">
        <v>38281958.060000002</v>
      </c>
      <c r="J348" s="182">
        <v>598500</v>
      </c>
      <c r="K348" s="191">
        <v>35681259</v>
      </c>
      <c r="L348" s="182">
        <v>30550443.32</v>
      </c>
      <c r="M348" s="182">
        <v>20466930.940000001</v>
      </c>
      <c r="N348" s="182">
        <v>20466930.940000001</v>
      </c>
    </row>
    <row r="349" spans="1:14" x14ac:dyDescent="0.25">
      <c r="A349" s="189" t="s">
        <v>546</v>
      </c>
      <c r="B349" s="189" t="s">
        <v>184</v>
      </c>
      <c r="C349" s="189" t="s">
        <v>185</v>
      </c>
      <c r="D349" s="189" t="s">
        <v>541</v>
      </c>
      <c r="E349" s="182">
        <v>6300000</v>
      </c>
      <c r="F349" s="182">
        <v>6300000</v>
      </c>
      <c r="G349" s="182">
        <v>6300000</v>
      </c>
      <c r="H349" s="182">
        <v>0</v>
      </c>
      <c r="I349" s="182">
        <v>0</v>
      </c>
      <c r="J349" s="182">
        <v>0</v>
      </c>
      <c r="K349" s="191">
        <v>0</v>
      </c>
      <c r="L349" s="182">
        <v>0</v>
      </c>
      <c r="M349" s="182">
        <v>6300000</v>
      </c>
      <c r="N349" s="182">
        <v>6300000</v>
      </c>
    </row>
    <row r="350" spans="1:14" x14ac:dyDescent="0.25">
      <c r="A350" s="189" t="s">
        <v>546</v>
      </c>
      <c r="B350" s="189" t="s">
        <v>186</v>
      </c>
      <c r="C350" s="189" t="s">
        <v>187</v>
      </c>
      <c r="D350" s="189" t="s">
        <v>541</v>
      </c>
      <c r="E350" s="182">
        <v>11141667</v>
      </c>
      <c r="F350" s="182">
        <v>11141667</v>
      </c>
      <c r="G350" s="182">
        <v>11141666.75</v>
      </c>
      <c r="H350" s="182">
        <v>0</v>
      </c>
      <c r="I350" s="182">
        <v>2816848.96</v>
      </c>
      <c r="J350" s="182">
        <v>0</v>
      </c>
      <c r="K350" s="191">
        <v>3564000</v>
      </c>
      <c r="L350" s="182">
        <v>3564000</v>
      </c>
      <c r="M350" s="182">
        <v>4760818.04</v>
      </c>
      <c r="N350" s="182">
        <v>4760817.79</v>
      </c>
    </row>
    <row r="351" spans="1:14" x14ac:dyDescent="0.25">
      <c r="A351" s="189" t="s">
        <v>546</v>
      </c>
      <c r="B351" s="189" t="s">
        <v>188</v>
      </c>
      <c r="C351" s="189" t="s">
        <v>189</v>
      </c>
      <c r="D351" s="189" t="s">
        <v>541</v>
      </c>
      <c r="E351" s="182">
        <v>40562000</v>
      </c>
      <c r="F351" s="182">
        <v>40562000</v>
      </c>
      <c r="G351" s="182">
        <v>40562000</v>
      </c>
      <c r="H351" s="182">
        <v>0</v>
      </c>
      <c r="I351" s="182">
        <v>16445854.75</v>
      </c>
      <c r="J351" s="182">
        <v>0</v>
      </c>
      <c r="K351" s="191">
        <v>4602212.9800000004</v>
      </c>
      <c r="L351" s="182">
        <v>4602212.9800000004</v>
      </c>
      <c r="M351" s="182">
        <v>19513932.27</v>
      </c>
      <c r="N351" s="182">
        <v>19513932.27</v>
      </c>
    </row>
    <row r="352" spans="1:14" x14ac:dyDescent="0.25">
      <c r="A352" s="189" t="s">
        <v>546</v>
      </c>
      <c r="B352" s="189" t="s">
        <v>190</v>
      </c>
      <c r="C352" s="189" t="s">
        <v>191</v>
      </c>
      <c r="D352" s="189" t="s">
        <v>541</v>
      </c>
      <c r="E352" s="182">
        <v>127151483</v>
      </c>
      <c r="F352" s="182">
        <v>133151483</v>
      </c>
      <c r="G352" s="182">
        <v>133151482.8</v>
      </c>
      <c r="H352" s="182">
        <v>0</v>
      </c>
      <c r="I352" s="182">
        <v>42695927.439999998</v>
      </c>
      <c r="J352" s="182">
        <v>0</v>
      </c>
      <c r="K352" s="191">
        <v>36780766.229999997</v>
      </c>
      <c r="L352" s="182">
        <v>19950613.120000001</v>
      </c>
      <c r="M352" s="182">
        <v>53674789.329999998</v>
      </c>
      <c r="N352" s="182">
        <v>53674789.130000003</v>
      </c>
    </row>
    <row r="353" spans="1:14" x14ac:dyDescent="0.25">
      <c r="A353" s="189" t="s">
        <v>546</v>
      </c>
      <c r="B353" s="189" t="s">
        <v>192</v>
      </c>
      <c r="C353" s="189" t="s">
        <v>193</v>
      </c>
      <c r="D353" s="189" t="s">
        <v>541</v>
      </c>
      <c r="E353" s="182">
        <v>11126154</v>
      </c>
      <c r="F353" s="182">
        <v>11126154</v>
      </c>
      <c r="G353" s="182">
        <v>11126153.5</v>
      </c>
      <c r="H353" s="182">
        <v>0</v>
      </c>
      <c r="I353" s="182">
        <v>1413881</v>
      </c>
      <c r="J353" s="182">
        <v>0</v>
      </c>
      <c r="K353" s="191">
        <v>397220</v>
      </c>
      <c r="L353" s="182">
        <v>379887</v>
      </c>
      <c r="M353" s="182">
        <v>9315053</v>
      </c>
      <c r="N353" s="182">
        <v>9315052.5</v>
      </c>
    </row>
    <row r="354" spans="1:14" x14ac:dyDescent="0.25">
      <c r="A354" s="189" t="s">
        <v>546</v>
      </c>
      <c r="B354" s="189" t="s">
        <v>194</v>
      </c>
      <c r="C354" s="189" t="s">
        <v>195</v>
      </c>
      <c r="D354" s="189" t="s">
        <v>541</v>
      </c>
      <c r="E354" s="182">
        <v>11126154</v>
      </c>
      <c r="F354" s="182">
        <v>11126154</v>
      </c>
      <c r="G354" s="182">
        <v>11126153.5</v>
      </c>
      <c r="H354" s="182">
        <v>0</v>
      </c>
      <c r="I354" s="182">
        <v>1413881</v>
      </c>
      <c r="J354" s="182">
        <v>0</v>
      </c>
      <c r="K354" s="191">
        <v>397220</v>
      </c>
      <c r="L354" s="182">
        <v>379887</v>
      </c>
      <c r="M354" s="182">
        <v>9315053</v>
      </c>
      <c r="N354" s="182">
        <v>9315052.5</v>
      </c>
    </row>
    <row r="355" spans="1:14" x14ac:dyDescent="0.25">
      <c r="A355" s="189" t="s">
        <v>546</v>
      </c>
      <c r="B355" s="189" t="s">
        <v>196</v>
      </c>
      <c r="C355" s="189" t="s">
        <v>197</v>
      </c>
      <c r="D355" s="189" t="s">
        <v>541</v>
      </c>
      <c r="E355" s="182">
        <v>18666301</v>
      </c>
      <c r="F355" s="182">
        <v>65204190.710000001</v>
      </c>
      <c r="G355" s="182">
        <v>58011948.960000001</v>
      </c>
      <c r="H355" s="182">
        <v>0</v>
      </c>
      <c r="I355" s="182">
        <v>14531110.289999999</v>
      </c>
      <c r="J355" s="182">
        <v>0</v>
      </c>
      <c r="K355" s="191">
        <v>6357165.9199999999</v>
      </c>
      <c r="L355" s="182">
        <v>6357165.9199999999</v>
      </c>
      <c r="M355" s="182">
        <v>44315914.5</v>
      </c>
      <c r="N355" s="182">
        <v>37123672.75</v>
      </c>
    </row>
    <row r="356" spans="1:14" x14ac:dyDescent="0.25">
      <c r="A356" s="189" t="s">
        <v>546</v>
      </c>
      <c r="B356" s="189" t="s">
        <v>360</v>
      </c>
      <c r="C356" s="189" t="s">
        <v>361</v>
      </c>
      <c r="D356" s="189" t="s">
        <v>541</v>
      </c>
      <c r="E356" s="182">
        <v>3000000</v>
      </c>
      <c r="F356" s="182">
        <v>3000000</v>
      </c>
      <c r="G356" s="182">
        <v>3000000</v>
      </c>
      <c r="H356" s="182">
        <v>0</v>
      </c>
      <c r="I356" s="182">
        <v>578435.56000000006</v>
      </c>
      <c r="J356" s="182">
        <v>0</v>
      </c>
      <c r="K356" s="191">
        <v>2421563.65</v>
      </c>
      <c r="L356" s="182">
        <v>2421563.65</v>
      </c>
      <c r="M356" s="182">
        <v>0.79</v>
      </c>
      <c r="N356" s="182">
        <v>0.79</v>
      </c>
    </row>
    <row r="357" spans="1:14" x14ac:dyDescent="0.25">
      <c r="A357" s="189" t="s">
        <v>546</v>
      </c>
      <c r="B357" s="189" t="s">
        <v>334</v>
      </c>
      <c r="C357" s="189" t="s">
        <v>335</v>
      </c>
      <c r="D357" s="189" t="s">
        <v>541</v>
      </c>
      <c r="E357" s="182">
        <v>1275676</v>
      </c>
      <c r="F357" s="182">
        <v>47166460.710000001</v>
      </c>
      <c r="G357" s="182">
        <v>39974219.710000001</v>
      </c>
      <c r="H357" s="182">
        <v>0</v>
      </c>
      <c r="I357" s="182">
        <v>2078700.48</v>
      </c>
      <c r="J357" s="182">
        <v>0</v>
      </c>
      <c r="K357" s="191">
        <v>771847.27</v>
      </c>
      <c r="L357" s="182">
        <v>771847.27</v>
      </c>
      <c r="M357" s="182">
        <v>44315912.960000001</v>
      </c>
      <c r="N357" s="182">
        <v>37123671.960000001</v>
      </c>
    </row>
    <row r="358" spans="1:14" x14ac:dyDescent="0.25">
      <c r="A358" s="189" t="s">
        <v>546</v>
      </c>
      <c r="B358" s="189" t="s">
        <v>198</v>
      </c>
      <c r="C358" s="189" t="s">
        <v>199</v>
      </c>
      <c r="D358" s="189" t="s">
        <v>541</v>
      </c>
      <c r="E358" s="182">
        <v>14390625</v>
      </c>
      <c r="F358" s="182">
        <v>15037730</v>
      </c>
      <c r="G358" s="182">
        <v>15037729.25</v>
      </c>
      <c r="H358" s="182">
        <v>0</v>
      </c>
      <c r="I358" s="182">
        <v>11873974.25</v>
      </c>
      <c r="J358" s="182">
        <v>0</v>
      </c>
      <c r="K358" s="191">
        <v>3163755</v>
      </c>
      <c r="L358" s="182">
        <v>3163755</v>
      </c>
      <c r="M358" s="182">
        <v>0.75</v>
      </c>
      <c r="N358" s="182">
        <v>0</v>
      </c>
    </row>
    <row r="359" spans="1:14" x14ac:dyDescent="0.25">
      <c r="A359" s="189" t="s">
        <v>546</v>
      </c>
      <c r="B359" s="189" t="s">
        <v>200</v>
      </c>
      <c r="C359" s="189" t="s">
        <v>201</v>
      </c>
      <c r="D359" s="189" t="s">
        <v>541</v>
      </c>
      <c r="E359" s="182">
        <v>14015826994</v>
      </c>
      <c r="F359" s="182">
        <v>14015826994</v>
      </c>
      <c r="G359" s="182">
        <v>11272645492.5</v>
      </c>
      <c r="H359" s="182">
        <v>193135478.58000001</v>
      </c>
      <c r="I359" s="182">
        <v>1992173231.4300001</v>
      </c>
      <c r="J359" s="182">
        <v>474612826.99000001</v>
      </c>
      <c r="K359" s="191">
        <v>6906653209.8900003</v>
      </c>
      <c r="L359" s="182">
        <v>6884622166.5600004</v>
      </c>
      <c r="M359" s="182">
        <v>4449252247.1099997</v>
      </c>
      <c r="N359" s="182">
        <v>1706070745.6099999</v>
      </c>
    </row>
    <row r="360" spans="1:14" x14ac:dyDescent="0.25">
      <c r="A360" s="189" t="s">
        <v>546</v>
      </c>
      <c r="B360" s="189" t="s">
        <v>202</v>
      </c>
      <c r="C360" s="189" t="s">
        <v>203</v>
      </c>
      <c r="D360" s="189" t="s">
        <v>541</v>
      </c>
      <c r="E360" s="182">
        <v>777682724</v>
      </c>
      <c r="F360" s="182">
        <v>777682724</v>
      </c>
      <c r="G360" s="182">
        <v>777682724</v>
      </c>
      <c r="H360" s="182">
        <v>32405400</v>
      </c>
      <c r="I360" s="182">
        <v>98714663.060000002</v>
      </c>
      <c r="J360" s="182">
        <v>5773591.04</v>
      </c>
      <c r="K360" s="191">
        <v>457331570.56999999</v>
      </c>
      <c r="L360" s="182">
        <v>453024913.24000001</v>
      </c>
      <c r="M360" s="182">
        <v>183457499.33000001</v>
      </c>
      <c r="N360" s="182">
        <v>183457499.33000001</v>
      </c>
    </row>
    <row r="361" spans="1:14" x14ac:dyDescent="0.25">
      <c r="A361" s="189" t="s">
        <v>546</v>
      </c>
      <c r="B361" s="189" t="s">
        <v>204</v>
      </c>
      <c r="C361" s="189" t="s">
        <v>205</v>
      </c>
      <c r="D361" s="189" t="s">
        <v>541</v>
      </c>
      <c r="E361" s="182">
        <v>543016724</v>
      </c>
      <c r="F361" s="182">
        <v>543016724</v>
      </c>
      <c r="G361" s="182">
        <v>543016724</v>
      </c>
      <c r="H361" s="182">
        <v>0</v>
      </c>
      <c r="I361" s="182">
        <v>22272530.699999999</v>
      </c>
      <c r="J361" s="182">
        <v>5773591.04</v>
      </c>
      <c r="K361" s="191">
        <v>370037654.32999998</v>
      </c>
      <c r="L361" s="182">
        <v>365730997</v>
      </c>
      <c r="M361" s="182">
        <v>144932947.93000001</v>
      </c>
      <c r="N361" s="182">
        <v>144932947.93000001</v>
      </c>
    </row>
    <row r="362" spans="1:14" x14ac:dyDescent="0.25">
      <c r="A362" s="189" t="s">
        <v>546</v>
      </c>
      <c r="B362" s="189" t="s">
        <v>206</v>
      </c>
      <c r="C362" s="189" t="s">
        <v>207</v>
      </c>
      <c r="D362" s="189" t="s">
        <v>541</v>
      </c>
      <c r="E362" s="182">
        <v>195656000</v>
      </c>
      <c r="F362" s="182">
        <v>195656000</v>
      </c>
      <c r="G362" s="182">
        <v>195656000</v>
      </c>
      <c r="H362" s="182">
        <v>32405400</v>
      </c>
      <c r="I362" s="182">
        <v>74250000</v>
      </c>
      <c r="J362" s="182">
        <v>0</v>
      </c>
      <c r="K362" s="191">
        <v>74248900</v>
      </c>
      <c r="L362" s="182">
        <v>74248900</v>
      </c>
      <c r="M362" s="182">
        <v>14751700</v>
      </c>
      <c r="N362" s="182">
        <v>14751700</v>
      </c>
    </row>
    <row r="363" spans="1:14" x14ac:dyDescent="0.25">
      <c r="A363" s="189" t="s">
        <v>546</v>
      </c>
      <c r="B363" s="189" t="s">
        <v>362</v>
      </c>
      <c r="C363" s="189" t="s">
        <v>363</v>
      </c>
      <c r="D363" s="189" t="s">
        <v>541</v>
      </c>
      <c r="E363" s="182">
        <v>2674000</v>
      </c>
      <c r="F363" s="182">
        <v>2674000</v>
      </c>
      <c r="G363" s="182">
        <v>2674000</v>
      </c>
      <c r="H363" s="182">
        <v>0</v>
      </c>
      <c r="I363" s="182">
        <v>141746</v>
      </c>
      <c r="J363" s="182">
        <v>0</v>
      </c>
      <c r="K363" s="191">
        <v>77925</v>
      </c>
      <c r="L363" s="182">
        <v>77925</v>
      </c>
      <c r="M363" s="182">
        <v>2454329</v>
      </c>
      <c r="N363" s="182">
        <v>2454329</v>
      </c>
    </row>
    <row r="364" spans="1:14" x14ac:dyDescent="0.25">
      <c r="A364" s="189" t="s">
        <v>546</v>
      </c>
      <c r="B364" s="189" t="s">
        <v>208</v>
      </c>
      <c r="C364" s="189" t="s">
        <v>209</v>
      </c>
      <c r="D364" s="189" t="s">
        <v>541</v>
      </c>
      <c r="E364" s="182">
        <v>30373000</v>
      </c>
      <c r="F364" s="182">
        <v>30373000</v>
      </c>
      <c r="G364" s="182">
        <v>30373000</v>
      </c>
      <c r="H364" s="182">
        <v>0</v>
      </c>
      <c r="I364" s="182">
        <v>2050386.36</v>
      </c>
      <c r="J364" s="182">
        <v>0</v>
      </c>
      <c r="K364" s="191">
        <v>12967091.24</v>
      </c>
      <c r="L364" s="182">
        <v>12967091.24</v>
      </c>
      <c r="M364" s="182">
        <v>15355522.4</v>
      </c>
      <c r="N364" s="182">
        <v>15355522.4</v>
      </c>
    </row>
    <row r="365" spans="1:14" x14ac:dyDescent="0.25">
      <c r="A365" s="189" t="s">
        <v>546</v>
      </c>
      <c r="B365" s="189" t="s">
        <v>210</v>
      </c>
      <c r="C365" s="189" t="s">
        <v>211</v>
      </c>
      <c r="D365" s="189" t="s">
        <v>541</v>
      </c>
      <c r="E365" s="182">
        <v>5963000</v>
      </c>
      <c r="F365" s="182">
        <v>5963000</v>
      </c>
      <c r="G365" s="182">
        <v>5963000</v>
      </c>
      <c r="H365" s="182">
        <v>0</v>
      </c>
      <c r="I365" s="182">
        <v>0</v>
      </c>
      <c r="J365" s="182">
        <v>0</v>
      </c>
      <c r="K365" s="191">
        <v>0</v>
      </c>
      <c r="L365" s="182">
        <v>0</v>
      </c>
      <c r="M365" s="182">
        <v>5963000</v>
      </c>
      <c r="N365" s="182">
        <v>5963000</v>
      </c>
    </row>
    <row r="366" spans="1:14" x14ac:dyDescent="0.25">
      <c r="A366" s="189" t="s">
        <v>546</v>
      </c>
      <c r="B366" s="189" t="s">
        <v>212</v>
      </c>
      <c r="C366" s="189" t="s">
        <v>213</v>
      </c>
      <c r="D366" s="189" t="s">
        <v>541</v>
      </c>
      <c r="E366" s="182">
        <v>10984366500</v>
      </c>
      <c r="F366" s="182">
        <v>10984366500</v>
      </c>
      <c r="G366" s="182">
        <v>8241185000</v>
      </c>
      <c r="H366" s="182">
        <v>0</v>
      </c>
      <c r="I366" s="182">
        <v>1343212639.97</v>
      </c>
      <c r="J366" s="182">
        <v>447896867.31</v>
      </c>
      <c r="K366" s="191">
        <v>5543302532.2399998</v>
      </c>
      <c r="L366" s="182">
        <v>5536280736.2399998</v>
      </c>
      <c r="M366" s="182">
        <v>3649954460.48</v>
      </c>
      <c r="N366" s="182">
        <v>906772960.48000002</v>
      </c>
    </row>
    <row r="367" spans="1:14" x14ac:dyDescent="0.25">
      <c r="A367" s="189" t="s">
        <v>546</v>
      </c>
      <c r="B367" s="189" t="s">
        <v>214</v>
      </c>
      <c r="C367" s="189" t="s">
        <v>215</v>
      </c>
      <c r="D367" s="189" t="s">
        <v>541</v>
      </c>
      <c r="E367" s="182">
        <v>10972726000</v>
      </c>
      <c r="F367" s="182">
        <v>10972726000</v>
      </c>
      <c r="G367" s="182">
        <v>8229544500</v>
      </c>
      <c r="H367" s="182">
        <v>0</v>
      </c>
      <c r="I367" s="182">
        <v>1340985139.97</v>
      </c>
      <c r="J367" s="182">
        <v>447896867.31</v>
      </c>
      <c r="K367" s="191">
        <v>5539710032.2399998</v>
      </c>
      <c r="L367" s="182">
        <v>5532688236.2399998</v>
      </c>
      <c r="M367" s="182">
        <v>3644133960.48</v>
      </c>
      <c r="N367" s="182">
        <v>900952460.48000002</v>
      </c>
    </row>
    <row r="368" spans="1:14" x14ac:dyDescent="0.25">
      <c r="A368" s="189" t="s">
        <v>546</v>
      </c>
      <c r="B368" s="189" t="s">
        <v>364</v>
      </c>
      <c r="C368" s="189" t="s">
        <v>365</v>
      </c>
      <c r="D368" s="189" t="s">
        <v>541</v>
      </c>
      <c r="E368" s="182">
        <v>11640500</v>
      </c>
      <c r="F368" s="182">
        <v>11640500</v>
      </c>
      <c r="G368" s="182">
        <v>11640500</v>
      </c>
      <c r="H368" s="182">
        <v>0</v>
      </c>
      <c r="I368" s="182">
        <v>2227500</v>
      </c>
      <c r="J368" s="182">
        <v>0</v>
      </c>
      <c r="K368" s="191">
        <v>3592500</v>
      </c>
      <c r="L368" s="182">
        <v>3592500</v>
      </c>
      <c r="M368" s="182">
        <v>5820500</v>
      </c>
      <c r="N368" s="182">
        <v>5820500</v>
      </c>
    </row>
    <row r="369" spans="1:14" x14ac:dyDescent="0.25">
      <c r="A369" s="189" t="s">
        <v>546</v>
      </c>
      <c r="B369" s="189" t="s">
        <v>216</v>
      </c>
      <c r="C369" s="189" t="s">
        <v>217</v>
      </c>
      <c r="D369" s="189" t="s">
        <v>541</v>
      </c>
      <c r="E369" s="182">
        <v>446867786</v>
      </c>
      <c r="F369" s="182">
        <v>442289969</v>
      </c>
      <c r="G369" s="182">
        <v>442289968.5</v>
      </c>
      <c r="H369" s="182">
        <v>95618820.540000007</v>
      </c>
      <c r="I369" s="182">
        <v>49057825.25</v>
      </c>
      <c r="J369" s="182">
        <v>10812030</v>
      </c>
      <c r="K369" s="191">
        <v>106124203.86</v>
      </c>
      <c r="L369" s="182">
        <v>106124203.86</v>
      </c>
      <c r="M369" s="182">
        <v>180677089.34999999</v>
      </c>
      <c r="N369" s="182">
        <v>180677088.84999999</v>
      </c>
    </row>
    <row r="370" spans="1:14" x14ac:dyDescent="0.25">
      <c r="A370" s="189" t="s">
        <v>546</v>
      </c>
      <c r="B370" s="189" t="s">
        <v>218</v>
      </c>
      <c r="C370" s="189" t="s">
        <v>219</v>
      </c>
      <c r="D370" s="189" t="s">
        <v>541</v>
      </c>
      <c r="E370" s="182">
        <v>122902000</v>
      </c>
      <c r="F370" s="182">
        <v>122902000</v>
      </c>
      <c r="G370" s="182">
        <v>122902000</v>
      </c>
      <c r="H370" s="182">
        <v>33241837.199999999</v>
      </c>
      <c r="I370" s="182">
        <v>19893424</v>
      </c>
      <c r="J370" s="182">
        <v>0</v>
      </c>
      <c r="K370" s="191">
        <v>8371052.8099999996</v>
      </c>
      <c r="L370" s="182">
        <v>8371052.8099999996</v>
      </c>
      <c r="M370" s="182">
        <v>61395685.990000002</v>
      </c>
      <c r="N370" s="182">
        <v>61395685.990000002</v>
      </c>
    </row>
    <row r="371" spans="1:14" x14ac:dyDescent="0.25">
      <c r="A371" s="189" t="s">
        <v>546</v>
      </c>
      <c r="B371" s="189" t="s">
        <v>336</v>
      </c>
      <c r="C371" s="189" t="s">
        <v>337</v>
      </c>
      <c r="D371" s="189" t="s">
        <v>541</v>
      </c>
      <c r="E371" s="182">
        <v>50168000</v>
      </c>
      <c r="F371" s="182">
        <v>50168000</v>
      </c>
      <c r="G371" s="182">
        <v>50168000</v>
      </c>
      <c r="H371" s="182">
        <v>9998800</v>
      </c>
      <c r="I371" s="182">
        <v>0</v>
      </c>
      <c r="J371" s="182">
        <v>0</v>
      </c>
      <c r="K371" s="191">
        <v>3935643</v>
      </c>
      <c r="L371" s="182">
        <v>3935643</v>
      </c>
      <c r="M371" s="182">
        <v>36233557</v>
      </c>
      <c r="N371" s="182">
        <v>36233557</v>
      </c>
    </row>
    <row r="372" spans="1:14" x14ac:dyDescent="0.25">
      <c r="A372" s="189" t="s">
        <v>546</v>
      </c>
      <c r="B372" s="189" t="s">
        <v>338</v>
      </c>
      <c r="C372" s="189" t="s">
        <v>339</v>
      </c>
      <c r="D372" s="189" t="s">
        <v>541</v>
      </c>
      <c r="E372" s="182">
        <v>89195672</v>
      </c>
      <c r="F372" s="182">
        <v>89195672</v>
      </c>
      <c r="G372" s="182">
        <v>89195672</v>
      </c>
      <c r="H372" s="182">
        <v>0</v>
      </c>
      <c r="I372" s="182">
        <v>12996610</v>
      </c>
      <c r="J372" s="182">
        <v>0</v>
      </c>
      <c r="K372" s="191">
        <v>53066598</v>
      </c>
      <c r="L372" s="182">
        <v>53066598</v>
      </c>
      <c r="M372" s="182">
        <v>23132464</v>
      </c>
      <c r="N372" s="182">
        <v>23132464</v>
      </c>
    </row>
    <row r="373" spans="1:14" x14ac:dyDescent="0.25">
      <c r="A373" s="189" t="s">
        <v>546</v>
      </c>
      <c r="B373" s="189" t="s">
        <v>220</v>
      </c>
      <c r="C373" s="189" t="s">
        <v>221</v>
      </c>
      <c r="D373" s="189" t="s">
        <v>541</v>
      </c>
      <c r="E373" s="182">
        <v>90316000</v>
      </c>
      <c r="F373" s="182">
        <v>90316000</v>
      </c>
      <c r="G373" s="182">
        <v>90316000</v>
      </c>
      <c r="H373" s="182">
        <v>27110089</v>
      </c>
      <c r="I373" s="182">
        <v>14024955.33</v>
      </c>
      <c r="J373" s="182">
        <v>10812030</v>
      </c>
      <c r="K373" s="191">
        <v>24329304.280000001</v>
      </c>
      <c r="L373" s="182">
        <v>24329304.280000001</v>
      </c>
      <c r="M373" s="182">
        <v>14039621.390000001</v>
      </c>
      <c r="N373" s="182">
        <v>14039621.390000001</v>
      </c>
    </row>
    <row r="374" spans="1:14" x14ac:dyDescent="0.25">
      <c r="A374" s="189" t="s">
        <v>546</v>
      </c>
      <c r="B374" s="189" t="s">
        <v>222</v>
      </c>
      <c r="C374" s="189" t="s">
        <v>223</v>
      </c>
      <c r="D374" s="189" t="s">
        <v>541</v>
      </c>
      <c r="E374" s="182">
        <v>7059000</v>
      </c>
      <c r="F374" s="182">
        <v>2481183</v>
      </c>
      <c r="G374" s="182">
        <v>2481183</v>
      </c>
      <c r="H374" s="182">
        <v>0</v>
      </c>
      <c r="I374" s="182">
        <v>2142835.92</v>
      </c>
      <c r="J374" s="182">
        <v>0</v>
      </c>
      <c r="K374" s="191">
        <v>185000</v>
      </c>
      <c r="L374" s="182">
        <v>185000</v>
      </c>
      <c r="M374" s="182">
        <v>153347.07999999999</v>
      </c>
      <c r="N374" s="182">
        <v>153347.07999999999</v>
      </c>
    </row>
    <row r="375" spans="1:14" x14ac:dyDescent="0.25">
      <c r="A375" s="189" t="s">
        <v>546</v>
      </c>
      <c r="B375" s="189" t="s">
        <v>224</v>
      </c>
      <c r="C375" s="189" t="s">
        <v>225</v>
      </c>
      <c r="D375" s="189" t="s">
        <v>541</v>
      </c>
      <c r="E375" s="182">
        <v>61279000</v>
      </c>
      <c r="F375" s="182">
        <v>61279000</v>
      </c>
      <c r="G375" s="182">
        <v>61279000</v>
      </c>
      <c r="H375" s="182">
        <v>25268094.34</v>
      </c>
      <c r="I375" s="182">
        <v>0</v>
      </c>
      <c r="J375" s="182">
        <v>0</v>
      </c>
      <c r="K375" s="191">
        <v>16236605.77</v>
      </c>
      <c r="L375" s="182">
        <v>16236605.77</v>
      </c>
      <c r="M375" s="182">
        <v>19774299.890000001</v>
      </c>
      <c r="N375" s="182">
        <v>19774299.890000001</v>
      </c>
    </row>
    <row r="376" spans="1:14" x14ac:dyDescent="0.25">
      <c r="A376" s="189" t="s">
        <v>546</v>
      </c>
      <c r="B376" s="189" t="s">
        <v>226</v>
      </c>
      <c r="C376" s="189" t="s">
        <v>227</v>
      </c>
      <c r="D376" s="189" t="s">
        <v>541</v>
      </c>
      <c r="E376" s="182">
        <v>25948114</v>
      </c>
      <c r="F376" s="182">
        <v>25948114</v>
      </c>
      <c r="G376" s="182">
        <v>25948113.5</v>
      </c>
      <c r="H376" s="182">
        <v>0</v>
      </c>
      <c r="I376" s="182">
        <v>0</v>
      </c>
      <c r="J376" s="182">
        <v>0</v>
      </c>
      <c r="K376" s="191">
        <v>0</v>
      </c>
      <c r="L376" s="182">
        <v>0</v>
      </c>
      <c r="M376" s="182">
        <v>25948114</v>
      </c>
      <c r="N376" s="182">
        <v>25948113.5</v>
      </c>
    </row>
    <row r="377" spans="1:14" x14ac:dyDescent="0.25">
      <c r="A377" s="189" t="s">
        <v>546</v>
      </c>
      <c r="B377" s="189" t="s">
        <v>228</v>
      </c>
      <c r="C377" s="189" t="s">
        <v>229</v>
      </c>
      <c r="D377" s="189" t="s">
        <v>541</v>
      </c>
      <c r="E377" s="182">
        <v>150560000</v>
      </c>
      <c r="F377" s="182">
        <v>150560000</v>
      </c>
      <c r="G377" s="182">
        <v>150560000</v>
      </c>
      <c r="H377" s="182">
        <v>6470740</v>
      </c>
      <c r="I377" s="182">
        <v>35365959.840000004</v>
      </c>
      <c r="J377" s="182">
        <v>3239800</v>
      </c>
      <c r="K377" s="191">
        <v>61008176.590000004</v>
      </c>
      <c r="L377" s="182">
        <v>61008176.590000004</v>
      </c>
      <c r="M377" s="182">
        <v>44475323.57</v>
      </c>
      <c r="N377" s="182">
        <v>44475323.57</v>
      </c>
    </row>
    <row r="378" spans="1:14" x14ac:dyDescent="0.25">
      <c r="A378" s="189" t="s">
        <v>546</v>
      </c>
      <c r="B378" s="189" t="s">
        <v>230</v>
      </c>
      <c r="C378" s="189" t="s">
        <v>231</v>
      </c>
      <c r="D378" s="189" t="s">
        <v>541</v>
      </c>
      <c r="E378" s="182">
        <v>53615000</v>
      </c>
      <c r="F378" s="182">
        <v>53615000</v>
      </c>
      <c r="G378" s="182">
        <v>53615000</v>
      </c>
      <c r="H378" s="182">
        <v>0</v>
      </c>
      <c r="I378" s="182">
        <v>293526</v>
      </c>
      <c r="J378" s="182">
        <v>0</v>
      </c>
      <c r="K378" s="191">
        <v>16813580</v>
      </c>
      <c r="L378" s="182">
        <v>16813580</v>
      </c>
      <c r="M378" s="182">
        <v>36507894</v>
      </c>
      <c r="N378" s="182">
        <v>36507894</v>
      </c>
    </row>
    <row r="379" spans="1:14" x14ac:dyDescent="0.25">
      <c r="A379" s="189" t="s">
        <v>546</v>
      </c>
      <c r="B379" s="189" t="s">
        <v>232</v>
      </c>
      <c r="C379" s="189" t="s">
        <v>233</v>
      </c>
      <c r="D379" s="189" t="s">
        <v>541</v>
      </c>
      <c r="E379" s="182">
        <v>96945000</v>
      </c>
      <c r="F379" s="182">
        <v>96945000</v>
      </c>
      <c r="G379" s="182">
        <v>96945000</v>
      </c>
      <c r="H379" s="182">
        <v>6470740</v>
      </c>
      <c r="I379" s="182">
        <v>35072433.840000004</v>
      </c>
      <c r="J379" s="182">
        <v>3239800</v>
      </c>
      <c r="K379" s="191">
        <v>44194596.590000004</v>
      </c>
      <c r="L379" s="182">
        <v>44194596.590000004</v>
      </c>
      <c r="M379" s="182">
        <v>7967429.5700000003</v>
      </c>
      <c r="N379" s="182">
        <v>7967429.5700000003</v>
      </c>
    </row>
    <row r="380" spans="1:14" x14ac:dyDescent="0.25">
      <c r="A380" s="189" t="s">
        <v>546</v>
      </c>
      <c r="B380" s="189" t="s">
        <v>609</v>
      </c>
      <c r="C380" s="189" t="s">
        <v>610</v>
      </c>
      <c r="D380" s="189" t="s">
        <v>541</v>
      </c>
      <c r="E380" s="182">
        <v>0</v>
      </c>
      <c r="F380" s="182">
        <v>4577817</v>
      </c>
      <c r="G380" s="182">
        <v>4577817</v>
      </c>
      <c r="H380" s="182">
        <v>0</v>
      </c>
      <c r="I380" s="182">
        <v>0</v>
      </c>
      <c r="J380" s="182">
        <v>0</v>
      </c>
      <c r="K380" s="191">
        <v>0</v>
      </c>
      <c r="L380" s="182">
        <v>0</v>
      </c>
      <c r="M380" s="182">
        <v>4577817</v>
      </c>
      <c r="N380" s="182">
        <v>4577817</v>
      </c>
    </row>
    <row r="381" spans="1:14" x14ac:dyDescent="0.25">
      <c r="A381" s="189" t="s">
        <v>546</v>
      </c>
      <c r="B381" s="189" t="s">
        <v>611</v>
      </c>
      <c r="C381" s="189" t="s">
        <v>612</v>
      </c>
      <c r="D381" s="189" t="s">
        <v>541</v>
      </c>
      <c r="E381" s="182">
        <v>0</v>
      </c>
      <c r="F381" s="182">
        <v>4577817</v>
      </c>
      <c r="G381" s="182">
        <v>4577817</v>
      </c>
      <c r="H381" s="182">
        <v>0</v>
      </c>
      <c r="I381" s="182">
        <v>0</v>
      </c>
      <c r="J381" s="182">
        <v>0</v>
      </c>
      <c r="K381" s="191">
        <v>0</v>
      </c>
      <c r="L381" s="182">
        <v>0</v>
      </c>
      <c r="M381" s="182">
        <v>4577817</v>
      </c>
      <c r="N381" s="182">
        <v>4577817</v>
      </c>
    </row>
    <row r="382" spans="1:14" x14ac:dyDescent="0.25">
      <c r="A382" s="189" t="s">
        <v>546</v>
      </c>
      <c r="B382" s="189" t="s">
        <v>234</v>
      </c>
      <c r="C382" s="189" t="s">
        <v>601</v>
      </c>
      <c r="D382" s="189" t="s">
        <v>541</v>
      </c>
      <c r="E382" s="182">
        <v>1656349984</v>
      </c>
      <c r="F382" s="182">
        <v>1656349984</v>
      </c>
      <c r="G382" s="182">
        <v>1656349983</v>
      </c>
      <c r="H382" s="182">
        <v>58640518.039999999</v>
      </c>
      <c r="I382" s="182">
        <v>465822143.31</v>
      </c>
      <c r="J382" s="182">
        <v>6890538.6399999997</v>
      </c>
      <c r="K382" s="191">
        <v>738886726.63</v>
      </c>
      <c r="L382" s="182">
        <v>728184136.63</v>
      </c>
      <c r="M382" s="182">
        <v>386110057.38</v>
      </c>
      <c r="N382" s="182">
        <v>386110056.38</v>
      </c>
    </row>
    <row r="383" spans="1:14" x14ac:dyDescent="0.25">
      <c r="A383" s="189" t="s">
        <v>546</v>
      </c>
      <c r="B383" s="189" t="s">
        <v>235</v>
      </c>
      <c r="C383" s="189" t="s">
        <v>236</v>
      </c>
      <c r="D383" s="189" t="s">
        <v>541</v>
      </c>
      <c r="E383" s="182">
        <v>34070136</v>
      </c>
      <c r="F383" s="182">
        <v>34070136</v>
      </c>
      <c r="G383" s="182">
        <v>34070136</v>
      </c>
      <c r="H383" s="182">
        <v>0</v>
      </c>
      <c r="I383" s="182">
        <v>424800</v>
      </c>
      <c r="J383" s="182">
        <v>0</v>
      </c>
      <c r="K383" s="191">
        <v>715487</v>
      </c>
      <c r="L383" s="182">
        <v>715487</v>
      </c>
      <c r="M383" s="182">
        <v>32929849</v>
      </c>
      <c r="N383" s="182">
        <v>32929849</v>
      </c>
    </row>
    <row r="384" spans="1:14" x14ac:dyDescent="0.25">
      <c r="A384" s="189" t="s">
        <v>546</v>
      </c>
      <c r="B384" s="189" t="s">
        <v>237</v>
      </c>
      <c r="C384" s="189" t="s">
        <v>238</v>
      </c>
      <c r="D384" s="189" t="s">
        <v>541</v>
      </c>
      <c r="E384" s="182">
        <v>65363019</v>
      </c>
      <c r="F384" s="182">
        <v>65363019</v>
      </c>
      <c r="G384" s="182">
        <v>65363018.75</v>
      </c>
      <c r="H384" s="182">
        <v>41596771.039999999</v>
      </c>
      <c r="I384" s="182">
        <v>3847500</v>
      </c>
      <c r="J384" s="182">
        <v>0</v>
      </c>
      <c r="K384" s="191">
        <v>5436722.0999999996</v>
      </c>
      <c r="L384" s="182">
        <v>5436722.0999999996</v>
      </c>
      <c r="M384" s="182">
        <v>14482025.859999999</v>
      </c>
      <c r="N384" s="182">
        <v>14482025.609999999</v>
      </c>
    </row>
    <row r="385" spans="1:14" x14ac:dyDescent="0.25">
      <c r="A385" s="189" t="s">
        <v>546</v>
      </c>
      <c r="B385" s="189" t="s">
        <v>239</v>
      </c>
      <c r="C385" s="189" t="s">
        <v>240</v>
      </c>
      <c r="D385" s="189" t="s">
        <v>541</v>
      </c>
      <c r="E385" s="182">
        <v>146259000</v>
      </c>
      <c r="F385" s="182">
        <v>146259000</v>
      </c>
      <c r="G385" s="182">
        <v>146259000</v>
      </c>
      <c r="H385" s="182">
        <v>270000</v>
      </c>
      <c r="I385" s="182">
        <v>40800084.479999997</v>
      </c>
      <c r="J385" s="182">
        <v>6890538.6399999997</v>
      </c>
      <c r="K385" s="191">
        <v>23342148.219999999</v>
      </c>
      <c r="L385" s="182">
        <v>13166148.220000001</v>
      </c>
      <c r="M385" s="182">
        <v>74956228.659999996</v>
      </c>
      <c r="N385" s="182">
        <v>74956228.659999996</v>
      </c>
    </row>
    <row r="386" spans="1:14" x14ac:dyDescent="0.25">
      <c r="A386" s="189" t="s">
        <v>546</v>
      </c>
      <c r="B386" s="189" t="s">
        <v>241</v>
      </c>
      <c r="C386" s="189" t="s">
        <v>242</v>
      </c>
      <c r="D386" s="189" t="s">
        <v>541</v>
      </c>
      <c r="E386" s="182">
        <v>643150000</v>
      </c>
      <c r="F386" s="182">
        <v>643150000</v>
      </c>
      <c r="G386" s="182">
        <v>643150000</v>
      </c>
      <c r="H386" s="182">
        <v>2105230</v>
      </c>
      <c r="I386" s="182">
        <v>283884596.06</v>
      </c>
      <c r="J386" s="182">
        <v>0</v>
      </c>
      <c r="K386" s="191">
        <v>301976933.99000001</v>
      </c>
      <c r="L386" s="182">
        <v>301580993.99000001</v>
      </c>
      <c r="M386" s="182">
        <v>55183239.950000003</v>
      </c>
      <c r="N386" s="182">
        <v>55183239.950000003</v>
      </c>
    </row>
    <row r="387" spans="1:14" x14ac:dyDescent="0.25">
      <c r="A387" s="189" t="s">
        <v>546</v>
      </c>
      <c r="B387" s="189" t="s">
        <v>243</v>
      </c>
      <c r="C387" s="189" t="s">
        <v>244</v>
      </c>
      <c r="D387" s="189" t="s">
        <v>541</v>
      </c>
      <c r="E387" s="182">
        <v>302355000</v>
      </c>
      <c r="F387" s="182">
        <v>302355000</v>
      </c>
      <c r="G387" s="182">
        <v>302355000</v>
      </c>
      <c r="H387" s="182">
        <v>123997</v>
      </c>
      <c r="I387" s="182">
        <v>84891968.299999997</v>
      </c>
      <c r="J387" s="182">
        <v>0</v>
      </c>
      <c r="K387" s="191">
        <v>144455735.50999999</v>
      </c>
      <c r="L387" s="182">
        <v>144455735.50999999</v>
      </c>
      <c r="M387" s="182">
        <v>72883299.189999998</v>
      </c>
      <c r="N387" s="182">
        <v>72883299.189999998</v>
      </c>
    </row>
    <row r="388" spans="1:14" x14ac:dyDescent="0.25">
      <c r="A388" s="189" t="s">
        <v>546</v>
      </c>
      <c r="B388" s="189" t="s">
        <v>245</v>
      </c>
      <c r="C388" s="189" t="s">
        <v>246</v>
      </c>
      <c r="D388" s="189" t="s">
        <v>541</v>
      </c>
      <c r="E388" s="182">
        <v>182921000</v>
      </c>
      <c r="F388" s="182">
        <v>182921000</v>
      </c>
      <c r="G388" s="182">
        <v>182921000</v>
      </c>
      <c r="H388" s="182">
        <v>10545770</v>
      </c>
      <c r="I388" s="182">
        <v>26945634.989999998</v>
      </c>
      <c r="J388" s="182">
        <v>0</v>
      </c>
      <c r="K388" s="191">
        <v>133115113.25</v>
      </c>
      <c r="L388" s="182">
        <v>132984463.25</v>
      </c>
      <c r="M388" s="182">
        <v>12314481.76</v>
      </c>
      <c r="N388" s="182">
        <v>12314481.76</v>
      </c>
    </row>
    <row r="389" spans="1:14" x14ac:dyDescent="0.25">
      <c r="A389" s="189" t="s">
        <v>546</v>
      </c>
      <c r="B389" s="189" t="s">
        <v>247</v>
      </c>
      <c r="C389" s="189" t="s">
        <v>248</v>
      </c>
      <c r="D389" s="189" t="s">
        <v>541</v>
      </c>
      <c r="E389" s="182">
        <v>92727347</v>
      </c>
      <c r="F389" s="182">
        <v>92727347</v>
      </c>
      <c r="G389" s="182">
        <v>92727346.75</v>
      </c>
      <c r="H389" s="182">
        <v>0</v>
      </c>
      <c r="I389" s="182">
        <v>17137098.280000001</v>
      </c>
      <c r="J389" s="182">
        <v>0</v>
      </c>
      <c r="K389" s="191">
        <v>16868478.489999998</v>
      </c>
      <c r="L389" s="182">
        <v>16868478.489999998</v>
      </c>
      <c r="M389" s="182">
        <v>58721770.229999997</v>
      </c>
      <c r="N389" s="182">
        <v>58721769.979999997</v>
      </c>
    </row>
    <row r="390" spans="1:14" x14ac:dyDescent="0.25">
      <c r="A390" s="189" t="s">
        <v>546</v>
      </c>
      <c r="B390" s="189" t="s">
        <v>249</v>
      </c>
      <c r="C390" s="189" t="s">
        <v>250</v>
      </c>
      <c r="D390" s="189" t="s">
        <v>541</v>
      </c>
      <c r="E390" s="182">
        <v>189504482</v>
      </c>
      <c r="F390" s="182">
        <v>189504482</v>
      </c>
      <c r="G390" s="182">
        <v>189504481.5</v>
      </c>
      <c r="H390" s="182">
        <v>3998750</v>
      </c>
      <c r="I390" s="182">
        <v>7890461.2000000002</v>
      </c>
      <c r="J390" s="182">
        <v>0</v>
      </c>
      <c r="K390" s="191">
        <v>112976108.06999999</v>
      </c>
      <c r="L390" s="182">
        <v>112976108.06999999</v>
      </c>
      <c r="M390" s="182">
        <v>64639162.729999997</v>
      </c>
      <c r="N390" s="182">
        <v>64639162.229999997</v>
      </c>
    </row>
    <row r="391" spans="1:14" x14ac:dyDescent="0.25">
      <c r="A391" s="189" t="s">
        <v>546</v>
      </c>
      <c r="B391" s="189" t="s">
        <v>279</v>
      </c>
      <c r="C391" s="189" t="s">
        <v>280</v>
      </c>
      <c r="D391" s="189" t="s">
        <v>541</v>
      </c>
      <c r="E391" s="182">
        <v>883769579</v>
      </c>
      <c r="F391" s="182">
        <v>2629734727</v>
      </c>
      <c r="G391" s="182">
        <v>1611520504.75</v>
      </c>
      <c r="H391" s="182">
        <v>186527449.27000001</v>
      </c>
      <c r="I391" s="182">
        <v>160925145.47</v>
      </c>
      <c r="J391" s="182">
        <v>0</v>
      </c>
      <c r="K391" s="191">
        <v>799963791.26999998</v>
      </c>
      <c r="L391" s="182">
        <v>754195791.26999998</v>
      </c>
      <c r="M391" s="182">
        <v>1482318340.99</v>
      </c>
      <c r="N391" s="182">
        <v>464104118.74000001</v>
      </c>
    </row>
    <row r="392" spans="1:14" x14ac:dyDescent="0.25">
      <c r="A392" s="189" t="s">
        <v>546</v>
      </c>
      <c r="B392" s="189" t="s">
        <v>281</v>
      </c>
      <c r="C392" s="189" t="s">
        <v>282</v>
      </c>
      <c r="D392" s="189" t="s">
        <v>541</v>
      </c>
      <c r="E392" s="182">
        <v>667187579</v>
      </c>
      <c r="F392" s="182">
        <v>667187579</v>
      </c>
      <c r="G392" s="182">
        <v>667187578.75</v>
      </c>
      <c r="H392" s="182">
        <v>186527449.27000001</v>
      </c>
      <c r="I392" s="182">
        <v>149853946.08000001</v>
      </c>
      <c r="J392" s="182">
        <v>0</v>
      </c>
      <c r="K392" s="191">
        <v>175474731.86000001</v>
      </c>
      <c r="L392" s="182">
        <v>129706731.86</v>
      </c>
      <c r="M392" s="182">
        <v>155331451.78999999</v>
      </c>
      <c r="N392" s="182">
        <v>155331451.53999999</v>
      </c>
    </row>
    <row r="393" spans="1:14" x14ac:dyDescent="0.25">
      <c r="A393" s="189" t="s">
        <v>546</v>
      </c>
      <c r="B393" s="189" t="s">
        <v>283</v>
      </c>
      <c r="C393" s="189" t="s">
        <v>284</v>
      </c>
      <c r="D393" s="189" t="s">
        <v>543</v>
      </c>
      <c r="E393" s="182">
        <v>33062000</v>
      </c>
      <c r="F393" s="182">
        <v>19951724</v>
      </c>
      <c r="G393" s="182">
        <v>19951724</v>
      </c>
      <c r="H393" s="182">
        <v>6863892.9400000004</v>
      </c>
      <c r="I393" s="182">
        <v>0</v>
      </c>
      <c r="J393" s="182">
        <v>0</v>
      </c>
      <c r="K393" s="191">
        <v>0</v>
      </c>
      <c r="L393" s="182">
        <v>0</v>
      </c>
      <c r="M393" s="182">
        <v>13087831.060000001</v>
      </c>
      <c r="N393" s="182">
        <v>13087831.060000001</v>
      </c>
    </row>
    <row r="394" spans="1:14" x14ac:dyDescent="0.25">
      <c r="A394" s="189" t="s">
        <v>546</v>
      </c>
      <c r="B394" s="189" t="s">
        <v>398</v>
      </c>
      <c r="C394" s="189" t="s">
        <v>501</v>
      </c>
      <c r="D394" s="189" t="s">
        <v>543</v>
      </c>
      <c r="E394" s="182">
        <v>72100000</v>
      </c>
      <c r="F394" s="182">
        <v>72100000</v>
      </c>
      <c r="G394" s="182">
        <v>72100000</v>
      </c>
      <c r="H394" s="182">
        <v>41700945</v>
      </c>
      <c r="I394" s="182">
        <v>0</v>
      </c>
      <c r="J394" s="182">
        <v>0</v>
      </c>
      <c r="K394" s="191">
        <v>16883370</v>
      </c>
      <c r="L394" s="182">
        <v>16883370</v>
      </c>
      <c r="M394" s="182">
        <v>13515685</v>
      </c>
      <c r="N394" s="182">
        <v>13515685</v>
      </c>
    </row>
    <row r="395" spans="1:14" x14ac:dyDescent="0.25">
      <c r="A395" s="189" t="s">
        <v>546</v>
      </c>
      <c r="B395" s="189" t="s">
        <v>285</v>
      </c>
      <c r="C395" s="189" t="s">
        <v>286</v>
      </c>
      <c r="D395" s="189" t="s">
        <v>543</v>
      </c>
      <c r="E395" s="182">
        <v>147248000</v>
      </c>
      <c r="F395" s="182">
        <v>141523000</v>
      </c>
      <c r="G395" s="182">
        <v>141523000</v>
      </c>
      <c r="H395" s="182">
        <v>650000</v>
      </c>
      <c r="I395" s="182">
        <v>85828047.260000005</v>
      </c>
      <c r="J395" s="182">
        <v>0</v>
      </c>
      <c r="K395" s="191">
        <v>7645100</v>
      </c>
      <c r="L395" s="182">
        <v>7645100</v>
      </c>
      <c r="M395" s="182">
        <v>47399852.740000002</v>
      </c>
      <c r="N395" s="182">
        <v>47399852.740000002</v>
      </c>
    </row>
    <row r="396" spans="1:14" x14ac:dyDescent="0.25">
      <c r="A396" s="189" t="s">
        <v>546</v>
      </c>
      <c r="B396" s="189" t="s">
        <v>285</v>
      </c>
      <c r="C396" s="189" t="s">
        <v>286</v>
      </c>
      <c r="D396" s="189" t="s">
        <v>541</v>
      </c>
      <c r="E396" s="182">
        <v>0</v>
      </c>
      <c r="F396" s="182">
        <v>0</v>
      </c>
      <c r="G396" s="182">
        <v>0</v>
      </c>
      <c r="H396" s="182">
        <v>0</v>
      </c>
      <c r="I396" s="182">
        <v>0</v>
      </c>
      <c r="J396" s="182">
        <v>0</v>
      </c>
      <c r="K396" s="191">
        <v>0</v>
      </c>
      <c r="L396" s="182">
        <v>0</v>
      </c>
      <c r="M396" s="182">
        <v>0</v>
      </c>
      <c r="N396" s="182">
        <v>0</v>
      </c>
    </row>
    <row r="397" spans="1:14" x14ac:dyDescent="0.25">
      <c r="A397" s="189" t="s">
        <v>546</v>
      </c>
      <c r="B397" s="189" t="s">
        <v>287</v>
      </c>
      <c r="C397" s="189" t="s">
        <v>288</v>
      </c>
      <c r="D397" s="189" t="s">
        <v>543</v>
      </c>
      <c r="E397" s="182">
        <v>69415579</v>
      </c>
      <c r="F397" s="182">
        <v>88250855</v>
      </c>
      <c r="G397" s="182">
        <v>88250854.75</v>
      </c>
      <c r="H397" s="182">
        <v>3226164.57</v>
      </c>
      <c r="I397" s="182">
        <v>21809341.870000001</v>
      </c>
      <c r="J397" s="182">
        <v>0</v>
      </c>
      <c r="K397" s="191">
        <v>15296054</v>
      </c>
      <c r="L397" s="182">
        <v>15296054</v>
      </c>
      <c r="M397" s="182">
        <v>47919294.560000002</v>
      </c>
      <c r="N397" s="182">
        <v>47919294.310000002</v>
      </c>
    </row>
    <row r="398" spans="1:14" x14ac:dyDescent="0.25">
      <c r="A398" s="189" t="s">
        <v>546</v>
      </c>
      <c r="B398" s="189" t="s">
        <v>287</v>
      </c>
      <c r="C398" s="189" t="s">
        <v>288</v>
      </c>
      <c r="D398" s="189" t="s">
        <v>541</v>
      </c>
      <c r="E398" s="182">
        <v>0</v>
      </c>
      <c r="F398" s="182">
        <v>0</v>
      </c>
      <c r="G398" s="182">
        <v>0</v>
      </c>
      <c r="H398" s="182">
        <v>0</v>
      </c>
      <c r="I398" s="182">
        <v>0</v>
      </c>
      <c r="J398" s="182">
        <v>0</v>
      </c>
      <c r="K398" s="191">
        <v>0</v>
      </c>
      <c r="L398" s="182">
        <v>0</v>
      </c>
      <c r="M398" s="182">
        <v>0</v>
      </c>
      <c r="N398" s="182">
        <v>0</v>
      </c>
    </row>
    <row r="399" spans="1:14" x14ac:dyDescent="0.25">
      <c r="A399" s="189" t="s">
        <v>546</v>
      </c>
      <c r="B399" s="189" t="s">
        <v>289</v>
      </c>
      <c r="C399" s="189" t="s">
        <v>290</v>
      </c>
      <c r="D399" s="189" t="s">
        <v>543</v>
      </c>
      <c r="E399" s="182">
        <v>21137000</v>
      </c>
      <c r="F399" s="182">
        <v>21137000</v>
      </c>
      <c r="G399" s="182">
        <v>21137000</v>
      </c>
      <c r="H399" s="182">
        <v>0</v>
      </c>
      <c r="I399" s="182">
        <v>0</v>
      </c>
      <c r="J399" s="182">
        <v>0</v>
      </c>
      <c r="K399" s="191">
        <v>13982594.789999999</v>
      </c>
      <c r="L399" s="182">
        <v>13982594.789999999</v>
      </c>
      <c r="M399" s="182">
        <v>7154405.21</v>
      </c>
      <c r="N399" s="182">
        <v>7154405.21</v>
      </c>
    </row>
    <row r="400" spans="1:14" x14ac:dyDescent="0.25">
      <c r="A400" s="189" t="s">
        <v>546</v>
      </c>
      <c r="B400" s="189" t="s">
        <v>291</v>
      </c>
      <c r="C400" s="189" t="s">
        <v>292</v>
      </c>
      <c r="D400" s="189" t="s">
        <v>543</v>
      </c>
      <c r="E400" s="182">
        <v>29458000</v>
      </c>
      <c r="F400" s="182">
        <v>29458000</v>
      </c>
      <c r="G400" s="182">
        <v>29458000</v>
      </c>
      <c r="H400" s="182">
        <v>13107104.51</v>
      </c>
      <c r="I400" s="182">
        <v>0</v>
      </c>
      <c r="J400" s="182">
        <v>0</v>
      </c>
      <c r="K400" s="191">
        <v>16265225.01</v>
      </c>
      <c r="L400" s="182">
        <v>16265225.01</v>
      </c>
      <c r="M400" s="182">
        <v>85670.48</v>
      </c>
      <c r="N400" s="182">
        <v>85670.48</v>
      </c>
    </row>
    <row r="401" spans="1:14" x14ac:dyDescent="0.25">
      <c r="A401" s="189" t="s">
        <v>546</v>
      </c>
      <c r="B401" s="189" t="s">
        <v>293</v>
      </c>
      <c r="C401" s="189" t="s">
        <v>294</v>
      </c>
      <c r="D401" s="189" t="s">
        <v>543</v>
      </c>
      <c r="E401" s="182">
        <v>5405000</v>
      </c>
      <c r="F401" s="182">
        <v>5405000</v>
      </c>
      <c r="G401" s="182">
        <v>5405000</v>
      </c>
      <c r="H401" s="182">
        <v>1398250</v>
      </c>
      <c r="I401" s="182">
        <v>0</v>
      </c>
      <c r="J401" s="182">
        <v>0</v>
      </c>
      <c r="K401" s="191">
        <v>3981450</v>
      </c>
      <c r="L401" s="182">
        <v>3981450</v>
      </c>
      <c r="M401" s="182">
        <v>25300</v>
      </c>
      <c r="N401" s="182">
        <v>25300</v>
      </c>
    </row>
    <row r="402" spans="1:14" x14ac:dyDescent="0.25">
      <c r="A402" s="189" t="s">
        <v>546</v>
      </c>
      <c r="B402" s="189" t="s">
        <v>295</v>
      </c>
      <c r="C402" s="189" t="s">
        <v>296</v>
      </c>
      <c r="D402" s="189" t="s">
        <v>543</v>
      </c>
      <c r="E402" s="182">
        <v>289362000</v>
      </c>
      <c r="F402" s="182">
        <v>289362000</v>
      </c>
      <c r="G402" s="182">
        <v>289362000</v>
      </c>
      <c r="H402" s="182">
        <v>119581092.25</v>
      </c>
      <c r="I402" s="182">
        <v>42216556.950000003</v>
      </c>
      <c r="J402" s="182">
        <v>0</v>
      </c>
      <c r="K402" s="191">
        <v>101420938.06</v>
      </c>
      <c r="L402" s="182">
        <v>55652938.060000002</v>
      </c>
      <c r="M402" s="182">
        <v>26143412.739999998</v>
      </c>
      <c r="N402" s="182">
        <v>26143412.739999998</v>
      </c>
    </row>
    <row r="403" spans="1:14" x14ac:dyDescent="0.25">
      <c r="A403" s="189" t="s">
        <v>546</v>
      </c>
      <c r="B403" s="189" t="s">
        <v>297</v>
      </c>
      <c r="C403" s="189" t="s">
        <v>298</v>
      </c>
      <c r="D403" s="189" t="s">
        <v>543</v>
      </c>
      <c r="E403" s="182">
        <v>8088000</v>
      </c>
      <c r="F403" s="182">
        <v>1754053148</v>
      </c>
      <c r="G403" s="182">
        <v>735838926</v>
      </c>
      <c r="H403" s="182">
        <v>0</v>
      </c>
      <c r="I403" s="182">
        <v>8177304.8700000001</v>
      </c>
      <c r="J403" s="182">
        <v>0</v>
      </c>
      <c r="K403" s="191">
        <v>621016920.21000004</v>
      </c>
      <c r="L403" s="182">
        <v>621016920.21000004</v>
      </c>
      <c r="M403" s="182">
        <v>1124858922.9200001</v>
      </c>
      <c r="N403" s="182">
        <v>106644700.92</v>
      </c>
    </row>
    <row r="404" spans="1:14" x14ac:dyDescent="0.25">
      <c r="A404" s="189" t="s">
        <v>546</v>
      </c>
      <c r="B404" s="189" t="s">
        <v>299</v>
      </c>
      <c r="C404" s="189" t="s">
        <v>300</v>
      </c>
      <c r="D404" s="189" t="s">
        <v>543</v>
      </c>
      <c r="E404" s="182">
        <v>0</v>
      </c>
      <c r="F404" s="182">
        <v>1745965148</v>
      </c>
      <c r="G404" s="182">
        <v>727750926</v>
      </c>
      <c r="H404" s="182">
        <v>0</v>
      </c>
      <c r="I404" s="182">
        <v>8177304.8700000001</v>
      </c>
      <c r="J404" s="182">
        <v>0</v>
      </c>
      <c r="K404" s="191">
        <v>618994921.21000004</v>
      </c>
      <c r="L404" s="182">
        <v>618994921.21000004</v>
      </c>
      <c r="M404" s="182">
        <v>1118792921.9200001</v>
      </c>
      <c r="N404" s="182">
        <v>100578699.92</v>
      </c>
    </row>
    <row r="405" spans="1:14" x14ac:dyDescent="0.25">
      <c r="A405" s="189" t="s">
        <v>546</v>
      </c>
      <c r="B405" s="189" t="s">
        <v>366</v>
      </c>
      <c r="C405" s="189" t="s">
        <v>367</v>
      </c>
      <c r="D405" s="189" t="s">
        <v>543</v>
      </c>
      <c r="E405" s="182">
        <v>8088000</v>
      </c>
      <c r="F405" s="182">
        <v>8088000</v>
      </c>
      <c r="G405" s="182">
        <v>8088000</v>
      </c>
      <c r="H405" s="182">
        <v>0</v>
      </c>
      <c r="I405" s="182">
        <v>0</v>
      </c>
      <c r="J405" s="182">
        <v>0</v>
      </c>
      <c r="K405" s="191">
        <v>2021999</v>
      </c>
      <c r="L405" s="182">
        <v>2021999</v>
      </c>
      <c r="M405" s="182">
        <v>6066001</v>
      </c>
      <c r="N405" s="182">
        <v>6066001</v>
      </c>
    </row>
    <row r="406" spans="1:14" x14ac:dyDescent="0.25">
      <c r="A406" s="189" t="s">
        <v>546</v>
      </c>
      <c r="B406" s="189" t="s">
        <v>340</v>
      </c>
      <c r="C406" s="189" t="s">
        <v>341</v>
      </c>
      <c r="D406" s="189" t="s">
        <v>541</v>
      </c>
      <c r="E406" s="182">
        <v>208494000</v>
      </c>
      <c r="F406" s="182">
        <v>208494000</v>
      </c>
      <c r="G406" s="182">
        <v>208494000</v>
      </c>
      <c r="H406" s="182">
        <v>0</v>
      </c>
      <c r="I406" s="182">
        <v>2893894.52</v>
      </c>
      <c r="J406" s="182">
        <v>0</v>
      </c>
      <c r="K406" s="191">
        <v>3472139.2</v>
      </c>
      <c r="L406" s="182">
        <v>3472139.2</v>
      </c>
      <c r="M406" s="182">
        <v>202127966.28</v>
      </c>
      <c r="N406" s="182">
        <v>202127966.28</v>
      </c>
    </row>
    <row r="407" spans="1:14" x14ac:dyDescent="0.25">
      <c r="A407" s="189" t="s">
        <v>546</v>
      </c>
      <c r="B407" s="189" t="s">
        <v>342</v>
      </c>
      <c r="C407" s="189" t="s">
        <v>343</v>
      </c>
      <c r="D407" s="189" t="s">
        <v>543</v>
      </c>
      <c r="E407" s="182">
        <v>208494000</v>
      </c>
      <c r="F407" s="182">
        <v>208494000</v>
      </c>
      <c r="G407" s="182">
        <v>208494000</v>
      </c>
      <c r="H407" s="182">
        <v>0</v>
      </c>
      <c r="I407" s="182">
        <v>2893894.52</v>
      </c>
      <c r="J407" s="182">
        <v>0</v>
      </c>
      <c r="K407" s="191">
        <v>3472139.2</v>
      </c>
      <c r="L407" s="182">
        <v>3472139.2</v>
      </c>
      <c r="M407" s="182">
        <v>202127966.28</v>
      </c>
      <c r="N407" s="182">
        <v>202127966.28</v>
      </c>
    </row>
    <row r="408" spans="1:14" x14ac:dyDescent="0.25">
      <c r="A408" s="189" t="s">
        <v>546</v>
      </c>
      <c r="B408" s="189" t="s">
        <v>342</v>
      </c>
      <c r="C408" s="189" t="s">
        <v>343</v>
      </c>
      <c r="D408" s="189" t="s">
        <v>541</v>
      </c>
      <c r="E408" s="182">
        <v>0</v>
      </c>
      <c r="F408" s="182">
        <v>0</v>
      </c>
      <c r="G408" s="182">
        <v>0</v>
      </c>
      <c r="H408" s="182">
        <v>0</v>
      </c>
      <c r="I408" s="182">
        <v>0</v>
      </c>
      <c r="J408" s="182">
        <v>0</v>
      </c>
      <c r="K408" s="191">
        <v>0</v>
      </c>
      <c r="L408" s="182">
        <v>0</v>
      </c>
      <c r="M408" s="182">
        <v>0</v>
      </c>
      <c r="N408" s="182">
        <v>0</v>
      </c>
    </row>
    <row r="409" spans="1:14" x14ac:dyDescent="0.25">
      <c r="A409" s="189" t="s">
        <v>546</v>
      </c>
      <c r="B409" s="189" t="s">
        <v>251</v>
      </c>
      <c r="C409" s="189" t="s">
        <v>252</v>
      </c>
      <c r="D409" s="189" t="s">
        <v>541</v>
      </c>
      <c r="E409" s="182">
        <v>11597046000</v>
      </c>
      <c r="F409" s="182">
        <v>11597046000</v>
      </c>
      <c r="G409" s="182">
        <v>11533738545.25</v>
      </c>
      <c r="H409" s="182">
        <v>0</v>
      </c>
      <c r="I409" s="182">
        <v>4152969422.6100001</v>
      </c>
      <c r="J409" s="182">
        <v>0</v>
      </c>
      <c r="K409" s="191">
        <v>7250527728.0900002</v>
      </c>
      <c r="L409" s="182">
        <v>7250527728.0900002</v>
      </c>
      <c r="M409" s="182">
        <v>193548849.30000001</v>
      </c>
      <c r="N409" s="182">
        <v>130241394.55</v>
      </c>
    </row>
    <row r="410" spans="1:14" x14ac:dyDescent="0.25">
      <c r="A410" s="189" t="s">
        <v>546</v>
      </c>
      <c r="B410" s="189" t="s">
        <v>253</v>
      </c>
      <c r="C410" s="189" t="s">
        <v>254</v>
      </c>
      <c r="D410" s="189" t="s">
        <v>541</v>
      </c>
      <c r="E410" s="182">
        <v>9955805000</v>
      </c>
      <c r="F410" s="182">
        <v>9915805000</v>
      </c>
      <c r="G410" s="182">
        <v>9915805000</v>
      </c>
      <c r="H410" s="182">
        <v>0</v>
      </c>
      <c r="I410" s="182">
        <v>3855184381.8899999</v>
      </c>
      <c r="J410" s="182">
        <v>0</v>
      </c>
      <c r="K410" s="191">
        <v>6020620618.1099997</v>
      </c>
      <c r="L410" s="182">
        <v>6020620618.1099997</v>
      </c>
      <c r="M410" s="182">
        <v>40000000</v>
      </c>
      <c r="N410" s="182">
        <v>40000000</v>
      </c>
    </row>
    <row r="411" spans="1:14" x14ac:dyDescent="0.25">
      <c r="A411" s="189" t="s">
        <v>546</v>
      </c>
      <c r="B411" s="189" t="s">
        <v>368</v>
      </c>
      <c r="C411" s="189" t="s">
        <v>369</v>
      </c>
      <c r="D411" s="189" t="s">
        <v>541</v>
      </c>
      <c r="E411" s="182">
        <v>80000000</v>
      </c>
      <c r="F411" s="182">
        <v>40000000</v>
      </c>
      <c r="G411" s="182">
        <v>40000000</v>
      </c>
      <c r="H411" s="182">
        <v>0</v>
      </c>
      <c r="I411" s="182">
        <v>0</v>
      </c>
      <c r="J411" s="182">
        <v>0</v>
      </c>
      <c r="K411" s="191">
        <v>0</v>
      </c>
      <c r="L411" s="182">
        <v>0</v>
      </c>
      <c r="M411" s="182">
        <v>40000000</v>
      </c>
      <c r="N411" s="182">
        <v>40000000</v>
      </c>
    </row>
    <row r="412" spans="1:14" x14ac:dyDescent="0.25">
      <c r="A412" s="189" t="s">
        <v>546</v>
      </c>
      <c r="B412" s="189" t="s">
        <v>370</v>
      </c>
      <c r="C412" s="189" t="s">
        <v>602</v>
      </c>
      <c r="D412" s="189" t="s">
        <v>541</v>
      </c>
      <c r="E412" s="182">
        <v>673849000</v>
      </c>
      <c r="F412" s="182">
        <v>673849000</v>
      </c>
      <c r="G412" s="182">
        <v>673849000</v>
      </c>
      <c r="H412" s="182">
        <v>0</v>
      </c>
      <c r="I412" s="182">
        <v>234414065</v>
      </c>
      <c r="J412" s="182">
        <v>0</v>
      </c>
      <c r="K412" s="191">
        <v>439434935</v>
      </c>
      <c r="L412" s="182">
        <v>439434935</v>
      </c>
      <c r="M412" s="182">
        <v>0</v>
      </c>
      <c r="N412" s="182">
        <v>0</v>
      </c>
    </row>
    <row r="413" spans="1:14" x14ac:dyDescent="0.25">
      <c r="A413" s="189" t="s">
        <v>546</v>
      </c>
      <c r="B413" s="189" t="s">
        <v>371</v>
      </c>
      <c r="C413" s="189" t="s">
        <v>603</v>
      </c>
      <c r="D413" s="189" t="s">
        <v>541</v>
      </c>
      <c r="E413" s="182">
        <v>135856000</v>
      </c>
      <c r="F413" s="182">
        <v>135856000</v>
      </c>
      <c r="G413" s="182">
        <v>135856000</v>
      </c>
      <c r="H413" s="182">
        <v>0</v>
      </c>
      <c r="I413" s="182">
        <v>47260248</v>
      </c>
      <c r="J413" s="182">
        <v>0</v>
      </c>
      <c r="K413" s="191">
        <v>88595752</v>
      </c>
      <c r="L413" s="182">
        <v>88595752</v>
      </c>
      <c r="M413" s="182">
        <v>0</v>
      </c>
      <c r="N413" s="182">
        <v>0</v>
      </c>
    </row>
    <row r="414" spans="1:14" x14ac:dyDescent="0.25">
      <c r="A414" s="189" t="s">
        <v>546</v>
      </c>
      <c r="B414" s="189" t="s">
        <v>606</v>
      </c>
      <c r="C414" s="189" t="s">
        <v>608</v>
      </c>
      <c r="D414" s="189" t="s">
        <v>543</v>
      </c>
      <c r="E414" s="182">
        <v>9066100000</v>
      </c>
      <c r="F414" s="182">
        <v>9066100000</v>
      </c>
      <c r="G414" s="182">
        <v>9066100000</v>
      </c>
      <c r="H414" s="182">
        <v>0</v>
      </c>
      <c r="I414" s="182">
        <v>3573510068.8899999</v>
      </c>
      <c r="J414" s="182">
        <v>0</v>
      </c>
      <c r="K414" s="191">
        <v>5492589931.1099997</v>
      </c>
      <c r="L414" s="182">
        <v>5492589931.1099997</v>
      </c>
      <c r="M414" s="182">
        <v>0</v>
      </c>
      <c r="N414" s="182">
        <v>0</v>
      </c>
    </row>
    <row r="415" spans="1:14" x14ac:dyDescent="0.25">
      <c r="A415" s="189" t="s">
        <v>546</v>
      </c>
      <c r="B415" s="189" t="s">
        <v>372</v>
      </c>
      <c r="C415" s="189" t="s">
        <v>373</v>
      </c>
      <c r="D415" s="189" t="s">
        <v>541</v>
      </c>
      <c r="E415" s="182">
        <v>550000000</v>
      </c>
      <c r="F415" s="182">
        <v>550000000</v>
      </c>
      <c r="G415" s="182">
        <v>550000000</v>
      </c>
      <c r="H415" s="182">
        <v>0</v>
      </c>
      <c r="I415" s="182">
        <v>215000000</v>
      </c>
      <c r="J415" s="182">
        <v>0</v>
      </c>
      <c r="K415" s="191">
        <v>315000000</v>
      </c>
      <c r="L415" s="182">
        <v>315000000</v>
      </c>
      <c r="M415" s="182">
        <v>20000000</v>
      </c>
      <c r="N415" s="182">
        <v>20000000</v>
      </c>
    </row>
    <row r="416" spans="1:14" x14ac:dyDescent="0.25">
      <c r="A416" s="189" t="s">
        <v>546</v>
      </c>
      <c r="B416" s="189" t="s">
        <v>374</v>
      </c>
      <c r="C416" s="189" t="s">
        <v>375</v>
      </c>
      <c r="D416" s="189" t="s">
        <v>541</v>
      </c>
      <c r="E416" s="182">
        <v>550000000</v>
      </c>
      <c r="F416" s="182">
        <v>550000000</v>
      </c>
      <c r="G416" s="182">
        <v>550000000</v>
      </c>
      <c r="H416" s="182">
        <v>0</v>
      </c>
      <c r="I416" s="182">
        <v>215000000</v>
      </c>
      <c r="J416" s="182">
        <v>0</v>
      </c>
      <c r="K416" s="191">
        <v>315000000</v>
      </c>
      <c r="L416" s="182">
        <v>315000000</v>
      </c>
      <c r="M416" s="182">
        <v>20000000</v>
      </c>
      <c r="N416" s="182">
        <v>20000000</v>
      </c>
    </row>
    <row r="417" spans="1:14" x14ac:dyDescent="0.25">
      <c r="A417" s="189" t="s">
        <v>546</v>
      </c>
      <c r="B417" s="189" t="s">
        <v>261</v>
      </c>
      <c r="C417" s="189" t="s">
        <v>262</v>
      </c>
      <c r="D417" s="189" t="s">
        <v>541</v>
      </c>
      <c r="E417" s="182">
        <v>1002889000</v>
      </c>
      <c r="F417" s="182">
        <v>1002889000</v>
      </c>
      <c r="G417" s="182">
        <v>939581545.25</v>
      </c>
      <c r="H417" s="182">
        <v>0</v>
      </c>
      <c r="I417" s="182">
        <v>74194650.609999999</v>
      </c>
      <c r="J417" s="182">
        <v>0</v>
      </c>
      <c r="K417" s="191">
        <v>825145500.09000003</v>
      </c>
      <c r="L417" s="182">
        <v>825145500.09000003</v>
      </c>
      <c r="M417" s="182">
        <v>103548849.3</v>
      </c>
      <c r="N417" s="182">
        <v>40241394.549999997</v>
      </c>
    </row>
    <row r="418" spans="1:14" x14ac:dyDescent="0.25">
      <c r="A418" s="189" t="s">
        <v>546</v>
      </c>
      <c r="B418" s="189" t="s">
        <v>263</v>
      </c>
      <c r="C418" s="189" t="s">
        <v>264</v>
      </c>
      <c r="D418" s="189" t="s">
        <v>541</v>
      </c>
      <c r="E418" s="182">
        <v>657462000</v>
      </c>
      <c r="F418" s="182">
        <v>657462000</v>
      </c>
      <c r="G418" s="182">
        <v>657462000</v>
      </c>
      <c r="H418" s="182">
        <v>0</v>
      </c>
      <c r="I418" s="182">
        <v>74194650.609999999</v>
      </c>
      <c r="J418" s="182">
        <v>0</v>
      </c>
      <c r="K418" s="191">
        <v>583267349.38999999</v>
      </c>
      <c r="L418" s="182">
        <v>583267349.38999999</v>
      </c>
      <c r="M418" s="182">
        <v>0</v>
      </c>
      <c r="N418" s="182">
        <v>0</v>
      </c>
    </row>
    <row r="419" spans="1:14" x14ac:dyDescent="0.25">
      <c r="A419" s="189" t="s">
        <v>546</v>
      </c>
      <c r="B419" s="189" t="s">
        <v>265</v>
      </c>
      <c r="C419" s="189" t="s">
        <v>266</v>
      </c>
      <c r="D419" s="189" t="s">
        <v>541</v>
      </c>
      <c r="E419" s="182">
        <v>345427000</v>
      </c>
      <c r="F419" s="182">
        <v>345427000</v>
      </c>
      <c r="G419" s="182">
        <v>282119545.25</v>
      </c>
      <c r="H419" s="182">
        <v>0</v>
      </c>
      <c r="I419" s="182">
        <v>0</v>
      </c>
      <c r="J419" s="182">
        <v>0</v>
      </c>
      <c r="K419" s="191">
        <v>241878150.69999999</v>
      </c>
      <c r="L419" s="182">
        <v>241878150.69999999</v>
      </c>
      <c r="M419" s="182">
        <v>103548849.3</v>
      </c>
      <c r="N419" s="182">
        <v>40241394.549999997</v>
      </c>
    </row>
    <row r="420" spans="1:14" x14ac:dyDescent="0.25">
      <c r="A420" s="189" t="s">
        <v>546</v>
      </c>
      <c r="B420" s="189" t="s">
        <v>267</v>
      </c>
      <c r="C420" s="189" t="s">
        <v>268</v>
      </c>
      <c r="D420" s="189" t="s">
        <v>541</v>
      </c>
      <c r="E420" s="182">
        <v>88352000</v>
      </c>
      <c r="F420" s="182">
        <v>128352000</v>
      </c>
      <c r="G420" s="182">
        <v>128352000</v>
      </c>
      <c r="H420" s="182">
        <v>0</v>
      </c>
      <c r="I420" s="182">
        <v>8590390.1099999994</v>
      </c>
      <c r="J420" s="182">
        <v>0</v>
      </c>
      <c r="K420" s="191">
        <v>89761609.890000001</v>
      </c>
      <c r="L420" s="182">
        <v>89761609.890000001</v>
      </c>
      <c r="M420" s="182">
        <v>30000000</v>
      </c>
      <c r="N420" s="182">
        <v>30000000</v>
      </c>
    </row>
    <row r="421" spans="1:14" x14ac:dyDescent="0.25">
      <c r="A421" s="189" t="s">
        <v>546</v>
      </c>
      <c r="B421" s="189" t="s">
        <v>269</v>
      </c>
      <c r="C421" s="189" t="s">
        <v>270</v>
      </c>
      <c r="D421" s="189" t="s">
        <v>541</v>
      </c>
      <c r="E421" s="182">
        <v>65000000</v>
      </c>
      <c r="F421" s="182">
        <v>105000000</v>
      </c>
      <c r="G421" s="182">
        <v>105000000</v>
      </c>
      <c r="H421" s="182">
        <v>0</v>
      </c>
      <c r="I421" s="182">
        <v>3878761.16</v>
      </c>
      <c r="J421" s="182">
        <v>0</v>
      </c>
      <c r="K421" s="191">
        <v>81121238.840000004</v>
      </c>
      <c r="L421" s="182">
        <v>81121238.840000004</v>
      </c>
      <c r="M421" s="182">
        <v>20000000</v>
      </c>
      <c r="N421" s="182">
        <v>20000000</v>
      </c>
    </row>
    <row r="422" spans="1:14" x14ac:dyDescent="0.25">
      <c r="A422" s="189" t="s">
        <v>546</v>
      </c>
      <c r="B422" s="189" t="s">
        <v>271</v>
      </c>
      <c r="C422" s="189" t="s">
        <v>272</v>
      </c>
      <c r="D422" s="189" t="s">
        <v>541</v>
      </c>
      <c r="E422" s="182">
        <v>23352000</v>
      </c>
      <c r="F422" s="182">
        <v>23352000</v>
      </c>
      <c r="G422" s="182">
        <v>23352000</v>
      </c>
      <c r="H422" s="182">
        <v>0</v>
      </c>
      <c r="I422" s="182">
        <v>4711628.95</v>
      </c>
      <c r="J422" s="182">
        <v>0</v>
      </c>
      <c r="K422" s="191">
        <v>8640371.0500000007</v>
      </c>
      <c r="L422" s="182">
        <v>8640371.0500000007</v>
      </c>
      <c r="M422" s="182">
        <v>10000000</v>
      </c>
      <c r="N422" s="182">
        <v>10000000</v>
      </c>
    </row>
    <row r="423" spans="1:14" x14ac:dyDescent="0.25">
      <c r="A423" s="189" t="s">
        <v>546</v>
      </c>
      <c r="B423" s="189" t="s">
        <v>376</v>
      </c>
      <c r="C423" s="189" t="s">
        <v>377</v>
      </c>
      <c r="D423" s="189" t="s">
        <v>543</v>
      </c>
      <c r="E423" s="182">
        <v>573100000</v>
      </c>
      <c r="F423" s="182">
        <v>827134852</v>
      </c>
      <c r="G423" s="182">
        <v>422017020</v>
      </c>
      <c r="H423" s="182">
        <v>0</v>
      </c>
      <c r="I423" s="182">
        <v>0</v>
      </c>
      <c r="J423" s="182">
        <v>0</v>
      </c>
      <c r="K423" s="191">
        <v>0</v>
      </c>
      <c r="L423" s="182">
        <v>0</v>
      </c>
      <c r="M423" s="182">
        <v>827134852</v>
      </c>
      <c r="N423" s="182">
        <v>422017020</v>
      </c>
    </row>
    <row r="424" spans="1:14" x14ac:dyDescent="0.25">
      <c r="A424" s="189" t="s">
        <v>546</v>
      </c>
      <c r="B424" s="189" t="s">
        <v>378</v>
      </c>
      <c r="C424" s="189" t="s">
        <v>379</v>
      </c>
      <c r="D424" s="189" t="s">
        <v>543</v>
      </c>
      <c r="E424" s="182">
        <v>573100000</v>
      </c>
      <c r="F424" s="182">
        <v>827134852</v>
      </c>
      <c r="G424" s="182">
        <v>422017020</v>
      </c>
      <c r="H424" s="182">
        <v>0</v>
      </c>
      <c r="I424" s="182">
        <v>0</v>
      </c>
      <c r="J424" s="182">
        <v>0</v>
      </c>
      <c r="K424" s="191">
        <v>0</v>
      </c>
      <c r="L424" s="182">
        <v>0</v>
      </c>
      <c r="M424" s="182">
        <v>827134852</v>
      </c>
      <c r="N424" s="182">
        <v>422017020</v>
      </c>
    </row>
    <row r="425" spans="1:14" x14ac:dyDescent="0.25">
      <c r="A425" s="189" t="s">
        <v>546</v>
      </c>
      <c r="B425" s="189" t="s">
        <v>380</v>
      </c>
      <c r="C425" s="189" t="s">
        <v>381</v>
      </c>
      <c r="D425" s="189" t="s">
        <v>543</v>
      </c>
      <c r="E425" s="182">
        <v>573100000</v>
      </c>
      <c r="F425" s="182">
        <v>827134852</v>
      </c>
      <c r="G425" s="182">
        <v>422017020</v>
      </c>
      <c r="H425" s="182">
        <v>0</v>
      </c>
      <c r="I425" s="182">
        <v>0</v>
      </c>
      <c r="J425" s="182">
        <v>0</v>
      </c>
      <c r="K425" s="191">
        <v>0</v>
      </c>
      <c r="L425" s="182">
        <v>0</v>
      </c>
      <c r="M425" s="182">
        <v>827134852</v>
      </c>
      <c r="N425" s="182">
        <v>422017020</v>
      </c>
    </row>
    <row r="426" spans="1:14" x14ac:dyDescent="0.25">
      <c r="A426" s="189" t="s">
        <v>547</v>
      </c>
      <c r="B426" s="189" t="s">
        <v>587</v>
      </c>
      <c r="C426" s="189" t="s">
        <v>587</v>
      </c>
      <c r="D426" s="189" t="s">
        <v>541</v>
      </c>
      <c r="E426" s="182">
        <v>13837611334</v>
      </c>
      <c r="F426" s="182">
        <v>13837611334</v>
      </c>
      <c r="G426" s="182">
        <v>13751959037</v>
      </c>
      <c r="H426" s="182">
        <v>0</v>
      </c>
      <c r="I426" s="182">
        <v>959355173.00999999</v>
      </c>
      <c r="J426" s="182">
        <v>0</v>
      </c>
      <c r="K426" s="191">
        <v>8128774917.3100004</v>
      </c>
      <c r="L426" s="182">
        <v>8105279591.9899998</v>
      </c>
      <c r="M426" s="182">
        <v>4749481243.6800003</v>
      </c>
      <c r="N426" s="182">
        <v>4663828946.6800003</v>
      </c>
    </row>
    <row r="427" spans="1:14" x14ac:dyDescent="0.25">
      <c r="A427" s="189" t="s">
        <v>547</v>
      </c>
      <c r="B427" s="189" t="s">
        <v>92</v>
      </c>
      <c r="C427" s="189" t="s">
        <v>93</v>
      </c>
      <c r="D427" s="189" t="s">
        <v>541</v>
      </c>
      <c r="E427" s="182">
        <v>13313316000</v>
      </c>
      <c r="F427" s="182">
        <v>13313316000</v>
      </c>
      <c r="G427" s="182">
        <v>13313316000</v>
      </c>
      <c r="H427" s="182">
        <v>0</v>
      </c>
      <c r="I427" s="182">
        <v>809821318.40999997</v>
      </c>
      <c r="J427" s="182">
        <v>0</v>
      </c>
      <c r="K427" s="191">
        <v>7852465043.6199999</v>
      </c>
      <c r="L427" s="182">
        <v>7852465043.6199999</v>
      </c>
      <c r="M427" s="182">
        <v>4651029637.9700003</v>
      </c>
      <c r="N427" s="182">
        <v>4651029637.9700003</v>
      </c>
    </row>
    <row r="428" spans="1:14" x14ac:dyDescent="0.25">
      <c r="A428" s="189" t="s">
        <v>547</v>
      </c>
      <c r="B428" s="189" t="s">
        <v>94</v>
      </c>
      <c r="C428" s="189" t="s">
        <v>95</v>
      </c>
      <c r="D428" s="189" t="s">
        <v>541</v>
      </c>
      <c r="E428" s="182">
        <v>4473382000</v>
      </c>
      <c r="F428" s="182">
        <v>4473382000</v>
      </c>
      <c r="G428" s="182">
        <v>4473382000</v>
      </c>
      <c r="H428" s="182">
        <v>0</v>
      </c>
      <c r="I428" s="182">
        <v>0</v>
      </c>
      <c r="J428" s="182">
        <v>0</v>
      </c>
      <c r="K428" s="191">
        <v>2656645598.0500002</v>
      </c>
      <c r="L428" s="182">
        <v>2656645598.0500002</v>
      </c>
      <c r="M428" s="182">
        <v>1816736401.95</v>
      </c>
      <c r="N428" s="182">
        <v>1816736401.95</v>
      </c>
    </row>
    <row r="429" spans="1:14" x14ac:dyDescent="0.25">
      <c r="A429" s="189" t="s">
        <v>547</v>
      </c>
      <c r="B429" s="189" t="s">
        <v>96</v>
      </c>
      <c r="C429" s="189" t="s">
        <v>97</v>
      </c>
      <c r="D429" s="189" t="s">
        <v>541</v>
      </c>
      <c r="E429" s="182">
        <v>4473382000</v>
      </c>
      <c r="F429" s="182">
        <v>4473382000</v>
      </c>
      <c r="G429" s="182">
        <v>4473382000</v>
      </c>
      <c r="H429" s="182">
        <v>0</v>
      </c>
      <c r="I429" s="182">
        <v>0</v>
      </c>
      <c r="J429" s="182">
        <v>0</v>
      </c>
      <c r="K429" s="191">
        <v>2656645598.0500002</v>
      </c>
      <c r="L429" s="182">
        <v>2656645598.0500002</v>
      </c>
      <c r="M429" s="182">
        <v>1816736401.95</v>
      </c>
      <c r="N429" s="182">
        <v>1816736401.95</v>
      </c>
    </row>
    <row r="430" spans="1:14" x14ac:dyDescent="0.25">
      <c r="A430" s="189" t="s">
        <v>547</v>
      </c>
      <c r="B430" s="189" t="s">
        <v>102</v>
      </c>
      <c r="C430" s="189" t="s">
        <v>103</v>
      </c>
      <c r="D430" s="189" t="s">
        <v>541</v>
      </c>
      <c r="E430" s="182">
        <v>6745487000</v>
      </c>
      <c r="F430" s="182">
        <v>6745487000</v>
      </c>
      <c r="G430" s="182">
        <v>6745487000</v>
      </c>
      <c r="H430" s="182">
        <v>0</v>
      </c>
      <c r="I430" s="182">
        <v>0</v>
      </c>
      <c r="J430" s="182">
        <v>0</v>
      </c>
      <c r="K430" s="191">
        <v>3911193763.98</v>
      </c>
      <c r="L430" s="182">
        <v>3911193763.98</v>
      </c>
      <c r="M430" s="182">
        <v>2834293236.02</v>
      </c>
      <c r="N430" s="182">
        <v>2834293236.02</v>
      </c>
    </row>
    <row r="431" spans="1:14" x14ac:dyDescent="0.25">
      <c r="A431" s="189" t="s">
        <v>547</v>
      </c>
      <c r="B431" s="189" t="s">
        <v>104</v>
      </c>
      <c r="C431" s="189" t="s">
        <v>105</v>
      </c>
      <c r="D431" s="189" t="s">
        <v>541</v>
      </c>
      <c r="E431" s="182">
        <v>1460185000</v>
      </c>
      <c r="F431" s="182">
        <v>1460185000</v>
      </c>
      <c r="G431" s="182">
        <v>1460185000</v>
      </c>
      <c r="H431" s="182">
        <v>0</v>
      </c>
      <c r="I431" s="182">
        <v>0</v>
      </c>
      <c r="J431" s="182">
        <v>0</v>
      </c>
      <c r="K431" s="191">
        <v>878455309.12</v>
      </c>
      <c r="L431" s="182">
        <v>878455309.12</v>
      </c>
      <c r="M431" s="182">
        <v>581729690.88</v>
      </c>
      <c r="N431" s="182">
        <v>581729690.88</v>
      </c>
    </row>
    <row r="432" spans="1:14" x14ac:dyDescent="0.25">
      <c r="A432" s="189" t="s">
        <v>547</v>
      </c>
      <c r="B432" s="189" t="s">
        <v>106</v>
      </c>
      <c r="C432" s="189" t="s">
        <v>107</v>
      </c>
      <c r="D432" s="189" t="s">
        <v>541</v>
      </c>
      <c r="E432" s="182">
        <v>2519609000</v>
      </c>
      <c r="F432" s="182">
        <v>2519609000</v>
      </c>
      <c r="G432" s="182">
        <v>2519609000</v>
      </c>
      <c r="H432" s="182">
        <v>0</v>
      </c>
      <c r="I432" s="182">
        <v>0</v>
      </c>
      <c r="J432" s="182">
        <v>0</v>
      </c>
      <c r="K432" s="191">
        <v>1553857464.9300001</v>
      </c>
      <c r="L432" s="182">
        <v>1553857464.9300001</v>
      </c>
      <c r="M432" s="182">
        <v>965751535.07000005</v>
      </c>
      <c r="N432" s="182">
        <v>965751535.07000005</v>
      </c>
    </row>
    <row r="433" spans="1:14" x14ac:dyDescent="0.25">
      <c r="A433" s="189" t="s">
        <v>547</v>
      </c>
      <c r="B433" s="189" t="s">
        <v>112</v>
      </c>
      <c r="C433" s="189" t="s">
        <v>113</v>
      </c>
      <c r="D433" s="189" t="s">
        <v>543</v>
      </c>
      <c r="E433" s="182">
        <v>830335000</v>
      </c>
      <c r="F433" s="182">
        <v>830335000</v>
      </c>
      <c r="G433" s="182">
        <v>830335000</v>
      </c>
      <c r="H433" s="182">
        <v>0</v>
      </c>
      <c r="I433" s="182">
        <v>0</v>
      </c>
      <c r="J433" s="182">
        <v>0</v>
      </c>
      <c r="K433" s="191">
        <v>241669.22</v>
      </c>
      <c r="L433" s="182">
        <v>241669.22</v>
      </c>
      <c r="M433" s="182">
        <v>830093330.77999997</v>
      </c>
      <c r="N433" s="182">
        <v>830093330.77999997</v>
      </c>
    </row>
    <row r="434" spans="1:14" x14ac:dyDescent="0.25">
      <c r="A434" s="189" t="s">
        <v>547</v>
      </c>
      <c r="B434" s="189" t="s">
        <v>108</v>
      </c>
      <c r="C434" s="189" t="s">
        <v>109</v>
      </c>
      <c r="D434" s="189" t="s">
        <v>541</v>
      </c>
      <c r="E434" s="182">
        <v>738904000</v>
      </c>
      <c r="F434" s="182">
        <v>738904000</v>
      </c>
      <c r="G434" s="182">
        <v>738904000</v>
      </c>
      <c r="H434" s="182">
        <v>0</v>
      </c>
      <c r="I434" s="182">
        <v>0</v>
      </c>
      <c r="J434" s="182">
        <v>0</v>
      </c>
      <c r="K434" s="191">
        <v>737019487.25</v>
      </c>
      <c r="L434" s="182">
        <v>737019487.25</v>
      </c>
      <c r="M434" s="182">
        <v>1884512.75</v>
      </c>
      <c r="N434" s="182">
        <v>1884512.75</v>
      </c>
    </row>
    <row r="435" spans="1:14" x14ac:dyDescent="0.25">
      <c r="A435" s="189" t="s">
        <v>547</v>
      </c>
      <c r="B435" s="189" t="s">
        <v>110</v>
      </c>
      <c r="C435" s="189" t="s">
        <v>111</v>
      </c>
      <c r="D435" s="189" t="s">
        <v>541</v>
      </c>
      <c r="E435" s="182">
        <v>1196454000</v>
      </c>
      <c r="F435" s="182">
        <v>1196454000</v>
      </c>
      <c r="G435" s="182">
        <v>1196454000</v>
      </c>
      <c r="H435" s="182">
        <v>0</v>
      </c>
      <c r="I435" s="182">
        <v>0</v>
      </c>
      <c r="J435" s="182">
        <v>0</v>
      </c>
      <c r="K435" s="191">
        <v>741619833.46000004</v>
      </c>
      <c r="L435" s="182">
        <v>741619833.46000004</v>
      </c>
      <c r="M435" s="182">
        <v>454834166.54000002</v>
      </c>
      <c r="N435" s="182">
        <v>454834166.54000002</v>
      </c>
    </row>
    <row r="436" spans="1:14" x14ac:dyDescent="0.25">
      <c r="A436" s="189" t="s">
        <v>547</v>
      </c>
      <c r="B436" s="189" t="s">
        <v>114</v>
      </c>
      <c r="C436" s="189" t="s">
        <v>115</v>
      </c>
      <c r="D436" s="189" t="s">
        <v>541</v>
      </c>
      <c r="E436" s="182">
        <v>1012881000</v>
      </c>
      <c r="F436" s="182">
        <v>1012881000</v>
      </c>
      <c r="G436" s="182">
        <v>1012881000</v>
      </c>
      <c r="H436" s="182">
        <v>0</v>
      </c>
      <c r="I436" s="182">
        <v>371551503</v>
      </c>
      <c r="J436" s="182">
        <v>0</v>
      </c>
      <c r="K436" s="191">
        <v>641329497</v>
      </c>
      <c r="L436" s="182">
        <v>641329497</v>
      </c>
      <c r="M436" s="182">
        <v>0</v>
      </c>
      <c r="N436" s="182">
        <v>0</v>
      </c>
    </row>
    <row r="437" spans="1:14" x14ac:dyDescent="0.25">
      <c r="A437" s="189" t="s">
        <v>547</v>
      </c>
      <c r="B437" s="189" t="s">
        <v>382</v>
      </c>
      <c r="C437" s="189" t="s">
        <v>597</v>
      </c>
      <c r="D437" s="189" t="s">
        <v>541</v>
      </c>
      <c r="E437" s="182">
        <v>960939000</v>
      </c>
      <c r="F437" s="182">
        <v>960939000</v>
      </c>
      <c r="G437" s="182">
        <v>960939000</v>
      </c>
      <c r="H437" s="182">
        <v>0</v>
      </c>
      <c r="I437" s="182">
        <v>352496866</v>
      </c>
      <c r="J437" s="182">
        <v>0</v>
      </c>
      <c r="K437" s="191">
        <v>608442134</v>
      </c>
      <c r="L437" s="182">
        <v>608442134</v>
      </c>
      <c r="M437" s="182">
        <v>0</v>
      </c>
      <c r="N437" s="182">
        <v>0</v>
      </c>
    </row>
    <row r="438" spans="1:14" x14ac:dyDescent="0.25">
      <c r="A438" s="189" t="s">
        <v>547</v>
      </c>
      <c r="B438" s="189" t="s">
        <v>383</v>
      </c>
      <c r="C438" s="189" t="s">
        <v>583</v>
      </c>
      <c r="D438" s="189" t="s">
        <v>541</v>
      </c>
      <c r="E438" s="182">
        <v>51942000</v>
      </c>
      <c r="F438" s="182">
        <v>51942000</v>
      </c>
      <c r="G438" s="182">
        <v>51942000</v>
      </c>
      <c r="H438" s="182">
        <v>0</v>
      </c>
      <c r="I438" s="182">
        <v>19054637</v>
      </c>
      <c r="J438" s="182">
        <v>0</v>
      </c>
      <c r="K438" s="191">
        <v>32887363</v>
      </c>
      <c r="L438" s="182">
        <v>32887363</v>
      </c>
      <c r="M438" s="182">
        <v>0</v>
      </c>
      <c r="N438" s="182">
        <v>0</v>
      </c>
    </row>
    <row r="439" spans="1:14" x14ac:dyDescent="0.25">
      <c r="A439" s="189" t="s">
        <v>547</v>
      </c>
      <c r="B439" s="189" t="s">
        <v>118</v>
      </c>
      <c r="C439" s="189" t="s">
        <v>119</v>
      </c>
      <c r="D439" s="189" t="s">
        <v>541</v>
      </c>
      <c r="E439" s="182">
        <v>1081566000</v>
      </c>
      <c r="F439" s="182">
        <v>1081566000</v>
      </c>
      <c r="G439" s="182">
        <v>1081566000</v>
      </c>
      <c r="H439" s="182">
        <v>0</v>
      </c>
      <c r="I439" s="182">
        <v>438269815.41000003</v>
      </c>
      <c r="J439" s="182">
        <v>0</v>
      </c>
      <c r="K439" s="191">
        <v>643296184.59000003</v>
      </c>
      <c r="L439" s="182">
        <v>643296184.59000003</v>
      </c>
      <c r="M439" s="182">
        <v>0</v>
      </c>
      <c r="N439" s="182">
        <v>0</v>
      </c>
    </row>
    <row r="440" spans="1:14" x14ac:dyDescent="0.25">
      <c r="A440" s="189" t="s">
        <v>547</v>
      </c>
      <c r="B440" s="189" t="s">
        <v>384</v>
      </c>
      <c r="C440" s="189" t="s">
        <v>598</v>
      </c>
      <c r="D440" s="189" t="s">
        <v>541</v>
      </c>
      <c r="E440" s="182">
        <v>527737000</v>
      </c>
      <c r="F440" s="182">
        <v>527737000</v>
      </c>
      <c r="G440" s="182">
        <v>527737000</v>
      </c>
      <c r="H440" s="182">
        <v>0</v>
      </c>
      <c r="I440" s="182">
        <v>238372021</v>
      </c>
      <c r="J440" s="182">
        <v>0</v>
      </c>
      <c r="K440" s="191">
        <v>289364979</v>
      </c>
      <c r="L440" s="182">
        <v>289364979</v>
      </c>
      <c r="M440" s="182">
        <v>0</v>
      </c>
      <c r="N440" s="182">
        <v>0</v>
      </c>
    </row>
    <row r="441" spans="1:14" x14ac:dyDescent="0.25">
      <c r="A441" s="189" t="s">
        <v>547</v>
      </c>
      <c r="B441" s="189" t="s">
        <v>385</v>
      </c>
      <c r="C441" s="189" t="s">
        <v>599</v>
      </c>
      <c r="D441" s="189" t="s">
        <v>541</v>
      </c>
      <c r="E441" s="182">
        <v>155828000</v>
      </c>
      <c r="F441" s="182">
        <v>155828000</v>
      </c>
      <c r="G441" s="182">
        <v>155828000</v>
      </c>
      <c r="H441" s="182">
        <v>0</v>
      </c>
      <c r="I441" s="182">
        <v>57165852</v>
      </c>
      <c r="J441" s="182">
        <v>0</v>
      </c>
      <c r="K441" s="191">
        <v>98662148</v>
      </c>
      <c r="L441" s="182">
        <v>98662148</v>
      </c>
      <c r="M441" s="182">
        <v>0</v>
      </c>
      <c r="N441" s="182">
        <v>0</v>
      </c>
    </row>
    <row r="442" spans="1:14" x14ac:dyDescent="0.25">
      <c r="A442" s="189" t="s">
        <v>547</v>
      </c>
      <c r="B442" s="189" t="s">
        <v>386</v>
      </c>
      <c r="C442" s="189" t="s">
        <v>600</v>
      </c>
      <c r="D442" s="189" t="s">
        <v>541</v>
      </c>
      <c r="E442" s="182">
        <v>311656000</v>
      </c>
      <c r="F442" s="182">
        <v>311656000</v>
      </c>
      <c r="G442" s="182">
        <v>311656000</v>
      </c>
      <c r="H442" s="182">
        <v>0</v>
      </c>
      <c r="I442" s="182">
        <v>114331802</v>
      </c>
      <c r="J442" s="182">
        <v>0</v>
      </c>
      <c r="K442" s="191">
        <v>197324198</v>
      </c>
      <c r="L442" s="182">
        <v>197324198</v>
      </c>
      <c r="M442" s="182">
        <v>0</v>
      </c>
      <c r="N442" s="182">
        <v>0</v>
      </c>
    </row>
    <row r="443" spans="1:14" x14ac:dyDescent="0.25">
      <c r="A443" s="189" t="s">
        <v>547</v>
      </c>
      <c r="B443" s="189" t="s">
        <v>387</v>
      </c>
      <c r="C443" s="189" t="s">
        <v>388</v>
      </c>
      <c r="D443" s="189" t="s">
        <v>541</v>
      </c>
      <c r="E443" s="182">
        <v>86345000</v>
      </c>
      <c r="F443" s="182">
        <v>86345000</v>
      </c>
      <c r="G443" s="182">
        <v>86345000</v>
      </c>
      <c r="H443" s="182">
        <v>0</v>
      </c>
      <c r="I443" s="182">
        <v>28400140.41</v>
      </c>
      <c r="J443" s="182">
        <v>0</v>
      </c>
      <c r="K443" s="191">
        <v>57944859.590000004</v>
      </c>
      <c r="L443" s="182">
        <v>57944859.590000004</v>
      </c>
      <c r="M443" s="182">
        <v>0</v>
      </c>
      <c r="N443" s="182">
        <v>0</v>
      </c>
    </row>
    <row r="444" spans="1:14" x14ac:dyDescent="0.25">
      <c r="A444" s="189" t="s">
        <v>547</v>
      </c>
      <c r="B444" s="189" t="s">
        <v>123</v>
      </c>
      <c r="C444" s="189" t="s">
        <v>124</v>
      </c>
      <c r="D444" s="189" t="s">
        <v>541</v>
      </c>
      <c r="E444" s="182">
        <v>31730334</v>
      </c>
      <c r="F444" s="182">
        <v>43352799</v>
      </c>
      <c r="G444" s="182">
        <v>43352799</v>
      </c>
      <c r="H444" s="182">
        <v>0</v>
      </c>
      <c r="I444" s="182">
        <v>43352799</v>
      </c>
      <c r="J444" s="182">
        <v>0</v>
      </c>
      <c r="K444" s="191">
        <v>0</v>
      </c>
      <c r="L444" s="182">
        <v>0</v>
      </c>
      <c r="M444" s="182">
        <v>0</v>
      </c>
      <c r="N444" s="182">
        <v>0</v>
      </c>
    </row>
    <row r="445" spans="1:14" x14ac:dyDescent="0.25">
      <c r="A445" s="189" t="s">
        <v>547</v>
      </c>
      <c r="B445" s="189" t="s">
        <v>168</v>
      </c>
      <c r="C445" s="189" t="s">
        <v>169</v>
      </c>
      <c r="D445" s="189" t="s">
        <v>541</v>
      </c>
      <c r="E445" s="182">
        <v>31730334</v>
      </c>
      <c r="F445" s="182">
        <v>43352799</v>
      </c>
      <c r="G445" s="182">
        <v>43352799</v>
      </c>
      <c r="H445" s="182">
        <v>0</v>
      </c>
      <c r="I445" s="182">
        <v>43352799</v>
      </c>
      <c r="J445" s="182">
        <v>0</v>
      </c>
      <c r="K445" s="191">
        <v>0</v>
      </c>
      <c r="L445" s="182">
        <v>0</v>
      </c>
      <c r="M445" s="182">
        <v>0</v>
      </c>
      <c r="N445" s="182">
        <v>0</v>
      </c>
    </row>
    <row r="446" spans="1:14" x14ac:dyDescent="0.25">
      <c r="A446" s="189" t="s">
        <v>547</v>
      </c>
      <c r="B446" s="189" t="s">
        <v>170</v>
      </c>
      <c r="C446" s="189" t="s">
        <v>171</v>
      </c>
      <c r="D446" s="189" t="s">
        <v>541</v>
      </c>
      <c r="E446" s="182">
        <v>31730334</v>
      </c>
      <c r="F446" s="182">
        <v>43352799</v>
      </c>
      <c r="G446" s="182">
        <v>43352799</v>
      </c>
      <c r="H446" s="182">
        <v>0</v>
      </c>
      <c r="I446" s="182">
        <v>43352799</v>
      </c>
      <c r="J446" s="182">
        <v>0</v>
      </c>
      <c r="K446" s="191">
        <v>0</v>
      </c>
      <c r="L446" s="182">
        <v>0</v>
      </c>
      <c r="M446" s="182">
        <v>0</v>
      </c>
      <c r="N446" s="182">
        <v>0</v>
      </c>
    </row>
    <row r="447" spans="1:14" x14ac:dyDescent="0.25">
      <c r="A447" s="189" t="s">
        <v>547</v>
      </c>
      <c r="B447" s="189" t="s">
        <v>251</v>
      </c>
      <c r="C447" s="189" t="s">
        <v>252</v>
      </c>
      <c r="D447" s="189" t="s">
        <v>541</v>
      </c>
      <c r="E447" s="182">
        <v>492565000</v>
      </c>
      <c r="F447" s="182">
        <v>480942535</v>
      </c>
      <c r="G447" s="182">
        <v>395290238</v>
      </c>
      <c r="H447" s="182">
        <v>0</v>
      </c>
      <c r="I447" s="182">
        <v>106181055.59999999</v>
      </c>
      <c r="J447" s="182">
        <v>0</v>
      </c>
      <c r="K447" s="191">
        <v>276309873.69</v>
      </c>
      <c r="L447" s="182">
        <v>252814548.37</v>
      </c>
      <c r="M447" s="182">
        <v>98451605.709999993</v>
      </c>
      <c r="N447" s="182">
        <v>12799308.710000001</v>
      </c>
    </row>
    <row r="448" spans="1:14" x14ac:dyDescent="0.25">
      <c r="A448" s="189" t="s">
        <v>547</v>
      </c>
      <c r="B448" s="189" t="s">
        <v>253</v>
      </c>
      <c r="C448" s="189" t="s">
        <v>254</v>
      </c>
      <c r="D448" s="189" t="s">
        <v>541</v>
      </c>
      <c r="E448" s="182">
        <v>154788000</v>
      </c>
      <c r="F448" s="182">
        <v>154788000</v>
      </c>
      <c r="G448" s="182">
        <v>154788000</v>
      </c>
      <c r="H448" s="182">
        <v>0</v>
      </c>
      <c r="I448" s="182">
        <v>66575975.079999998</v>
      </c>
      <c r="J448" s="182">
        <v>0</v>
      </c>
      <c r="K448" s="191">
        <v>88212024.920000002</v>
      </c>
      <c r="L448" s="182">
        <v>88212024.920000002</v>
      </c>
      <c r="M448" s="182">
        <v>0</v>
      </c>
      <c r="N448" s="182">
        <v>0</v>
      </c>
    </row>
    <row r="449" spans="1:14" x14ac:dyDescent="0.25">
      <c r="A449" s="189" t="s">
        <v>547</v>
      </c>
      <c r="B449" s="189" t="s">
        <v>389</v>
      </c>
      <c r="C449" s="189" t="s">
        <v>602</v>
      </c>
      <c r="D449" s="189" t="s">
        <v>541</v>
      </c>
      <c r="E449" s="182">
        <v>128817000</v>
      </c>
      <c r="F449" s="182">
        <v>128817000</v>
      </c>
      <c r="G449" s="182">
        <v>128817000</v>
      </c>
      <c r="H449" s="182">
        <v>0</v>
      </c>
      <c r="I449" s="182">
        <v>57048728.079999998</v>
      </c>
      <c r="J449" s="182">
        <v>0</v>
      </c>
      <c r="K449" s="191">
        <v>71768271.920000002</v>
      </c>
      <c r="L449" s="182">
        <v>71768271.920000002</v>
      </c>
      <c r="M449" s="182">
        <v>0</v>
      </c>
      <c r="N449" s="182">
        <v>0</v>
      </c>
    </row>
    <row r="450" spans="1:14" x14ac:dyDescent="0.25">
      <c r="A450" s="189" t="s">
        <v>547</v>
      </c>
      <c r="B450" s="189" t="s">
        <v>390</v>
      </c>
      <c r="C450" s="189" t="s">
        <v>603</v>
      </c>
      <c r="D450" s="189" t="s">
        <v>541</v>
      </c>
      <c r="E450" s="182">
        <v>25971000</v>
      </c>
      <c r="F450" s="182">
        <v>25971000</v>
      </c>
      <c r="G450" s="182">
        <v>25971000</v>
      </c>
      <c r="H450" s="182">
        <v>0</v>
      </c>
      <c r="I450" s="182">
        <v>9527247</v>
      </c>
      <c r="J450" s="182">
        <v>0</v>
      </c>
      <c r="K450" s="191">
        <v>16443753</v>
      </c>
      <c r="L450" s="182">
        <v>16443753</v>
      </c>
      <c r="M450" s="182">
        <v>0</v>
      </c>
      <c r="N450" s="182">
        <v>0</v>
      </c>
    </row>
    <row r="451" spans="1:14" x14ac:dyDescent="0.25">
      <c r="A451" s="189" t="s">
        <v>547</v>
      </c>
      <c r="B451" s="189" t="s">
        <v>261</v>
      </c>
      <c r="C451" s="189" t="s">
        <v>262</v>
      </c>
      <c r="D451" s="189" t="s">
        <v>541</v>
      </c>
      <c r="E451" s="182">
        <v>312777000</v>
      </c>
      <c r="F451" s="182">
        <v>296154535</v>
      </c>
      <c r="G451" s="182">
        <v>210502238</v>
      </c>
      <c r="H451" s="182">
        <v>0</v>
      </c>
      <c r="I451" s="182">
        <v>33381495.129999999</v>
      </c>
      <c r="J451" s="182">
        <v>0</v>
      </c>
      <c r="K451" s="191">
        <v>164321434.16</v>
      </c>
      <c r="L451" s="182">
        <v>140826108.84</v>
      </c>
      <c r="M451" s="182">
        <v>98451605.709999993</v>
      </c>
      <c r="N451" s="182">
        <v>12799308.710000001</v>
      </c>
    </row>
    <row r="452" spans="1:14" x14ac:dyDescent="0.25">
      <c r="A452" s="189" t="s">
        <v>547</v>
      </c>
      <c r="B452" s="189" t="s">
        <v>263</v>
      </c>
      <c r="C452" s="189" t="s">
        <v>264</v>
      </c>
      <c r="D452" s="189" t="s">
        <v>541</v>
      </c>
      <c r="E452" s="182">
        <v>239389000</v>
      </c>
      <c r="F452" s="182">
        <v>239389000</v>
      </c>
      <c r="G452" s="182">
        <v>165359168</v>
      </c>
      <c r="H452" s="182">
        <v>0</v>
      </c>
      <c r="I452" s="182">
        <v>33381495.129999999</v>
      </c>
      <c r="J452" s="182">
        <v>0</v>
      </c>
      <c r="K452" s="191">
        <v>131977670.87</v>
      </c>
      <c r="L452" s="182">
        <v>108482345.55</v>
      </c>
      <c r="M452" s="182">
        <v>74029834</v>
      </c>
      <c r="N452" s="182">
        <v>2</v>
      </c>
    </row>
    <row r="453" spans="1:14" x14ac:dyDescent="0.25">
      <c r="A453" s="189" t="s">
        <v>547</v>
      </c>
      <c r="B453" s="189" t="s">
        <v>265</v>
      </c>
      <c r="C453" s="189" t="s">
        <v>266</v>
      </c>
      <c r="D453" s="189" t="s">
        <v>541</v>
      </c>
      <c r="E453" s="182">
        <v>73388000</v>
      </c>
      <c r="F453" s="182">
        <v>56765535</v>
      </c>
      <c r="G453" s="182">
        <v>45143070</v>
      </c>
      <c r="H453" s="182">
        <v>0</v>
      </c>
      <c r="I453" s="182">
        <v>0</v>
      </c>
      <c r="J453" s="182">
        <v>0</v>
      </c>
      <c r="K453" s="191">
        <v>32343763.289999999</v>
      </c>
      <c r="L453" s="182">
        <v>32343763.289999999</v>
      </c>
      <c r="M453" s="182">
        <v>24421771.710000001</v>
      </c>
      <c r="N453" s="182">
        <v>12799306.710000001</v>
      </c>
    </row>
    <row r="454" spans="1:14" x14ac:dyDescent="0.25">
      <c r="A454" s="189" t="s">
        <v>547</v>
      </c>
      <c r="B454" s="189" t="s">
        <v>267</v>
      </c>
      <c r="C454" s="189" t="s">
        <v>268</v>
      </c>
      <c r="D454" s="189" t="s">
        <v>541</v>
      </c>
      <c r="E454" s="182">
        <v>25000000</v>
      </c>
      <c r="F454" s="182">
        <v>30000000</v>
      </c>
      <c r="G454" s="182">
        <v>30000000</v>
      </c>
      <c r="H454" s="182">
        <v>0</v>
      </c>
      <c r="I454" s="182">
        <v>6223585.3899999997</v>
      </c>
      <c r="J454" s="182">
        <v>0</v>
      </c>
      <c r="K454" s="191">
        <v>23776414.609999999</v>
      </c>
      <c r="L454" s="182">
        <v>23776414.609999999</v>
      </c>
      <c r="M454" s="182">
        <v>0</v>
      </c>
      <c r="N454" s="182">
        <v>0</v>
      </c>
    </row>
    <row r="455" spans="1:14" x14ac:dyDescent="0.25">
      <c r="A455" s="189" t="s">
        <v>547</v>
      </c>
      <c r="B455" s="189" t="s">
        <v>269</v>
      </c>
      <c r="C455" s="189" t="s">
        <v>270</v>
      </c>
      <c r="D455" s="189" t="s">
        <v>541</v>
      </c>
      <c r="E455" s="182">
        <v>10000000</v>
      </c>
      <c r="F455" s="182">
        <v>10000000</v>
      </c>
      <c r="G455" s="182">
        <v>10000000</v>
      </c>
      <c r="H455" s="182">
        <v>0</v>
      </c>
      <c r="I455" s="182">
        <v>335433.57</v>
      </c>
      <c r="J455" s="182">
        <v>0</v>
      </c>
      <c r="K455" s="191">
        <v>9664566.4299999997</v>
      </c>
      <c r="L455" s="182">
        <v>9664566.4299999997</v>
      </c>
      <c r="M455" s="182">
        <v>0</v>
      </c>
      <c r="N455" s="182">
        <v>0</v>
      </c>
    </row>
    <row r="456" spans="1:14" x14ac:dyDescent="0.25">
      <c r="A456" s="189" t="s">
        <v>547</v>
      </c>
      <c r="B456" s="189" t="s">
        <v>271</v>
      </c>
      <c r="C456" s="189" t="s">
        <v>272</v>
      </c>
      <c r="D456" s="189" t="s">
        <v>541</v>
      </c>
      <c r="E456" s="182">
        <v>15000000</v>
      </c>
      <c r="F456" s="182">
        <v>20000000</v>
      </c>
      <c r="G456" s="182">
        <v>20000000</v>
      </c>
      <c r="H456" s="182">
        <v>0</v>
      </c>
      <c r="I456" s="182">
        <v>5888151.8200000003</v>
      </c>
      <c r="J456" s="182">
        <v>0</v>
      </c>
      <c r="K456" s="191">
        <v>14111848.18</v>
      </c>
      <c r="L456" s="182">
        <v>14111848.18</v>
      </c>
      <c r="M456" s="182">
        <v>0</v>
      </c>
      <c r="N456" s="182">
        <v>0</v>
      </c>
    </row>
    <row r="457" spans="1:14" x14ac:dyDescent="0.25">
      <c r="A457" s="180" t="s">
        <v>587</v>
      </c>
      <c r="B457" s="180" t="s">
        <v>587</v>
      </c>
      <c r="C457" s="180" t="s">
        <v>587</v>
      </c>
      <c r="D457" s="180" t="s">
        <v>587</v>
      </c>
      <c r="E457" s="181">
        <v>675435665000</v>
      </c>
      <c r="F457" s="181">
        <v>705435665000</v>
      </c>
      <c r="G457" s="181">
        <v>663061734803.75</v>
      </c>
      <c r="H457" s="181">
        <v>2300609565.6500001</v>
      </c>
      <c r="I457" s="181">
        <v>71597956719.050003</v>
      </c>
      <c r="J457" s="181">
        <v>2470436077.0500002</v>
      </c>
      <c r="K457" s="192">
        <v>403424270330.95001</v>
      </c>
      <c r="L457" s="181">
        <v>402094862138.54999</v>
      </c>
      <c r="M457" s="181">
        <v>225642392307.29999</v>
      </c>
      <c r="N457" s="181">
        <v>183268462111.04999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9E72-2C46-44C2-B6FE-D43F1B7E27C3}">
  <dimension ref="A1:N457"/>
  <sheetViews>
    <sheetView workbookViewId="0">
      <pane ySplit="600" topLeftCell="A403" activePane="bottomLeft"/>
      <selection pane="bottomLeft" activeCell="F219" sqref="F219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62.7109375" customWidth="1"/>
    <col min="4" max="4" width="6.5703125" bestFit="1" customWidth="1"/>
    <col min="5" max="5" width="18.7109375" bestFit="1" customWidth="1"/>
    <col min="6" max="6" width="23.7109375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132612346960.75</v>
      </c>
      <c r="H2" s="179">
        <v>234163482.37</v>
      </c>
      <c r="I2" s="179">
        <v>20007027859.009998</v>
      </c>
      <c r="J2" s="179">
        <v>355864506.11000001</v>
      </c>
      <c r="K2" s="179">
        <v>64330619794.25</v>
      </c>
      <c r="L2" s="179">
        <v>63810362333.93</v>
      </c>
      <c r="M2" s="179">
        <v>56159457358.260002</v>
      </c>
      <c r="N2" s="179">
        <v>47684671319.010002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2255822736</v>
      </c>
      <c r="H3" s="179">
        <v>0</v>
      </c>
      <c r="I3" s="179">
        <v>317714907.62</v>
      </c>
      <c r="J3" s="179">
        <v>685273.83</v>
      </c>
      <c r="K3" s="179">
        <v>1204786818.0799999</v>
      </c>
      <c r="L3" s="179">
        <v>1199652379.3099999</v>
      </c>
      <c r="M3" s="179">
        <v>996262227.47000003</v>
      </c>
      <c r="N3" s="179">
        <v>732635736.47000003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1364477635</v>
      </c>
      <c r="G4" s="179">
        <v>1364477635</v>
      </c>
      <c r="H4" s="179">
        <v>0</v>
      </c>
      <c r="I4" s="179">
        <v>106453647</v>
      </c>
      <c r="J4" s="179">
        <v>0</v>
      </c>
      <c r="K4" s="179">
        <v>633267249.96000004</v>
      </c>
      <c r="L4" s="179">
        <v>633267249.96000004</v>
      </c>
      <c r="M4" s="179">
        <v>624756738.03999996</v>
      </c>
      <c r="N4" s="179">
        <v>624756738.03999996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513555100</v>
      </c>
      <c r="G5" s="179">
        <v>513555100</v>
      </c>
      <c r="H5" s="179">
        <v>0</v>
      </c>
      <c r="I5" s="179">
        <v>0</v>
      </c>
      <c r="J5" s="179">
        <v>0</v>
      </c>
      <c r="K5" s="179">
        <v>259620344.86000001</v>
      </c>
      <c r="L5" s="179">
        <v>259620344.86000001</v>
      </c>
      <c r="M5" s="179">
        <v>253934755.13999999</v>
      </c>
      <c r="N5" s="179">
        <v>253934755.13999999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513555100</v>
      </c>
      <c r="G6" s="179">
        <v>513555100</v>
      </c>
      <c r="H6" s="179">
        <v>0</v>
      </c>
      <c r="I6" s="179">
        <v>0</v>
      </c>
      <c r="J6" s="179">
        <v>0</v>
      </c>
      <c r="K6" s="179">
        <v>259620344.86000001</v>
      </c>
      <c r="L6" s="179">
        <v>259620344.86000001</v>
      </c>
      <c r="M6" s="179">
        <v>253934755.13999999</v>
      </c>
      <c r="N6" s="179">
        <v>253934755.13999999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640941535</v>
      </c>
      <c r="G7" s="179">
        <v>640941535</v>
      </c>
      <c r="H7" s="179">
        <v>0</v>
      </c>
      <c r="I7" s="179">
        <v>0</v>
      </c>
      <c r="J7" s="179">
        <v>0</v>
      </c>
      <c r="K7" s="179">
        <v>270119552.10000002</v>
      </c>
      <c r="L7" s="179">
        <v>270119552.10000002</v>
      </c>
      <c r="M7" s="179">
        <v>370821982.89999998</v>
      </c>
      <c r="N7" s="179">
        <v>370821982.89999998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137710900</v>
      </c>
      <c r="G8" s="179">
        <v>137710900</v>
      </c>
      <c r="H8" s="179">
        <v>0</v>
      </c>
      <c r="I8" s="179">
        <v>0</v>
      </c>
      <c r="J8" s="179">
        <v>0</v>
      </c>
      <c r="K8" s="179">
        <v>56578483.32</v>
      </c>
      <c r="L8" s="179">
        <v>56578483.32</v>
      </c>
      <c r="M8" s="179">
        <v>81132416.680000007</v>
      </c>
      <c r="N8" s="179">
        <v>81132416.680000007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282135635</v>
      </c>
      <c r="G9" s="179">
        <v>282135635</v>
      </c>
      <c r="H9" s="179">
        <v>0</v>
      </c>
      <c r="I9" s="179">
        <v>0</v>
      </c>
      <c r="J9" s="179">
        <v>0</v>
      </c>
      <c r="K9" s="179">
        <v>117783001.63</v>
      </c>
      <c r="L9" s="179">
        <v>117783001.63</v>
      </c>
      <c r="M9" s="179">
        <v>164352633.37</v>
      </c>
      <c r="N9" s="179">
        <v>164352633.37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74715480.260000005</v>
      </c>
      <c r="L10" s="179">
        <v>74715480.260000005</v>
      </c>
      <c r="M10" s="179">
        <v>9165519.7400000002</v>
      </c>
      <c r="N10" s="179">
        <v>9165519.7400000002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21005807.039999999</v>
      </c>
      <c r="L11" s="179">
        <v>21005807.039999999</v>
      </c>
      <c r="M11" s="179">
        <v>26401192.960000001</v>
      </c>
      <c r="N11" s="179">
        <v>26401192.960000001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36779.85</v>
      </c>
      <c r="L12" s="179">
        <v>36779.85</v>
      </c>
      <c r="M12" s="179">
        <v>89770220.150000006</v>
      </c>
      <c r="N12" s="179">
        <v>89770220.150000006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53692313</v>
      </c>
      <c r="J13" s="179">
        <v>0</v>
      </c>
      <c r="K13" s="179">
        <v>52221687</v>
      </c>
      <c r="L13" s="179">
        <v>52221687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50938819</v>
      </c>
      <c r="J14" s="179">
        <v>0</v>
      </c>
      <c r="K14" s="179">
        <v>49544181</v>
      </c>
      <c r="L14" s="179">
        <v>49544181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2753494</v>
      </c>
      <c r="J15" s="179">
        <v>0</v>
      </c>
      <c r="K15" s="179">
        <v>2677506</v>
      </c>
      <c r="L15" s="179">
        <v>2677506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52761334</v>
      </c>
      <c r="J16" s="179">
        <v>0</v>
      </c>
      <c r="K16" s="179">
        <v>51305666</v>
      </c>
      <c r="L16" s="179">
        <v>51305666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27975805</v>
      </c>
      <c r="J17" s="179">
        <v>0</v>
      </c>
      <c r="K17" s="179">
        <v>27208195</v>
      </c>
      <c r="L17" s="179">
        <v>27208195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8261509</v>
      </c>
      <c r="J18" s="179">
        <v>0</v>
      </c>
      <c r="K18" s="179">
        <v>8032491</v>
      </c>
      <c r="L18" s="179">
        <v>8032491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16524020</v>
      </c>
      <c r="J19" s="179">
        <v>0</v>
      </c>
      <c r="K19" s="179">
        <v>16064980</v>
      </c>
      <c r="L19" s="179">
        <v>16064980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260395935</v>
      </c>
      <c r="H20" s="179">
        <v>0</v>
      </c>
      <c r="I20" s="179">
        <v>76683967.209999993</v>
      </c>
      <c r="J20" s="179">
        <v>0</v>
      </c>
      <c r="K20" s="179">
        <v>113960808.76000001</v>
      </c>
      <c r="L20" s="179">
        <v>109910649.98999999</v>
      </c>
      <c r="M20" s="179">
        <v>152096803.03</v>
      </c>
      <c r="N20" s="179">
        <v>69751159.030000001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107918768.03</v>
      </c>
      <c r="H21" s="179">
        <v>0</v>
      </c>
      <c r="I21" s="179">
        <v>21214918.059999999</v>
      </c>
      <c r="J21" s="179">
        <v>0</v>
      </c>
      <c r="K21" s="179">
        <v>50651782.869999997</v>
      </c>
      <c r="L21" s="179">
        <v>48296083.740000002</v>
      </c>
      <c r="M21" s="179">
        <v>53978745.07</v>
      </c>
      <c r="N21" s="179">
        <v>36052067.100000001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107838768.03</v>
      </c>
      <c r="H22" s="179">
        <v>0</v>
      </c>
      <c r="I22" s="179">
        <v>21214918.059999999</v>
      </c>
      <c r="J22" s="179">
        <v>0</v>
      </c>
      <c r="K22" s="179">
        <v>50577032.869999997</v>
      </c>
      <c r="L22" s="179">
        <v>48221333.740000002</v>
      </c>
      <c r="M22" s="179">
        <v>53973495.07</v>
      </c>
      <c r="N22" s="179">
        <v>36046817.100000001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74750</v>
      </c>
      <c r="L23" s="179">
        <v>74750</v>
      </c>
      <c r="M23" s="179">
        <v>5250</v>
      </c>
      <c r="N23" s="179">
        <v>5250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79351429</v>
      </c>
      <c r="H24" s="179">
        <v>0</v>
      </c>
      <c r="I24" s="179">
        <v>33699850.390000001</v>
      </c>
      <c r="J24" s="179">
        <v>0</v>
      </c>
      <c r="K24" s="179">
        <v>45377975.409999996</v>
      </c>
      <c r="L24" s="179">
        <v>45377975.409999996</v>
      </c>
      <c r="M24" s="179">
        <v>52350527.200000003</v>
      </c>
      <c r="N24" s="179">
        <v>273603.20000000001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8971429</v>
      </c>
      <c r="G25" s="179">
        <v>8971429</v>
      </c>
      <c r="H25" s="179">
        <v>0</v>
      </c>
      <c r="I25" s="179">
        <v>5680137</v>
      </c>
      <c r="J25" s="179">
        <v>0</v>
      </c>
      <c r="K25" s="179">
        <v>3291292</v>
      </c>
      <c r="L25" s="179">
        <v>3291292</v>
      </c>
      <c r="M25" s="179">
        <v>0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40000000</v>
      </c>
      <c r="H26" s="179">
        <v>0</v>
      </c>
      <c r="I26" s="179">
        <v>17001250</v>
      </c>
      <c r="J26" s="179">
        <v>0</v>
      </c>
      <c r="K26" s="179">
        <v>22998750</v>
      </c>
      <c r="L26" s="179">
        <v>22998750</v>
      </c>
      <c r="M26" s="179">
        <v>16000000</v>
      </c>
      <c r="N26" s="179">
        <v>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0</v>
      </c>
      <c r="J27" s="179">
        <v>0</v>
      </c>
      <c r="K27" s="179">
        <v>16400</v>
      </c>
      <c r="L27" s="179">
        <v>16400</v>
      </c>
      <c r="M27" s="179">
        <v>3600</v>
      </c>
      <c r="N27" s="179">
        <v>3600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66076924</v>
      </c>
      <c r="G28" s="179">
        <v>30000000</v>
      </c>
      <c r="H28" s="179">
        <v>0</v>
      </c>
      <c r="I28" s="179">
        <v>10956263.390000001</v>
      </c>
      <c r="J28" s="179">
        <v>0</v>
      </c>
      <c r="K28" s="179">
        <v>19043733.41</v>
      </c>
      <c r="L28" s="179">
        <v>19043733.41</v>
      </c>
      <c r="M28" s="179">
        <v>36076927.200000003</v>
      </c>
      <c r="N28" s="179">
        <v>3.2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360000</v>
      </c>
      <c r="H29" s="179">
        <v>0</v>
      </c>
      <c r="I29" s="179">
        <v>62200</v>
      </c>
      <c r="J29" s="179">
        <v>0</v>
      </c>
      <c r="K29" s="179">
        <v>27800</v>
      </c>
      <c r="L29" s="179">
        <v>27800</v>
      </c>
      <c r="M29" s="179">
        <v>270000</v>
      </c>
      <c r="N29" s="179">
        <v>270000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9250000</v>
      </c>
      <c r="G30" s="179">
        <v>9250000</v>
      </c>
      <c r="H30" s="179">
        <v>0</v>
      </c>
      <c r="I30" s="179">
        <v>2178940.2599999998</v>
      </c>
      <c r="J30" s="179">
        <v>0</v>
      </c>
      <c r="K30" s="179">
        <v>5240320</v>
      </c>
      <c r="L30" s="179">
        <v>4609260</v>
      </c>
      <c r="M30" s="179">
        <v>1830739.74</v>
      </c>
      <c r="N30" s="179">
        <v>1830739.74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7000000</v>
      </c>
      <c r="H31" s="179">
        <v>0</v>
      </c>
      <c r="I31" s="179">
        <v>2128940.2599999998</v>
      </c>
      <c r="J31" s="179">
        <v>0</v>
      </c>
      <c r="K31" s="179">
        <v>4865320</v>
      </c>
      <c r="L31" s="179">
        <v>4234260</v>
      </c>
      <c r="M31" s="179">
        <v>5739.74</v>
      </c>
      <c r="N31" s="179">
        <v>5739.74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1650000</v>
      </c>
      <c r="H32" s="179">
        <v>0</v>
      </c>
      <c r="I32" s="179">
        <v>0</v>
      </c>
      <c r="J32" s="179">
        <v>0</v>
      </c>
      <c r="K32" s="179">
        <v>375000</v>
      </c>
      <c r="L32" s="179">
        <v>375000</v>
      </c>
      <c r="M32" s="179">
        <v>1275000</v>
      </c>
      <c r="N32" s="179">
        <v>1275000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326</v>
      </c>
      <c r="C34" s="156" t="s">
        <v>327</v>
      </c>
      <c r="D34" s="156" t="s">
        <v>541</v>
      </c>
      <c r="E34" s="179">
        <v>0</v>
      </c>
      <c r="F34" s="179">
        <v>550000</v>
      </c>
      <c r="G34" s="179">
        <v>550000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550000</v>
      </c>
      <c r="N34" s="179">
        <v>550000</v>
      </c>
    </row>
    <row r="35" spans="1:14" s="156" customFormat="1" x14ac:dyDescent="0.25">
      <c r="A35" s="156" t="s">
        <v>542</v>
      </c>
      <c r="B35" s="156" t="s">
        <v>151</v>
      </c>
      <c r="C35" s="156" t="s">
        <v>152</v>
      </c>
      <c r="D35" s="156" t="s">
        <v>541</v>
      </c>
      <c r="E35" s="179">
        <v>5851429</v>
      </c>
      <c r="F35" s="179">
        <v>5851429</v>
      </c>
      <c r="G35" s="179">
        <v>3631429</v>
      </c>
      <c r="H35" s="179">
        <v>0</v>
      </c>
      <c r="I35" s="179">
        <v>655598</v>
      </c>
      <c r="J35" s="179">
        <v>0</v>
      </c>
      <c r="K35" s="179">
        <v>646488</v>
      </c>
      <c r="L35" s="179">
        <v>632743</v>
      </c>
      <c r="M35" s="179">
        <v>4549343</v>
      </c>
      <c r="N35" s="179">
        <v>2329343</v>
      </c>
    </row>
    <row r="36" spans="1:14" s="156" customFormat="1" x14ac:dyDescent="0.25">
      <c r="A36" s="156" t="s">
        <v>542</v>
      </c>
      <c r="B36" s="156" t="s">
        <v>154</v>
      </c>
      <c r="C36" s="156" t="s">
        <v>155</v>
      </c>
      <c r="D36" s="156" t="s">
        <v>541</v>
      </c>
      <c r="E36" s="179">
        <v>3080000</v>
      </c>
      <c r="F36" s="179">
        <v>3080000</v>
      </c>
      <c r="G36" s="179">
        <v>860000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3080000</v>
      </c>
      <c r="N36" s="179">
        <v>860000</v>
      </c>
    </row>
    <row r="37" spans="1:14" s="156" customFormat="1" x14ac:dyDescent="0.25">
      <c r="A37" s="156" t="s">
        <v>542</v>
      </c>
      <c r="B37" s="156" t="s">
        <v>156</v>
      </c>
      <c r="C37" s="156" t="s">
        <v>157</v>
      </c>
      <c r="D37" s="156" t="s">
        <v>541</v>
      </c>
      <c r="E37" s="179">
        <v>2771429</v>
      </c>
      <c r="F37" s="179">
        <v>2771429</v>
      </c>
      <c r="G37" s="179">
        <v>2771429</v>
      </c>
      <c r="H37" s="179">
        <v>0</v>
      </c>
      <c r="I37" s="179">
        <v>655598</v>
      </c>
      <c r="J37" s="179">
        <v>0</v>
      </c>
      <c r="K37" s="179">
        <v>646488</v>
      </c>
      <c r="L37" s="179">
        <v>632743</v>
      </c>
      <c r="M37" s="179">
        <v>1469343</v>
      </c>
      <c r="N37" s="179">
        <v>1469343</v>
      </c>
    </row>
    <row r="38" spans="1:14" s="156" customFormat="1" x14ac:dyDescent="0.25">
      <c r="A38" s="156" t="s">
        <v>542</v>
      </c>
      <c r="B38" s="156" t="s">
        <v>158</v>
      </c>
      <c r="C38" s="156" t="s">
        <v>159</v>
      </c>
      <c r="D38" s="156" t="s">
        <v>541</v>
      </c>
      <c r="E38" s="179">
        <v>17774865</v>
      </c>
      <c r="F38" s="179">
        <v>17774865</v>
      </c>
      <c r="G38" s="179">
        <v>17774865</v>
      </c>
      <c r="H38" s="179">
        <v>0</v>
      </c>
      <c r="I38" s="179">
        <v>1736095.5</v>
      </c>
      <c r="J38" s="179">
        <v>0</v>
      </c>
      <c r="K38" s="179">
        <v>7718240.1299999999</v>
      </c>
      <c r="L38" s="179">
        <v>6668585.4900000002</v>
      </c>
      <c r="M38" s="179">
        <v>8320529.3700000001</v>
      </c>
      <c r="N38" s="179">
        <v>8320529.3700000001</v>
      </c>
    </row>
    <row r="39" spans="1:14" s="156" customFormat="1" x14ac:dyDescent="0.25">
      <c r="A39" s="156" t="s">
        <v>542</v>
      </c>
      <c r="B39" s="156" t="s">
        <v>160</v>
      </c>
      <c r="C39" s="156" t="s">
        <v>161</v>
      </c>
      <c r="D39" s="156" t="s">
        <v>541</v>
      </c>
      <c r="E39" s="179">
        <v>100000</v>
      </c>
      <c r="F39" s="179">
        <v>100000</v>
      </c>
      <c r="G39" s="179">
        <v>100000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100000</v>
      </c>
      <c r="N39" s="179">
        <v>100000</v>
      </c>
    </row>
    <row r="40" spans="1:14" s="156" customFormat="1" x14ac:dyDescent="0.25">
      <c r="A40" s="156" t="s">
        <v>542</v>
      </c>
      <c r="B40" s="156" t="s">
        <v>162</v>
      </c>
      <c r="C40" s="156" t="s">
        <v>163</v>
      </c>
      <c r="D40" s="156" t="s">
        <v>541</v>
      </c>
      <c r="E40" s="179">
        <v>6685715</v>
      </c>
      <c r="F40" s="179">
        <v>6685715</v>
      </c>
      <c r="G40" s="179">
        <v>6685715</v>
      </c>
      <c r="H40" s="179">
        <v>0</v>
      </c>
      <c r="I40" s="179">
        <v>1703215</v>
      </c>
      <c r="J40" s="179">
        <v>0</v>
      </c>
      <c r="K40" s="179">
        <v>4047350</v>
      </c>
      <c r="L40" s="179">
        <v>4020350</v>
      </c>
      <c r="M40" s="179">
        <v>935150</v>
      </c>
      <c r="N40" s="179">
        <v>935150</v>
      </c>
    </row>
    <row r="41" spans="1:14" s="156" customFormat="1" x14ac:dyDescent="0.25">
      <c r="A41" s="156" t="s">
        <v>542</v>
      </c>
      <c r="B41" s="156" t="s">
        <v>164</v>
      </c>
      <c r="C41" s="156" t="s">
        <v>165</v>
      </c>
      <c r="D41" s="156" t="s">
        <v>541</v>
      </c>
      <c r="E41" s="179">
        <v>5170968</v>
      </c>
      <c r="F41" s="179">
        <v>5170968</v>
      </c>
      <c r="G41" s="179">
        <v>5170968</v>
      </c>
      <c r="H41" s="179">
        <v>0</v>
      </c>
      <c r="I41" s="179">
        <v>29629.16</v>
      </c>
      <c r="J41" s="179">
        <v>0</v>
      </c>
      <c r="K41" s="179">
        <v>2021636.72</v>
      </c>
      <c r="L41" s="179">
        <v>998982.08</v>
      </c>
      <c r="M41" s="179">
        <v>3119702.12</v>
      </c>
      <c r="N41" s="179">
        <v>3119702.12</v>
      </c>
    </row>
    <row r="42" spans="1:14" s="156" customFormat="1" x14ac:dyDescent="0.25">
      <c r="A42" s="156" t="s">
        <v>542</v>
      </c>
      <c r="B42" s="156" t="s">
        <v>166</v>
      </c>
      <c r="C42" s="156" t="s">
        <v>167</v>
      </c>
      <c r="D42" s="156" t="s">
        <v>541</v>
      </c>
      <c r="E42" s="179">
        <v>5818182</v>
      </c>
      <c r="F42" s="179">
        <v>5818182</v>
      </c>
      <c r="G42" s="179">
        <v>5818182</v>
      </c>
      <c r="H42" s="179">
        <v>0</v>
      </c>
      <c r="I42" s="179">
        <v>3251.34</v>
      </c>
      <c r="J42" s="179">
        <v>0</v>
      </c>
      <c r="K42" s="179">
        <v>1649253.41</v>
      </c>
      <c r="L42" s="179">
        <v>1649253.41</v>
      </c>
      <c r="M42" s="179">
        <v>4165677.25</v>
      </c>
      <c r="N42" s="179">
        <v>4165677.25</v>
      </c>
    </row>
    <row r="43" spans="1:14" s="156" customFormat="1" x14ac:dyDescent="0.25">
      <c r="A43" s="156" t="s">
        <v>542</v>
      </c>
      <c r="B43" s="156" t="s">
        <v>168</v>
      </c>
      <c r="C43" s="156" t="s">
        <v>169</v>
      </c>
      <c r="D43" s="156" t="s">
        <v>541</v>
      </c>
      <c r="E43" s="179">
        <v>32290000</v>
      </c>
      <c r="F43" s="179">
        <v>32290000</v>
      </c>
      <c r="G43" s="179">
        <v>22599092.969999999</v>
      </c>
      <c r="H43" s="179">
        <v>0</v>
      </c>
      <c r="I43" s="179">
        <v>12248290</v>
      </c>
      <c r="J43" s="179">
        <v>0</v>
      </c>
      <c r="K43" s="179">
        <v>2990873</v>
      </c>
      <c r="L43" s="179">
        <v>2990873</v>
      </c>
      <c r="M43" s="179">
        <v>17050837</v>
      </c>
      <c r="N43" s="179">
        <v>7359929.9699999997</v>
      </c>
    </row>
    <row r="44" spans="1:14" s="156" customFormat="1" x14ac:dyDescent="0.25">
      <c r="A44" s="156" t="s">
        <v>542</v>
      </c>
      <c r="B44" s="156" t="s">
        <v>170</v>
      </c>
      <c r="C44" s="156" t="s">
        <v>171</v>
      </c>
      <c r="D44" s="156" t="s">
        <v>541</v>
      </c>
      <c r="E44" s="179">
        <v>32290000</v>
      </c>
      <c r="F44" s="179">
        <v>32290000</v>
      </c>
      <c r="G44" s="179">
        <v>22599092.969999999</v>
      </c>
      <c r="H44" s="179">
        <v>0</v>
      </c>
      <c r="I44" s="179">
        <v>12248290</v>
      </c>
      <c r="J44" s="179">
        <v>0</v>
      </c>
      <c r="K44" s="179">
        <v>2990873</v>
      </c>
      <c r="L44" s="179">
        <v>2990873</v>
      </c>
      <c r="M44" s="179">
        <v>17050837</v>
      </c>
      <c r="N44" s="179">
        <v>7359929.9699999997</v>
      </c>
    </row>
    <row r="45" spans="1:14" s="156" customFormat="1" x14ac:dyDescent="0.25">
      <c r="A45" s="156" t="s">
        <v>542</v>
      </c>
      <c r="B45" s="156" t="s">
        <v>172</v>
      </c>
      <c r="C45" s="156" t="s">
        <v>173</v>
      </c>
      <c r="D45" s="156" t="s">
        <v>541</v>
      </c>
      <c r="E45" s="179">
        <v>2150000</v>
      </c>
      <c r="F45" s="179">
        <v>1031135</v>
      </c>
      <c r="G45" s="179">
        <v>600000</v>
      </c>
      <c r="H45" s="179">
        <v>0</v>
      </c>
      <c r="I45" s="179">
        <v>500000</v>
      </c>
      <c r="J45" s="179">
        <v>0</v>
      </c>
      <c r="K45" s="179">
        <v>0</v>
      </c>
      <c r="L45" s="179">
        <v>0</v>
      </c>
      <c r="M45" s="179">
        <v>531135</v>
      </c>
      <c r="N45" s="179">
        <v>100000</v>
      </c>
    </row>
    <row r="46" spans="1:14" s="156" customFormat="1" x14ac:dyDescent="0.25">
      <c r="A46" s="156" t="s">
        <v>542</v>
      </c>
      <c r="B46" s="156" t="s">
        <v>309</v>
      </c>
      <c r="C46" s="156" t="s">
        <v>310</v>
      </c>
      <c r="D46" s="156" t="s">
        <v>541</v>
      </c>
      <c r="E46" s="179">
        <v>0</v>
      </c>
      <c r="F46" s="179">
        <v>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</row>
    <row r="47" spans="1:14" s="156" customFormat="1" x14ac:dyDescent="0.25">
      <c r="A47" s="156" t="s">
        <v>542</v>
      </c>
      <c r="B47" s="156" t="s">
        <v>174</v>
      </c>
      <c r="C47" s="156" t="s">
        <v>175</v>
      </c>
      <c r="D47" s="156" t="s">
        <v>541</v>
      </c>
      <c r="E47" s="179">
        <v>1550000</v>
      </c>
      <c r="F47" s="179">
        <v>431135</v>
      </c>
      <c r="G47" s="179">
        <v>0</v>
      </c>
      <c r="H47" s="179">
        <v>0</v>
      </c>
      <c r="I47" s="179">
        <v>0</v>
      </c>
      <c r="J47" s="179">
        <v>0</v>
      </c>
      <c r="K47" s="179">
        <v>0</v>
      </c>
      <c r="L47" s="179">
        <v>0</v>
      </c>
      <c r="M47" s="179">
        <v>431135</v>
      </c>
      <c r="N47" s="179">
        <v>0</v>
      </c>
    </row>
    <row r="48" spans="1:14" s="156" customFormat="1" x14ac:dyDescent="0.25">
      <c r="A48" s="156" t="s">
        <v>542</v>
      </c>
      <c r="B48" s="156" t="s">
        <v>176</v>
      </c>
      <c r="C48" s="156" t="s">
        <v>177</v>
      </c>
      <c r="D48" s="156" t="s">
        <v>541</v>
      </c>
      <c r="E48" s="179">
        <v>600000</v>
      </c>
      <c r="F48" s="179">
        <v>600000</v>
      </c>
      <c r="G48" s="179">
        <v>600000</v>
      </c>
      <c r="H48" s="179">
        <v>0</v>
      </c>
      <c r="I48" s="179">
        <v>500000</v>
      </c>
      <c r="J48" s="179">
        <v>0</v>
      </c>
      <c r="K48" s="179">
        <v>0</v>
      </c>
      <c r="L48" s="179">
        <v>0</v>
      </c>
      <c r="M48" s="179">
        <v>100000</v>
      </c>
      <c r="N48" s="179">
        <v>100000</v>
      </c>
    </row>
    <row r="49" spans="1:14" s="156" customFormat="1" x14ac:dyDescent="0.25">
      <c r="A49" s="156" t="s">
        <v>542</v>
      </c>
      <c r="B49" s="156" t="s">
        <v>178</v>
      </c>
      <c r="C49" s="156" t="s">
        <v>179</v>
      </c>
      <c r="D49" s="156" t="s">
        <v>541</v>
      </c>
      <c r="E49" s="179">
        <v>17019667</v>
      </c>
      <c r="F49" s="179">
        <v>17019667</v>
      </c>
      <c r="G49" s="179">
        <v>17019667</v>
      </c>
      <c r="H49" s="179">
        <v>0</v>
      </c>
      <c r="I49" s="179">
        <v>2488456</v>
      </c>
      <c r="J49" s="179">
        <v>0</v>
      </c>
      <c r="K49" s="179">
        <v>1335129.3500000001</v>
      </c>
      <c r="L49" s="179">
        <v>1335129.3500000001</v>
      </c>
      <c r="M49" s="179">
        <v>13196081.65</v>
      </c>
      <c r="N49" s="179">
        <v>13196081.65</v>
      </c>
    </row>
    <row r="50" spans="1:14" s="156" customFormat="1" x14ac:dyDescent="0.25">
      <c r="A50" s="156" t="s">
        <v>542</v>
      </c>
      <c r="B50" s="156" t="s">
        <v>332</v>
      </c>
      <c r="C50" s="156" t="s">
        <v>333</v>
      </c>
      <c r="D50" s="156" t="s">
        <v>541</v>
      </c>
      <c r="E50" s="179">
        <v>300000</v>
      </c>
      <c r="F50" s="179">
        <v>300000</v>
      </c>
      <c r="G50" s="179">
        <v>300000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300000</v>
      </c>
      <c r="N50" s="179">
        <v>300000</v>
      </c>
    </row>
    <row r="51" spans="1:14" s="156" customFormat="1" x14ac:dyDescent="0.25">
      <c r="A51" s="156" t="s">
        <v>542</v>
      </c>
      <c r="B51" s="156" t="s">
        <v>182</v>
      </c>
      <c r="C51" s="156" t="s">
        <v>183</v>
      </c>
      <c r="D51" s="156" t="s">
        <v>541</v>
      </c>
      <c r="E51" s="179">
        <v>9066667</v>
      </c>
      <c r="F51" s="179">
        <v>9066667</v>
      </c>
      <c r="G51" s="179">
        <v>9066667</v>
      </c>
      <c r="H51" s="179">
        <v>0</v>
      </c>
      <c r="I51" s="179">
        <v>1001000</v>
      </c>
      <c r="J51" s="179">
        <v>0</v>
      </c>
      <c r="K51" s="179">
        <v>98201</v>
      </c>
      <c r="L51" s="179">
        <v>98201</v>
      </c>
      <c r="M51" s="179">
        <v>7967466</v>
      </c>
      <c r="N51" s="179">
        <v>7967466</v>
      </c>
    </row>
    <row r="52" spans="1:14" s="156" customFormat="1" x14ac:dyDescent="0.25">
      <c r="A52" s="156" t="s">
        <v>542</v>
      </c>
      <c r="B52" s="156" t="s">
        <v>186</v>
      </c>
      <c r="C52" s="156" t="s">
        <v>187</v>
      </c>
      <c r="D52" s="156" t="s">
        <v>541</v>
      </c>
      <c r="E52" s="179">
        <v>2900000</v>
      </c>
      <c r="F52" s="179">
        <v>2900000</v>
      </c>
      <c r="G52" s="179">
        <v>2900000</v>
      </c>
      <c r="H52" s="179">
        <v>0</v>
      </c>
      <c r="I52" s="179">
        <v>327600</v>
      </c>
      <c r="J52" s="179">
        <v>0</v>
      </c>
      <c r="K52" s="179">
        <v>1093400</v>
      </c>
      <c r="L52" s="179">
        <v>1093400</v>
      </c>
      <c r="M52" s="179">
        <v>1479000</v>
      </c>
      <c r="N52" s="179">
        <v>1479000</v>
      </c>
    </row>
    <row r="53" spans="1:14" s="156" customFormat="1" x14ac:dyDescent="0.25">
      <c r="A53" s="156" t="s">
        <v>542</v>
      </c>
      <c r="B53" s="156" t="s">
        <v>188</v>
      </c>
      <c r="C53" s="156" t="s">
        <v>189</v>
      </c>
      <c r="D53" s="156" t="s">
        <v>541</v>
      </c>
      <c r="E53" s="179">
        <v>393000</v>
      </c>
      <c r="F53" s="179">
        <v>393000</v>
      </c>
      <c r="G53" s="179">
        <v>393000</v>
      </c>
      <c r="H53" s="179">
        <v>0</v>
      </c>
      <c r="I53" s="179">
        <v>0</v>
      </c>
      <c r="J53" s="179">
        <v>0</v>
      </c>
      <c r="K53" s="179">
        <v>0</v>
      </c>
      <c r="L53" s="179">
        <v>0</v>
      </c>
      <c r="M53" s="179">
        <v>393000</v>
      </c>
      <c r="N53" s="179">
        <v>393000</v>
      </c>
    </row>
    <row r="54" spans="1:14" s="156" customFormat="1" x14ac:dyDescent="0.25">
      <c r="A54" s="156" t="s">
        <v>542</v>
      </c>
      <c r="B54" s="156" t="s">
        <v>190</v>
      </c>
      <c r="C54" s="156" t="s">
        <v>191</v>
      </c>
      <c r="D54" s="156" t="s">
        <v>541</v>
      </c>
      <c r="E54" s="179">
        <v>4360000</v>
      </c>
      <c r="F54" s="179">
        <v>4360000</v>
      </c>
      <c r="G54" s="179">
        <v>4360000</v>
      </c>
      <c r="H54" s="179">
        <v>0</v>
      </c>
      <c r="I54" s="179">
        <v>1159856</v>
      </c>
      <c r="J54" s="179">
        <v>0</v>
      </c>
      <c r="K54" s="179">
        <v>143528.35</v>
      </c>
      <c r="L54" s="179">
        <v>143528.35</v>
      </c>
      <c r="M54" s="179">
        <v>3056615.65</v>
      </c>
      <c r="N54" s="179">
        <v>3056615.65</v>
      </c>
    </row>
    <row r="55" spans="1:14" s="156" customFormat="1" x14ac:dyDescent="0.25">
      <c r="A55" s="156" t="s">
        <v>542</v>
      </c>
      <c r="B55" s="156" t="s">
        <v>192</v>
      </c>
      <c r="C55" s="156" t="s">
        <v>193</v>
      </c>
      <c r="D55" s="156" t="s">
        <v>541</v>
      </c>
      <c r="E55" s="179">
        <v>681819</v>
      </c>
      <c r="F55" s="179">
        <v>1250684</v>
      </c>
      <c r="G55" s="179">
        <v>1250684</v>
      </c>
      <c r="H55" s="179">
        <v>0</v>
      </c>
      <c r="I55" s="179">
        <v>961819</v>
      </c>
      <c r="J55" s="179">
        <v>0</v>
      </c>
      <c r="K55" s="179">
        <v>0</v>
      </c>
      <c r="L55" s="179">
        <v>0</v>
      </c>
      <c r="M55" s="179">
        <v>288865</v>
      </c>
      <c r="N55" s="179">
        <v>288865</v>
      </c>
    </row>
    <row r="56" spans="1:14" s="156" customFormat="1" x14ac:dyDescent="0.25">
      <c r="A56" s="156" t="s">
        <v>542</v>
      </c>
      <c r="B56" s="156" t="s">
        <v>194</v>
      </c>
      <c r="C56" s="156" t="s">
        <v>195</v>
      </c>
      <c r="D56" s="156" t="s">
        <v>541</v>
      </c>
      <c r="E56" s="179">
        <v>681819</v>
      </c>
      <c r="F56" s="179">
        <v>1250684</v>
      </c>
      <c r="G56" s="179">
        <v>1250684</v>
      </c>
      <c r="H56" s="179">
        <v>0</v>
      </c>
      <c r="I56" s="179">
        <v>961819</v>
      </c>
      <c r="J56" s="179">
        <v>0</v>
      </c>
      <c r="K56" s="179">
        <v>0</v>
      </c>
      <c r="L56" s="179">
        <v>0</v>
      </c>
      <c r="M56" s="179">
        <v>288865</v>
      </c>
      <c r="N56" s="179">
        <v>288865</v>
      </c>
    </row>
    <row r="57" spans="1:14" s="156" customFormat="1" x14ac:dyDescent="0.25">
      <c r="A57" s="156" t="s">
        <v>542</v>
      </c>
      <c r="B57" s="156" t="s">
        <v>196</v>
      </c>
      <c r="C57" s="156" t="s">
        <v>197</v>
      </c>
      <c r="D57" s="156" t="s">
        <v>541</v>
      </c>
      <c r="E57" s="179">
        <v>1000000</v>
      </c>
      <c r="F57" s="179">
        <v>1000000</v>
      </c>
      <c r="G57" s="179">
        <v>1000000</v>
      </c>
      <c r="H57" s="179">
        <v>0</v>
      </c>
      <c r="I57" s="179">
        <v>1000000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</row>
    <row r="58" spans="1:14" s="156" customFormat="1" x14ac:dyDescent="0.25">
      <c r="A58" s="156" t="s">
        <v>542</v>
      </c>
      <c r="B58" s="156" t="s">
        <v>198</v>
      </c>
      <c r="C58" s="156" t="s">
        <v>199</v>
      </c>
      <c r="D58" s="156" t="s">
        <v>541</v>
      </c>
      <c r="E58" s="179">
        <v>1000000</v>
      </c>
      <c r="F58" s="179">
        <v>1000000</v>
      </c>
      <c r="G58" s="179">
        <v>1000000</v>
      </c>
      <c r="H58" s="179">
        <v>0</v>
      </c>
      <c r="I58" s="179">
        <v>1000000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</row>
    <row r="59" spans="1:14" s="156" customFormat="1" x14ac:dyDescent="0.25">
      <c r="A59" s="156" t="s">
        <v>542</v>
      </c>
      <c r="B59" s="156" t="s">
        <v>200</v>
      </c>
      <c r="C59" s="156" t="s">
        <v>201</v>
      </c>
      <c r="D59" s="156" t="s">
        <v>541</v>
      </c>
      <c r="E59" s="179">
        <v>42229000</v>
      </c>
      <c r="F59" s="179">
        <v>42229000</v>
      </c>
      <c r="G59" s="179">
        <v>38129000</v>
      </c>
      <c r="H59" s="179">
        <v>0</v>
      </c>
      <c r="I59" s="179">
        <v>4314857.12</v>
      </c>
      <c r="J59" s="179">
        <v>685273.83</v>
      </c>
      <c r="K59" s="179">
        <v>17325248.550000001</v>
      </c>
      <c r="L59" s="179">
        <v>16240968.550000001</v>
      </c>
      <c r="M59" s="179">
        <v>19903620.5</v>
      </c>
      <c r="N59" s="179">
        <v>15803620.5</v>
      </c>
    </row>
    <row r="60" spans="1:14" s="156" customFormat="1" x14ac:dyDescent="0.25">
      <c r="A60" s="156" t="s">
        <v>542</v>
      </c>
      <c r="B60" s="156" t="s">
        <v>202</v>
      </c>
      <c r="C60" s="156" t="s">
        <v>203</v>
      </c>
      <c r="D60" s="156" t="s">
        <v>541</v>
      </c>
      <c r="E60" s="179">
        <v>17137000</v>
      </c>
      <c r="F60" s="179">
        <v>17137000</v>
      </c>
      <c r="G60" s="179">
        <v>13037000</v>
      </c>
      <c r="H60" s="179">
        <v>0</v>
      </c>
      <c r="I60" s="179">
        <v>3035488</v>
      </c>
      <c r="J60" s="179">
        <v>0</v>
      </c>
      <c r="K60" s="179">
        <v>9016197</v>
      </c>
      <c r="L60" s="179">
        <v>9016197</v>
      </c>
      <c r="M60" s="179">
        <v>5085315</v>
      </c>
      <c r="N60" s="179">
        <v>985315</v>
      </c>
    </row>
    <row r="61" spans="1:14" s="156" customFormat="1" x14ac:dyDescent="0.25">
      <c r="A61" s="156" t="s">
        <v>542</v>
      </c>
      <c r="B61" s="156" t="s">
        <v>204</v>
      </c>
      <c r="C61" s="156" t="s">
        <v>205</v>
      </c>
      <c r="D61" s="156" t="s">
        <v>541</v>
      </c>
      <c r="E61" s="179">
        <v>11100000</v>
      </c>
      <c r="F61" s="179">
        <v>11100000</v>
      </c>
      <c r="G61" s="179">
        <v>7000000</v>
      </c>
      <c r="H61" s="179">
        <v>0</v>
      </c>
      <c r="I61" s="179">
        <v>3035488</v>
      </c>
      <c r="J61" s="179">
        <v>0</v>
      </c>
      <c r="K61" s="179">
        <v>3964512</v>
      </c>
      <c r="L61" s="179">
        <v>3964512</v>
      </c>
      <c r="M61" s="179">
        <v>4100000</v>
      </c>
      <c r="N61" s="179">
        <v>0</v>
      </c>
    </row>
    <row r="62" spans="1:14" s="156" customFormat="1" x14ac:dyDescent="0.25">
      <c r="A62" s="156" t="s">
        <v>542</v>
      </c>
      <c r="B62" s="156" t="s">
        <v>206</v>
      </c>
      <c r="C62" s="156" t="s">
        <v>207</v>
      </c>
      <c r="D62" s="156" t="s">
        <v>541</v>
      </c>
      <c r="E62" s="179">
        <v>5000000</v>
      </c>
      <c r="F62" s="179">
        <v>5000000</v>
      </c>
      <c r="G62" s="179">
        <v>5000000</v>
      </c>
      <c r="H62" s="179">
        <v>0</v>
      </c>
      <c r="I62" s="179">
        <v>0</v>
      </c>
      <c r="J62" s="179">
        <v>0</v>
      </c>
      <c r="K62" s="179">
        <v>4948905</v>
      </c>
      <c r="L62" s="179">
        <v>4948905</v>
      </c>
      <c r="M62" s="179">
        <v>51095</v>
      </c>
      <c r="N62" s="179">
        <v>51095</v>
      </c>
    </row>
    <row r="63" spans="1:14" s="156" customFormat="1" x14ac:dyDescent="0.25">
      <c r="A63" s="156" t="s">
        <v>542</v>
      </c>
      <c r="B63" s="156" t="s">
        <v>208</v>
      </c>
      <c r="C63" s="156" t="s">
        <v>209</v>
      </c>
      <c r="D63" s="156" t="s">
        <v>541</v>
      </c>
      <c r="E63" s="179">
        <v>126000</v>
      </c>
      <c r="F63" s="179">
        <v>126000</v>
      </c>
      <c r="G63" s="179">
        <v>126000</v>
      </c>
      <c r="H63" s="179">
        <v>0</v>
      </c>
      <c r="I63" s="179">
        <v>0</v>
      </c>
      <c r="J63" s="179">
        <v>0</v>
      </c>
      <c r="K63" s="179">
        <v>102780</v>
      </c>
      <c r="L63" s="179">
        <v>102780</v>
      </c>
      <c r="M63" s="179">
        <v>23220</v>
      </c>
      <c r="N63" s="179">
        <v>23220</v>
      </c>
    </row>
    <row r="64" spans="1:14" s="156" customFormat="1" x14ac:dyDescent="0.25">
      <c r="A64" s="156" t="s">
        <v>542</v>
      </c>
      <c r="B64" s="156" t="s">
        <v>210</v>
      </c>
      <c r="C64" s="156" t="s">
        <v>211</v>
      </c>
      <c r="D64" s="156" t="s">
        <v>541</v>
      </c>
      <c r="E64" s="179">
        <v>911000</v>
      </c>
      <c r="F64" s="179">
        <v>911000</v>
      </c>
      <c r="G64" s="179">
        <v>911000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911000</v>
      </c>
      <c r="N64" s="179">
        <v>911000</v>
      </c>
    </row>
    <row r="65" spans="1:14" s="156" customFormat="1" x14ac:dyDescent="0.25">
      <c r="A65" s="156" t="s">
        <v>542</v>
      </c>
      <c r="B65" s="156" t="s">
        <v>212</v>
      </c>
      <c r="C65" s="156" t="s">
        <v>213</v>
      </c>
      <c r="D65" s="156" t="s">
        <v>541</v>
      </c>
      <c r="E65" s="179">
        <v>3000000</v>
      </c>
      <c r="F65" s="179">
        <v>3000000</v>
      </c>
      <c r="G65" s="179">
        <v>3000000</v>
      </c>
      <c r="H65" s="179">
        <v>0</v>
      </c>
      <c r="I65" s="179">
        <v>65700</v>
      </c>
      <c r="J65" s="179">
        <v>0</v>
      </c>
      <c r="K65" s="179">
        <v>1373924</v>
      </c>
      <c r="L65" s="179">
        <v>1373924</v>
      </c>
      <c r="M65" s="179">
        <v>1560376</v>
      </c>
      <c r="N65" s="179">
        <v>1560376</v>
      </c>
    </row>
    <row r="66" spans="1:14" s="156" customFormat="1" x14ac:dyDescent="0.25">
      <c r="A66" s="156" t="s">
        <v>542</v>
      </c>
      <c r="B66" s="156" t="s">
        <v>214</v>
      </c>
      <c r="C66" s="156" t="s">
        <v>215</v>
      </c>
      <c r="D66" s="156" t="s">
        <v>541</v>
      </c>
      <c r="E66" s="179">
        <v>3000000</v>
      </c>
      <c r="F66" s="179">
        <v>3000000</v>
      </c>
      <c r="G66" s="179">
        <v>3000000</v>
      </c>
      <c r="H66" s="179">
        <v>0</v>
      </c>
      <c r="I66" s="179">
        <v>65700</v>
      </c>
      <c r="J66" s="179">
        <v>0</v>
      </c>
      <c r="K66" s="179">
        <v>1373924</v>
      </c>
      <c r="L66" s="179">
        <v>1373924</v>
      </c>
      <c r="M66" s="179">
        <v>1560376</v>
      </c>
      <c r="N66" s="179">
        <v>1560376</v>
      </c>
    </row>
    <row r="67" spans="1:14" s="156" customFormat="1" x14ac:dyDescent="0.25">
      <c r="A67" s="156" t="s">
        <v>542</v>
      </c>
      <c r="B67" s="156" t="s">
        <v>216</v>
      </c>
      <c r="C67" s="156" t="s">
        <v>217</v>
      </c>
      <c r="D67" s="156" t="s">
        <v>541</v>
      </c>
      <c r="E67" s="179">
        <v>936000</v>
      </c>
      <c r="F67" s="179">
        <v>936000</v>
      </c>
      <c r="G67" s="179">
        <v>936000</v>
      </c>
      <c r="H67" s="179">
        <v>0</v>
      </c>
      <c r="I67" s="179">
        <v>0</v>
      </c>
      <c r="J67" s="179">
        <v>0</v>
      </c>
      <c r="K67" s="179">
        <v>508225</v>
      </c>
      <c r="L67" s="179">
        <v>508225</v>
      </c>
      <c r="M67" s="179">
        <v>427775</v>
      </c>
      <c r="N67" s="179">
        <v>427775</v>
      </c>
    </row>
    <row r="68" spans="1:14" s="156" customFormat="1" x14ac:dyDescent="0.25">
      <c r="A68" s="156" t="s">
        <v>542</v>
      </c>
      <c r="B68" s="156" t="s">
        <v>220</v>
      </c>
      <c r="C68" s="156" t="s">
        <v>221</v>
      </c>
      <c r="D68" s="156" t="s">
        <v>541</v>
      </c>
      <c r="E68" s="179">
        <v>771000</v>
      </c>
      <c r="F68" s="179">
        <v>771000</v>
      </c>
      <c r="G68" s="179">
        <v>771000</v>
      </c>
      <c r="H68" s="179">
        <v>0</v>
      </c>
      <c r="I68" s="179">
        <v>0</v>
      </c>
      <c r="J68" s="179">
        <v>0</v>
      </c>
      <c r="K68" s="179">
        <v>508225</v>
      </c>
      <c r="L68" s="179">
        <v>508225</v>
      </c>
      <c r="M68" s="179">
        <v>262775</v>
      </c>
      <c r="N68" s="179">
        <v>262775</v>
      </c>
    </row>
    <row r="69" spans="1:14" s="156" customFormat="1" x14ac:dyDescent="0.25">
      <c r="A69" s="156" t="s">
        <v>542</v>
      </c>
      <c r="B69" s="156" t="s">
        <v>224</v>
      </c>
      <c r="C69" s="156" t="s">
        <v>225</v>
      </c>
      <c r="D69" s="156" t="s">
        <v>541</v>
      </c>
      <c r="E69" s="179">
        <v>165000</v>
      </c>
      <c r="F69" s="179">
        <v>165000</v>
      </c>
      <c r="G69" s="179">
        <v>165000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165000</v>
      </c>
      <c r="N69" s="179">
        <v>165000</v>
      </c>
    </row>
    <row r="70" spans="1:14" s="156" customFormat="1" x14ac:dyDescent="0.25">
      <c r="A70" s="156" t="s">
        <v>542</v>
      </c>
      <c r="B70" s="156" t="s">
        <v>228</v>
      </c>
      <c r="C70" s="156" t="s">
        <v>229</v>
      </c>
      <c r="D70" s="156" t="s">
        <v>541</v>
      </c>
      <c r="E70" s="179">
        <v>312000</v>
      </c>
      <c r="F70" s="179">
        <v>312000</v>
      </c>
      <c r="G70" s="179">
        <v>312000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312000</v>
      </c>
      <c r="N70" s="179">
        <v>312000</v>
      </c>
    </row>
    <row r="71" spans="1:14" s="156" customFormat="1" x14ac:dyDescent="0.25">
      <c r="A71" s="156" t="s">
        <v>542</v>
      </c>
      <c r="B71" s="156" t="s">
        <v>230</v>
      </c>
      <c r="C71" s="156" t="s">
        <v>231</v>
      </c>
      <c r="D71" s="156" t="s">
        <v>541</v>
      </c>
      <c r="E71" s="179">
        <v>206000</v>
      </c>
      <c r="F71" s="179">
        <v>206000</v>
      </c>
      <c r="G71" s="179">
        <v>206000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206000</v>
      </c>
      <c r="N71" s="179">
        <v>206000</v>
      </c>
    </row>
    <row r="72" spans="1:14" s="156" customFormat="1" x14ac:dyDescent="0.25">
      <c r="A72" s="156" t="s">
        <v>542</v>
      </c>
      <c r="B72" s="156" t="s">
        <v>232</v>
      </c>
      <c r="C72" s="156" t="s">
        <v>233</v>
      </c>
      <c r="D72" s="156" t="s">
        <v>541</v>
      </c>
      <c r="E72" s="179">
        <v>106000</v>
      </c>
      <c r="F72" s="179">
        <v>106000</v>
      </c>
      <c r="G72" s="179">
        <v>106000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106000</v>
      </c>
      <c r="N72" s="179">
        <v>106000</v>
      </c>
    </row>
    <row r="73" spans="1:14" s="156" customFormat="1" x14ac:dyDescent="0.25">
      <c r="A73" s="156" t="s">
        <v>542</v>
      </c>
      <c r="B73" s="156" t="s">
        <v>234</v>
      </c>
      <c r="C73" s="156" t="s">
        <v>601</v>
      </c>
      <c r="D73" s="156" t="s">
        <v>541</v>
      </c>
      <c r="E73" s="179">
        <v>20844000</v>
      </c>
      <c r="F73" s="179">
        <v>20844000</v>
      </c>
      <c r="G73" s="179">
        <v>20844000</v>
      </c>
      <c r="H73" s="179">
        <v>0</v>
      </c>
      <c r="I73" s="179">
        <v>1213669.1200000001</v>
      </c>
      <c r="J73" s="179">
        <v>685273.83</v>
      </c>
      <c r="K73" s="179">
        <v>6426902.5499999998</v>
      </c>
      <c r="L73" s="179">
        <v>5342622.55</v>
      </c>
      <c r="M73" s="179">
        <v>12518154.5</v>
      </c>
      <c r="N73" s="179">
        <v>12518154.5</v>
      </c>
    </row>
    <row r="74" spans="1:14" s="156" customFormat="1" x14ac:dyDescent="0.25">
      <c r="A74" s="156" t="s">
        <v>542</v>
      </c>
      <c r="B74" s="156" t="s">
        <v>235</v>
      </c>
      <c r="C74" s="156" t="s">
        <v>236</v>
      </c>
      <c r="D74" s="156" t="s">
        <v>541</v>
      </c>
      <c r="E74" s="179">
        <v>3000000</v>
      </c>
      <c r="F74" s="179">
        <v>3000000</v>
      </c>
      <c r="G74" s="179">
        <v>3000000</v>
      </c>
      <c r="H74" s="179">
        <v>0</v>
      </c>
      <c r="I74" s="179">
        <v>773364.12</v>
      </c>
      <c r="J74" s="179">
        <v>396900</v>
      </c>
      <c r="K74" s="179">
        <v>1089101.52</v>
      </c>
      <c r="L74" s="179">
        <v>777501.52</v>
      </c>
      <c r="M74" s="179">
        <v>740634.36</v>
      </c>
      <c r="N74" s="179">
        <v>740634.36</v>
      </c>
    </row>
    <row r="75" spans="1:14" s="156" customFormat="1" x14ac:dyDescent="0.25">
      <c r="A75" s="156" t="s">
        <v>542</v>
      </c>
      <c r="B75" s="156" t="s">
        <v>237</v>
      </c>
      <c r="C75" s="156" t="s">
        <v>238</v>
      </c>
      <c r="D75" s="156" t="s">
        <v>541</v>
      </c>
      <c r="E75" s="179">
        <v>271000</v>
      </c>
      <c r="F75" s="179">
        <v>271000</v>
      </c>
      <c r="G75" s="179">
        <v>271000</v>
      </c>
      <c r="H75" s="179">
        <v>0</v>
      </c>
      <c r="I75" s="179">
        <v>152000</v>
      </c>
      <c r="J75" s="179">
        <v>0</v>
      </c>
      <c r="K75" s="179">
        <v>112500</v>
      </c>
      <c r="L75" s="179">
        <v>112500</v>
      </c>
      <c r="M75" s="179">
        <v>6500</v>
      </c>
      <c r="N75" s="179">
        <v>6500</v>
      </c>
    </row>
    <row r="76" spans="1:14" s="156" customFormat="1" x14ac:dyDescent="0.25">
      <c r="A76" s="156" t="s">
        <v>542</v>
      </c>
      <c r="B76" s="156" t="s">
        <v>239</v>
      </c>
      <c r="C76" s="156" t="s">
        <v>240</v>
      </c>
      <c r="D76" s="156" t="s">
        <v>541</v>
      </c>
      <c r="E76" s="179">
        <v>12000000</v>
      </c>
      <c r="F76" s="179">
        <v>4000000</v>
      </c>
      <c r="G76" s="179">
        <v>4000000</v>
      </c>
      <c r="H76" s="179">
        <v>0</v>
      </c>
      <c r="I76" s="179">
        <v>177445</v>
      </c>
      <c r="J76" s="179">
        <v>0</v>
      </c>
      <c r="K76" s="179">
        <v>2394350.92</v>
      </c>
      <c r="L76" s="179">
        <v>2394350.92</v>
      </c>
      <c r="M76" s="179">
        <v>1428204.08</v>
      </c>
      <c r="N76" s="179">
        <v>1428204.08</v>
      </c>
    </row>
    <row r="77" spans="1:14" s="156" customFormat="1" x14ac:dyDescent="0.25">
      <c r="A77" s="156" t="s">
        <v>542</v>
      </c>
      <c r="B77" s="156" t="s">
        <v>241</v>
      </c>
      <c r="C77" s="156" t="s">
        <v>242</v>
      </c>
      <c r="D77" s="156" t="s">
        <v>541</v>
      </c>
      <c r="E77" s="179">
        <v>1445000</v>
      </c>
      <c r="F77" s="179">
        <v>1445000</v>
      </c>
      <c r="G77" s="179">
        <v>1445000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1445000</v>
      </c>
      <c r="N77" s="179">
        <v>1445000</v>
      </c>
    </row>
    <row r="78" spans="1:14" s="156" customFormat="1" x14ac:dyDescent="0.25">
      <c r="A78" s="156" t="s">
        <v>542</v>
      </c>
      <c r="B78" s="156" t="s">
        <v>243</v>
      </c>
      <c r="C78" s="156" t="s">
        <v>244</v>
      </c>
      <c r="D78" s="156" t="s">
        <v>541</v>
      </c>
      <c r="E78" s="179">
        <v>2500000</v>
      </c>
      <c r="F78" s="179">
        <v>10500000</v>
      </c>
      <c r="G78" s="179">
        <v>10500000</v>
      </c>
      <c r="H78" s="179">
        <v>0</v>
      </c>
      <c r="I78" s="179">
        <v>0</v>
      </c>
      <c r="J78" s="179">
        <v>224573.83</v>
      </c>
      <c r="K78" s="179">
        <v>1620580.61</v>
      </c>
      <c r="L78" s="179">
        <v>1620580.61</v>
      </c>
      <c r="M78" s="179">
        <v>8654845.5600000005</v>
      </c>
      <c r="N78" s="179">
        <v>8654845.5600000005</v>
      </c>
    </row>
    <row r="79" spans="1:14" s="156" customFormat="1" x14ac:dyDescent="0.25">
      <c r="A79" s="156" t="s">
        <v>542</v>
      </c>
      <c r="B79" s="156" t="s">
        <v>245</v>
      </c>
      <c r="C79" s="156" t="s">
        <v>246</v>
      </c>
      <c r="D79" s="156" t="s">
        <v>541</v>
      </c>
      <c r="E79" s="179">
        <v>66000</v>
      </c>
      <c r="F79" s="179">
        <v>66000</v>
      </c>
      <c r="G79" s="179">
        <v>66000</v>
      </c>
      <c r="H79" s="179">
        <v>0</v>
      </c>
      <c r="I79" s="179">
        <v>0</v>
      </c>
      <c r="J79" s="179">
        <v>63800</v>
      </c>
      <c r="K79" s="179">
        <v>0</v>
      </c>
      <c r="L79" s="179">
        <v>0</v>
      </c>
      <c r="M79" s="179">
        <v>2200</v>
      </c>
      <c r="N79" s="179">
        <v>2200</v>
      </c>
    </row>
    <row r="80" spans="1:14" s="156" customFormat="1" x14ac:dyDescent="0.25">
      <c r="A80" s="156" t="s">
        <v>542</v>
      </c>
      <c r="B80" s="156" t="s">
        <v>247</v>
      </c>
      <c r="C80" s="156" t="s">
        <v>248</v>
      </c>
      <c r="D80" s="156" t="s">
        <v>541</v>
      </c>
      <c r="E80" s="179">
        <v>562000</v>
      </c>
      <c r="F80" s="179">
        <v>562000</v>
      </c>
      <c r="G80" s="179">
        <v>562000</v>
      </c>
      <c r="H80" s="179">
        <v>0</v>
      </c>
      <c r="I80" s="179">
        <v>0</v>
      </c>
      <c r="J80" s="179">
        <v>0</v>
      </c>
      <c r="K80" s="179">
        <v>328670</v>
      </c>
      <c r="L80" s="179">
        <v>328670</v>
      </c>
      <c r="M80" s="179">
        <v>233330</v>
      </c>
      <c r="N80" s="179">
        <v>233330</v>
      </c>
    </row>
    <row r="81" spans="1:14" s="156" customFormat="1" x14ac:dyDescent="0.25">
      <c r="A81" s="156" t="s">
        <v>542</v>
      </c>
      <c r="B81" s="156" t="s">
        <v>249</v>
      </c>
      <c r="C81" s="156" t="s">
        <v>250</v>
      </c>
      <c r="D81" s="156" t="s">
        <v>541</v>
      </c>
      <c r="E81" s="179">
        <v>1000000</v>
      </c>
      <c r="F81" s="179">
        <v>1000000</v>
      </c>
      <c r="G81" s="179">
        <v>1000000</v>
      </c>
      <c r="H81" s="179">
        <v>0</v>
      </c>
      <c r="I81" s="179">
        <v>110860</v>
      </c>
      <c r="J81" s="179">
        <v>0</v>
      </c>
      <c r="K81" s="179">
        <v>881699.5</v>
      </c>
      <c r="L81" s="179">
        <v>109019.5</v>
      </c>
      <c r="M81" s="179">
        <v>7440.5</v>
      </c>
      <c r="N81" s="179">
        <v>7440.5</v>
      </c>
    </row>
    <row r="82" spans="1:14" s="156" customFormat="1" x14ac:dyDescent="0.25">
      <c r="A82" s="156" t="s">
        <v>542</v>
      </c>
      <c r="B82" s="156" t="s">
        <v>251</v>
      </c>
      <c r="C82" s="156" t="s">
        <v>252</v>
      </c>
      <c r="D82" s="156" t="s">
        <v>541</v>
      </c>
      <c r="E82" s="179">
        <v>731283000</v>
      </c>
      <c r="F82" s="179">
        <v>752902365</v>
      </c>
      <c r="G82" s="179">
        <v>575721518</v>
      </c>
      <c r="H82" s="179">
        <v>0</v>
      </c>
      <c r="I82" s="179">
        <v>130262436.29000001</v>
      </c>
      <c r="J82" s="179">
        <v>0</v>
      </c>
      <c r="K82" s="179">
        <v>440233510.81</v>
      </c>
      <c r="L82" s="179">
        <v>440233510.81</v>
      </c>
      <c r="M82" s="179">
        <v>182406417.90000001</v>
      </c>
      <c r="N82" s="179">
        <v>5225570.9000000004</v>
      </c>
    </row>
    <row r="83" spans="1:14" s="156" customFormat="1" x14ac:dyDescent="0.25">
      <c r="A83" s="156" t="s">
        <v>542</v>
      </c>
      <c r="B83" s="156" t="s">
        <v>253</v>
      </c>
      <c r="C83" s="156" t="s">
        <v>254</v>
      </c>
      <c r="D83" s="156" t="s">
        <v>541</v>
      </c>
      <c r="E83" s="179">
        <v>268185000</v>
      </c>
      <c r="F83" s="179">
        <v>268185000</v>
      </c>
      <c r="G83" s="179">
        <v>196839403.30000001</v>
      </c>
      <c r="H83" s="179">
        <v>0</v>
      </c>
      <c r="I83" s="179">
        <v>43920352.700000003</v>
      </c>
      <c r="J83" s="179">
        <v>0</v>
      </c>
      <c r="K83" s="179">
        <v>152836076.69999999</v>
      </c>
      <c r="L83" s="179">
        <v>152836076.69999999</v>
      </c>
      <c r="M83" s="179">
        <v>71428570.599999994</v>
      </c>
      <c r="N83" s="179">
        <v>82973.899999999994</v>
      </c>
    </row>
    <row r="84" spans="1:14" s="156" customFormat="1" x14ac:dyDescent="0.25">
      <c r="A84" s="156" t="s">
        <v>542</v>
      </c>
      <c r="B84" s="156" t="s">
        <v>255</v>
      </c>
      <c r="C84" s="156" t="s">
        <v>256</v>
      </c>
      <c r="D84" s="156" t="s">
        <v>541</v>
      </c>
      <c r="E84" s="179">
        <v>2000000</v>
      </c>
      <c r="F84" s="179">
        <v>2000000</v>
      </c>
      <c r="G84" s="179">
        <v>2000000</v>
      </c>
      <c r="H84" s="179">
        <v>0</v>
      </c>
      <c r="I84" s="179">
        <v>0</v>
      </c>
      <c r="J84" s="179">
        <v>0</v>
      </c>
      <c r="K84" s="179">
        <v>2000000</v>
      </c>
      <c r="L84" s="179">
        <v>2000000</v>
      </c>
      <c r="M84" s="179">
        <v>0</v>
      </c>
      <c r="N84" s="179">
        <v>0</v>
      </c>
    </row>
    <row r="85" spans="1:14" s="156" customFormat="1" x14ac:dyDescent="0.25">
      <c r="A85" s="156" t="s">
        <v>542</v>
      </c>
      <c r="B85" s="156" t="s">
        <v>257</v>
      </c>
      <c r="C85" s="156" t="s">
        <v>258</v>
      </c>
      <c r="D85" s="156" t="s">
        <v>541</v>
      </c>
      <c r="E85" s="179">
        <v>250000000</v>
      </c>
      <c r="F85" s="179">
        <v>250000000</v>
      </c>
      <c r="G85" s="179">
        <v>178654403.30000001</v>
      </c>
      <c r="H85" s="179">
        <v>0</v>
      </c>
      <c r="I85" s="179">
        <v>35714285.700000003</v>
      </c>
      <c r="J85" s="179">
        <v>0</v>
      </c>
      <c r="K85" s="179">
        <v>142857143.69999999</v>
      </c>
      <c r="L85" s="179">
        <v>142857143.69999999</v>
      </c>
      <c r="M85" s="179">
        <v>71428570.599999994</v>
      </c>
      <c r="N85" s="179">
        <v>82973.899999999994</v>
      </c>
    </row>
    <row r="86" spans="1:14" s="156" customFormat="1" x14ac:dyDescent="0.25">
      <c r="A86" s="156" t="s">
        <v>542</v>
      </c>
      <c r="B86" s="156" t="s">
        <v>259</v>
      </c>
      <c r="C86" s="156" t="s">
        <v>602</v>
      </c>
      <c r="D86" s="156" t="s">
        <v>541</v>
      </c>
      <c r="E86" s="179">
        <v>13470000</v>
      </c>
      <c r="F86" s="179">
        <v>13470000</v>
      </c>
      <c r="G86" s="179">
        <v>13470000</v>
      </c>
      <c r="H86" s="179">
        <v>0</v>
      </c>
      <c r="I86" s="179">
        <v>6829814</v>
      </c>
      <c r="J86" s="179">
        <v>0</v>
      </c>
      <c r="K86" s="179">
        <v>6640186</v>
      </c>
      <c r="L86" s="179">
        <v>6640186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260</v>
      </c>
      <c r="C87" s="156" t="s">
        <v>603</v>
      </c>
      <c r="D87" s="156" t="s">
        <v>541</v>
      </c>
      <c r="E87" s="179">
        <v>2715000</v>
      </c>
      <c r="F87" s="179">
        <v>2715000</v>
      </c>
      <c r="G87" s="179">
        <v>2715000</v>
      </c>
      <c r="H87" s="179">
        <v>0</v>
      </c>
      <c r="I87" s="179">
        <v>1376253</v>
      </c>
      <c r="J87" s="179">
        <v>0</v>
      </c>
      <c r="K87" s="179">
        <v>1338747</v>
      </c>
      <c r="L87" s="179">
        <v>1338747</v>
      </c>
      <c r="M87" s="179">
        <v>0</v>
      </c>
      <c r="N87" s="179">
        <v>0</v>
      </c>
    </row>
    <row r="88" spans="1:14" s="156" customFormat="1" x14ac:dyDescent="0.25">
      <c r="A88" s="156" t="s">
        <v>542</v>
      </c>
      <c r="B88" s="156" t="s">
        <v>261</v>
      </c>
      <c r="C88" s="156" t="s">
        <v>262</v>
      </c>
      <c r="D88" s="156" t="s">
        <v>541</v>
      </c>
      <c r="E88" s="179">
        <v>39757000</v>
      </c>
      <c r="F88" s="179">
        <v>61376365</v>
      </c>
      <c r="G88" s="179">
        <v>61376364.700000003</v>
      </c>
      <c r="H88" s="179">
        <v>0</v>
      </c>
      <c r="I88" s="179">
        <v>2243530.09</v>
      </c>
      <c r="J88" s="179">
        <v>0</v>
      </c>
      <c r="K88" s="179">
        <v>53990237.609999999</v>
      </c>
      <c r="L88" s="179">
        <v>53990237.609999999</v>
      </c>
      <c r="M88" s="179">
        <v>5142597.3</v>
      </c>
      <c r="N88" s="179">
        <v>5142597</v>
      </c>
    </row>
    <row r="89" spans="1:14" s="156" customFormat="1" x14ac:dyDescent="0.25">
      <c r="A89" s="156" t="s">
        <v>542</v>
      </c>
      <c r="B89" s="156" t="s">
        <v>263</v>
      </c>
      <c r="C89" s="156" t="s">
        <v>264</v>
      </c>
      <c r="D89" s="156" t="s">
        <v>541</v>
      </c>
      <c r="E89" s="179">
        <v>30000000</v>
      </c>
      <c r="F89" s="179">
        <v>51619365</v>
      </c>
      <c r="G89" s="179">
        <v>51619364.700000003</v>
      </c>
      <c r="H89" s="179">
        <v>0</v>
      </c>
      <c r="I89" s="179">
        <v>2243530.09</v>
      </c>
      <c r="J89" s="179">
        <v>0</v>
      </c>
      <c r="K89" s="179">
        <v>49375834.609999999</v>
      </c>
      <c r="L89" s="179">
        <v>49375834.609999999</v>
      </c>
      <c r="M89" s="179">
        <v>0.3</v>
      </c>
      <c r="N89" s="179">
        <v>0</v>
      </c>
    </row>
    <row r="90" spans="1:14" s="156" customFormat="1" x14ac:dyDescent="0.25">
      <c r="A90" s="156" t="s">
        <v>542</v>
      </c>
      <c r="B90" s="156" t="s">
        <v>265</v>
      </c>
      <c r="C90" s="156" t="s">
        <v>266</v>
      </c>
      <c r="D90" s="156" t="s">
        <v>541</v>
      </c>
      <c r="E90" s="179">
        <v>9757000</v>
      </c>
      <c r="F90" s="179">
        <v>9757000</v>
      </c>
      <c r="G90" s="179">
        <v>9757000</v>
      </c>
      <c r="H90" s="179">
        <v>0</v>
      </c>
      <c r="I90" s="179">
        <v>0</v>
      </c>
      <c r="J90" s="179">
        <v>0</v>
      </c>
      <c r="K90" s="179">
        <v>4614403</v>
      </c>
      <c r="L90" s="179">
        <v>4614403</v>
      </c>
      <c r="M90" s="179">
        <v>5142597</v>
      </c>
      <c r="N90" s="179">
        <v>5142597</v>
      </c>
    </row>
    <row r="91" spans="1:14" s="156" customFormat="1" x14ac:dyDescent="0.25">
      <c r="A91" s="156" t="s">
        <v>542</v>
      </c>
      <c r="B91" s="156" t="s">
        <v>273</v>
      </c>
      <c r="C91" s="156" t="s">
        <v>274</v>
      </c>
      <c r="D91" s="156" t="s">
        <v>541</v>
      </c>
      <c r="E91" s="179">
        <v>423341000</v>
      </c>
      <c r="F91" s="179">
        <v>423341000</v>
      </c>
      <c r="G91" s="179">
        <v>317505750</v>
      </c>
      <c r="H91" s="179">
        <v>0</v>
      </c>
      <c r="I91" s="179">
        <v>84098553.5</v>
      </c>
      <c r="J91" s="179">
        <v>0</v>
      </c>
      <c r="K91" s="179">
        <v>233407196.5</v>
      </c>
      <c r="L91" s="179">
        <v>233407196.5</v>
      </c>
      <c r="M91" s="179">
        <v>105835250</v>
      </c>
      <c r="N91" s="179">
        <v>0</v>
      </c>
    </row>
    <row r="92" spans="1:14" s="156" customFormat="1" x14ac:dyDescent="0.25">
      <c r="A92" s="156" t="s">
        <v>542</v>
      </c>
      <c r="B92" s="156" t="s">
        <v>275</v>
      </c>
      <c r="C92" s="156" t="s">
        <v>276</v>
      </c>
      <c r="D92" s="156" t="s">
        <v>541</v>
      </c>
      <c r="E92" s="179">
        <v>406300000</v>
      </c>
      <c r="F92" s="179">
        <v>406300000</v>
      </c>
      <c r="G92" s="179">
        <v>300464750</v>
      </c>
      <c r="H92" s="179">
        <v>0</v>
      </c>
      <c r="I92" s="179">
        <v>70556834</v>
      </c>
      <c r="J92" s="179">
        <v>0</v>
      </c>
      <c r="K92" s="179">
        <v>229907916</v>
      </c>
      <c r="L92" s="179">
        <v>229907916</v>
      </c>
      <c r="M92" s="179">
        <v>105835250</v>
      </c>
      <c r="N92" s="179">
        <v>0</v>
      </c>
    </row>
    <row r="93" spans="1:14" s="156" customFormat="1" x14ac:dyDescent="0.25">
      <c r="A93" s="156" t="s">
        <v>542</v>
      </c>
      <c r="B93" s="156" t="s">
        <v>561</v>
      </c>
      <c r="C93" s="156" t="s">
        <v>584</v>
      </c>
      <c r="D93" s="156" t="s">
        <v>541</v>
      </c>
      <c r="E93" s="179">
        <v>13364000</v>
      </c>
      <c r="F93" s="179">
        <v>13364000</v>
      </c>
      <c r="G93" s="179">
        <v>13364000</v>
      </c>
      <c r="H93" s="179">
        <v>0</v>
      </c>
      <c r="I93" s="179">
        <v>13364000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277</v>
      </c>
      <c r="C94" s="156" t="s">
        <v>278</v>
      </c>
      <c r="D94" s="156" t="s">
        <v>541</v>
      </c>
      <c r="E94" s="179">
        <v>3677000</v>
      </c>
      <c r="F94" s="179">
        <v>3677000</v>
      </c>
      <c r="G94" s="179">
        <v>3677000</v>
      </c>
      <c r="H94" s="179">
        <v>0</v>
      </c>
      <c r="I94" s="179">
        <v>177719.5</v>
      </c>
      <c r="J94" s="179">
        <v>0</v>
      </c>
      <c r="K94" s="179">
        <v>3499280.5</v>
      </c>
      <c r="L94" s="179">
        <v>3499280.5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279</v>
      </c>
      <c r="C95" s="156" t="s">
        <v>280</v>
      </c>
      <c r="D95" s="156" t="s">
        <v>543</v>
      </c>
      <c r="E95" s="179">
        <v>17098648</v>
      </c>
      <c r="F95" s="179">
        <v>17098648</v>
      </c>
      <c r="G95" s="179">
        <v>17098648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17098648</v>
      </c>
      <c r="N95" s="179">
        <v>17098648</v>
      </c>
    </row>
    <row r="96" spans="1:14" s="156" customFormat="1" x14ac:dyDescent="0.25">
      <c r="A96" s="156" t="s">
        <v>542</v>
      </c>
      <c r="B96" s="156" t="s">
        <v>281</v>
      </c>
      <c r="C96" s="156" t="s">
        <v>282</v>
      </c>
      <c r="D96" s="156" t="s">
        <v>543</v>
      </c>
      <c r="E96" s="179">
        <v>16598648</v>
      </c>
      <c r="F96" s="179">
        <v>16598648</v>
      </c>
      <c r="G96" s="179">
        <v>16598648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16598648</v>
      </c>
      <c r="N96" s="179">
        <v>16598648</v>
      </c>
    </row>
    <row r="97" spans="1:14" s="156" customFormat="1" x14ac:dyDescent="0.25">
      <c r="A97" s="156" t="s">
        <v>542</v>
      </c>
      <c r="B97" s="156" t="s">
        <v>283</v>
      </c>
      <c r="C97" s="156" t="s">
        <v>284</v>
      </c>
      <c r="D97" s="156" t="s">
        <v>543</v>
      </c>
      <c r="E97" s="179">
        <v>3000000</v>
      </c>
      <c r="F97" s="179">
        <v>3000000</v>
      </c>
      <c r="G97" s="179">
        <v>3000000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3000000</v>
      </c>
      <c r="N97" s="179">
        <v>3000000</v>
      </c>
    </row>
    <row r="98" spans="1:14" s="156" customFormat="1" x14ac:dyDescent="0.25">
      <c r="A98" s="156" t="s">
        <v>542</v>
      </c>
      <c r="B98" s="156" t="s">
        <v>285</v>
      </c>
      <c r="C98" s="156" t="s">
        <v>286</v>
      </c>
      <c r="D98" s="156" t="s">
        <v>543</v>
      </c>
      <c r="E98" s="179">
        <v>4000000</v>
      </c>
      <c r="F98" s="179">
        <v>4000000</v>
      </c>
      <c r="G98" s="179">
        <v>4000000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4000000</v>
      </c>
      <c r="N98" s="179">
        <v>4000000</v>
      </c>
    </row>
    <row r="99" spans="1:14" s="156" customFormat="1" x14ac:dyDescent="0.25">
      <c r="A99" s="156" t="s">
        <v>542</v>
      </c>
      <c r="B99" s="156" t="s">
        <v>287</v>
      </c>
      <c r="C99" s="156" t="s">
        <v>288</v>
      </c>
      <c r="D99" s="156" t="s">
        <v>543</v>
      </c>
      <c r="E99" s="179">
        <v>6337648</v>
      </c>
      <c r="F99" s="179">
        <v>6337648</v>
      </c>
      <c r="G99" s="179">
        <v>6337648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6337648</v>
      </c>
      <c r="N99" s="179">
        <v>6337648</v>
      </c>
    </row>
    <row r="100" spans="1:14" s="156" customFormat="1" x14ac:dyDescent="0.25">
      <c r="A100" s="156" t="s">
        <v>542</v>
      </c>
      <c r="B100" s="156" t="s">
        <v>293</v>
      </c>
      <c r="C100" s="156" t="s">
        <v>294</v>
      </c>
      <c r="D100" s="156" t="s">
        <v>543</v>
      </c>
      <c r="E100" s="179">
        <v>2261000</v>
      </c>
      <c r="F100" s="179">
        <v>2261000</v>
      </c>
      <c r="G100" s="179">
        <v>2261000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2261000</v>
      </c>
      <c r="N100" s="179">
        <v>2261000</v>
      </c>
    </row>
    <row r="101" spans="1:14" s="156" customFormat="1" x14ac:dyDescent="0.25">
      <c r="A101" s="156" t="s">
        <v>542</v>
      </c>
      <c r="B101" s="156" t="s">
        <v>295</v>
      </c>
      <c r="C101" s="156" t="s">
        <v>296</v>
      </c>
      <c r="D101" s="156" t="s">
        <v>543</v>
      </c>
      <c r="E101" s="179">
        <v>1000000</v>
      </c>
      <c r="F101" s="179">
        <v>1000000</v>
      </c>
      <c r="G101" s="179">
        <v>1000000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1000000</v>
      </c>
      <c r="N101" s="179">
        <v>1000000</v>
      </c>
    </row>
    <row r="102" spans="1:14" s="156" customFormat="1" x14ac:dyDescent="0.25">
      <c r="A102" s="156" t="s">
        <v>542</v>
      </c>
      <c r="B102" s="156" t="s">
        <v>340</v>
      </c>
      <c r="C102" s="156" t="s">
        <v>341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 t="s">
        <v>542</v>
      </c>
      <c r="B103" s="156" t="s">
        <v>342</v>
      </c>
      <c r="C103" s="156" t="s">
        <v>343</v>
      </c>
      <c r="D103" s="156" t="s">
        <v>543</v>
      </c>
      <c r="E103" s="179">
        <v>500000</v>
      </c>
      <c r="F103" s="179">
        <v>500000</v>
      </c>
      <c r="G103" s="179">
        <v>500000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500000</v>
      </c>
      <c r="N103" s="179">
        <v>500000</v>
      </c>
    </row>
    <row r="104" spans="1:14" s="156" customFormat="1" x14ac:dyDescent="0.25">
      <c r="A104" s="156">
        <v>214780</v>
      </c>
      <c r="B104" s="156" t="s">
        <v>587</v>
      </c>
      <c r="C104" s="156" t="s">
        <v>587</v>
      </c>
      <c r="D104" s="156" t="s">
        <v>541</v>
      </c>
      <c r="E104" s="179">
        <v>1241247489</v>
      </c>
      <c r="F104" s="179">
        <v>1241247489</v>
      </c>
      <c r="G104" s="179">
        <v>1174152355.8499999</v>
      </c>
      <c r="H104" s="179">
        <v>8888605.0800000001</v>
      </c>
      <c r="I104" s="179">
        <v>102885820.95</v>
      </c>
      <c r="J104" s="179">
        <v>0</v>
      </c>
      <c r="K104" s="182">
        <v>557011347.32000005</v>
      </c>
      <c r="L104" s="179">
        <v>555484062.91999996</v>
      </c>
      <c r="M104" s="179">
        <v>572461715.64999998</v>
      </c>
      <c r="N104" s="179">
        <v>505366582.5</v>
      </c>
    </row>
    <row r="105" spans="1:14" s="156" customFormat="1" x14ac:dyDescent="0.25">
      <c r="A105" s="156" t="s">
        <v>544</v>
      </c>
      <c r="B105" s="156" t="s">
        <v>92</v>
      </c>
      <c r="C105" s="156" t="s">
        <v>93</v>
      </c>
      <c r="D105" s="156" t="s">
        <v>541</v>
      </c>
      <c r="E105" s="179">
        <v>953910000</v>
      </c>
      <c r="F105" s="179">
        <v>953910000</v>
      </c>
      <c r="G105" s="179">
        <v>953910000</v>
      </c>
      <c r="H105" s="179">
        <v>0</v>
      </c>
      <c r="I105" s="179">
        <v>71059231</v>
      </c>
      <c r="J105" s="179">
        <v>0</v>
      </c>
      <c r="K105" s="179">
        <v>454822832.13999999</v>
      </c>
      <c r="L105" s="179">
        <v>454822832.13999999</v>
      </c>
      <c r="M105" s="179">
        <v>428027936.86000001</v>
      </c>
      <c r="N105" s="179">
        <v>428027936.86000001</v>
      </c>
    </row>
    <row r="106" spans="1:14" s="156" customFormat="1" x14ac:dyDescent="0.25">
      <c r="A106" s="156" t="s">
        <v>544</v>
      </c>
      <c r="B106" s="156" t="s">
        <v>94</v>
      </c>
      <c r="C106" s="156" t="s">
        <v>95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192893814.25999999</v>
      </c>
      <c r="L106" s="179">
        <v>192893814.25999999</v>
      </c>
      <c r="M106" s="179">
        <v>190947185.74000001</v>
      </c>
      <c r="N106" s="179">
        <v>190947185.74000001</v>
      </c>
    </row>
    <row r="107" spans="1:14" s="156" customFormat="1" x14ac:dyDescent="0.25">
      <c r="A107" s="156" t="s">
        <v>544</v>
      </c>
      <c r="B107" s="156" t="s">
        <v>96</v>
      </c>
      <c r="C107" s="156" t="s">
        <v>97</v>
      </c>
      <c r="D107" s="156" t="s">
        <v>541</v>
      </c>
      <c r="E107" s="179">
        <v>383841000</v>
      </c>
      <c r="F107" s="179">
        <v>383841000</v>
      </c>
      <c r="G107" s="179">
        <v>383841000</v>
      </c>
      <c r="H107" s="179">
        <v>0</v>
      </c>
      <c r="I107" s="179">
        <v>0</v>
      </c>
      <c r="J107" s="179">
        <v>0</v>
      </c>
      <c r="K107" s="179">
        <v>192893814.25999999</v>
      </c>
      <c r="L107" s="179">
        <v>192893814.25999999</v>
      </c>
      <c r="M107" s="179">
        <v>190947185.74000001</v>
      </c>
      <c r="N107" s="179">
        <v>190947185.74000001</v>
      </c>
    </row>
    <row r="108" spans="1:14" s="156" customFormat="1" x14ac:dyDescent="0.25">
      <c r="A108" s="156" t="s">
        <v>544</v>
      </c>
      <c r="B108" s="156" t="s">
        <v>102</v>
      </c>
      <c r="C108" s="156" t="s">
        <v>103</v>
      </c>
      <c r="D108" s="156" t="s">
        <v>541</v>
      </c>
      <c r="E108" s="179">
        <v>425514000</v>
      </c>
      <c r="F108" s="179">
        <v>425514000</v>
      </c>
      <c r="G108" s="179">
        <v>425514000</v>
      </c>
      <c r="H108" s="179">
        <v>0</v>
      </c>
      <c r="I108" s="179">
        <v>0</v>
      </c>
      <c r="J108" s="179">
        <v>0</v>
      </c>
      <c r="K108" s="179">
        <v>188433248.88</v>
      </c>
      <c r="L108" s="179">
        <v>188433248.88</v>
      </c>
      <c r="M108" s="179">
        <v>237080751.12</v>
      </c>
      <c r="N108" s="179">
        <v>237080751.12</v>
      </c>
    </row>
    <row r="109" spans="1:14" s="156" customFormat="1" x14ac:dyDescent="0.25">
      <c r="A109" s="156" t="s">
        <v>544</v>
      </c>
      <c r="B109" s="156" t="s">
        <v>104</v>
      </c>
      <c r="C109" s="156" t="s">
        <v>105</v>
      </c>
      <c r="D109" s="156" t="s">
        <v>541</v>
      </c>
      <c r="E109" s="179">
        <v>70660000</v>
      </c>
      <c r="F109" s="179">
        <v>70660000</v>
      </c>
      <c r="G109" s="179">
        <v>70660000</v>
      </c>
      <c r="H109" s="179">
        <v>0</v>
      </c>
      <c r="I109" s="179">
        <v>0</v>
      </c>
      <c r="J109" s="179">
        <v>0</v>
      </c>
      <c r="K109" s="179">
        <v>34040935.590000004</v>
      </c>
      <c r="L109" s="179">
        <v>34040935.590000004</v>
      </c>
      <c r="M109" s="179">
        <v>36619064.409999996</v>
      </c>
      <c r="N109" s="179">
        <v>36619064.409999996</v>
      </c>
    </row>
    <row r="110" spans="1:14" s="156" customFormat="1" x14ac:dyDescent="0.25">
      <c r="A110" s="156" t="s">
        <v>544</v>
      </c>
      <c r="B110" s="156" t="s">
        <v>106</v>
      </c>
      <c r="C110" s="156" t="s">
        <v>107</v>
      </c>
      <c r="D110" s="156" t="s">
        <v>541</v>
      </c>
      <c r="E110" s="179">
        <v>211191000</v>
      </c>
      <c r="F110" s="179">
        <v>211191000</v>
      </c>
      <c r="G110" s="179">
        <v>211191000</v>
      </c>
      <c r="H110" s="179">
        <v>0</v>
      </c>
      <c r="I110" s="179">
        <v>0</v>
      </c>
      <c r="J110" s="179">
        <v>0</v>
      </c>
      <c r="K110" s="179">
        <v>92742350.290000007</v>
      </c>
      <c r="L110" s="179">
        <v>92742350.290000007</v>
      </c>
      <c r="M110" s="179">
        <v>118448649.70999999</v>
      </c>
      <c r="N110" s="179">
        <v>118448649.70999999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35665000</v>
      </c>
      <c r="H112" s="179">
        <v>0</v>
      </c>
      <c r="I112" s="179">
        <v>0</v>
      </c>
      <c r="J112" s="179">
        <v>0</v>
      </c>
      <c r="K112" s="179">
        <v>17201931.93</v>
      </c>
      <c r="L112" s="179">
        <v>17201931.93</v>
      </c>
      <c r="M112" s="179">
        <v>18463068.07</v>
      </c>
      <c r="N112" s="179">
        <v>18463068.07</v>
      </c>
    </row>
    <row r="113" spans="1:14" s="156" customFormat="1" x14ac:dyDescent="0.25">
      <c r="A113" s="156" t="s">
        <v>544</v>
      </c>
      <c r="B113" s="156" t="s">
        <v>112</v>
      </c>
      <c r="C113" s="156" t="s">
        <v>113</v>
      </c>
      <c r="D113" s="156" t="s">
        <v>543</v>
      </c>
      <c r="E113" s="179">
        <v>61518000</v>
      </c>
      <c r="F113" s="179">
        <v>61518000</v>
      </c>
      <c r="G113" s="179">
        <v>61518000</v>
      </c>
      <c r="H113" s="179">
        <v>0</v>
      </c>
      <c r="I113" s="179">
        <v>0</v>
      </c>
      <c r="J113" s="179">
        <v>0</v>
      </c>
      <c r="K113" s="179">
        <v>0</v>
      </c>
      <c r="L113" s="179">
        <v>0</v>
      </c>
      <c r="M113" s="179">
        <v>61518000</v>
      </c>
      <c r="N113" s="179">
        <v>61518000</v>
      </c>
    </row>
    <row r="114" spans="1:14" s="156" customFormat="1" x14ac:dyDescent="0.25">
      <c r="A114" s="156" t="s">
        <v>544</v>
      </c>
      <c r="B114" s="156" t="s">
        <v>114</v>
      </c>
      <c r="C114" s="156" t="s">
        <v>115</v>
      </c>
      <c r="D114" s="156" t="s">
        <v>541</v>
      </c>
      <c r="E114" s="179">
        <v>72913000</v>
      </c>
      <c r="F114" s="179">
        <v>72913000</v>
      </c>
      <c r="G114" s="179">
        <v>72913000</v>
      </c>
      <c r="H114" s="179">
        <v>0</v>
      </c>
      <c r="I114" s="179">
        <v>35839238</v>
      </c>
      <c r="J114" s="179">
        <v>0</v>
      </c>
      <c r="K114" s="179">
        <v>37073762</v>
      </c>
      <c r="L114" s="179">
        <v>37073762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301</v>
      </c>
      <c r="C115" s="156" t="s">
        <v>597</v>
      </c>
      <c r="D115" s="156" t="s">
        <v>541</v>
      </c>
      <c r="E115" s="179">
        <v>69174000</v>
      </c>
      <c r="F115" s="179">
        <v>69174000</v>
      </c>
      <c r="G115" s="179">
        <v>69174000</v>
      </c>
      <c r="H115" s="179">
        <v>0</v>
      </c>
      <c r="I115" s="179">
        <v>34001057</v>
      </c>
      <c r="J115" s="179">
        <v>0</v>
      </c>
      <c r="K115" s="179">
        <v>35172943</v>
      </c>
      <c r="L115" s="179">
        <v>35172943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302</v>
      </c>
      <c r="C116" s="156" t="s">
        <v>583</v>
      </c>
      <c r="D116" s="156" t="s">
        <v>541</v>
      </c>
      <c r="E116" s="179">
        <v>3739000</v>
      </c>
      <c r="F116" s="179">
        <v>3739000</v>
      </c>
      <c r="G116" s="179">
        <v>3739000</v>
      </c>
      <c r="H116" s="179">
        <v>0</v>
      </c>
      <c r="I116" s="179">
        <v>1838181</v>
      </c>
      <c r="J116" s="179">
        <v>0</v>
      </c>
      <c r="K116" s="179">
        <v>1900819</v>
      </c>
      <c r="L116" s="179">
        <v>1900819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118</v>
      </c>
      <c r="C117" s="156" t="s">
        <v>119</v>
      </c>
      <c r="D117" s="156" t="s">
        <v>541</v>
      </c>
      <c r="E117" s="179">
        <v>71642000</v>
      </c>
      <c r="F117" s="179">
        <v>71642000</v>
      </c>
      <c r="G117" s="179">
        <v>71642000</v>
      </c>
      <c r="H117" s="179">
        <v>0</v>
      </c>
      <c r="I117" s="179">
        <v>35219993</v>
      </c>
      <c r="J117" s="179">
        <v>0</v>
      </c>
      <c r="K117" s="179">
        <v>36422007</v>
      </c>
      <c r="L117" s="179">
        <v>36422007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303</v>
      </c>
      <c r="C118" s="156" t="s">
        <v>598</v>
      </c>
      <c r="D118" s="156" t="s">
        <v>541</v>
      </c>
      <c r="E118" s="179">
        <v>37990000</v>
      </c>
      <c r="F118" s="179">
        <v>37990000</v>
      </c>
      <c r="G118" s="179">
        <v>37990000</v>
      </c>
      <c r="H118" s="179">
        <v>0</v>
      </c>
      <c r="I118" s="179">
        <v>18675317</v>
      </c>
      <c r="J118" s="179">
        <v>0</v>
      </c>
      <c r="K118" s="179">
        <v>19314683</v>
      </c>
      <c r="L118" s="179">
        <v>19314683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304</v>
      </c>
      <c r="C119" s="156" t="s">
        <v>599</v>
      </c>
      <c r="D119" s="156" t="s">
        <v>541</v>
      </c>
      <c r="E119" s="179">
        <v>11217000</v>
      </c>
      <c r="F119" s="179">
        <v>11217000</v>
      </c>
      <c r="G119" s="179">
        <v>11217000</v>
      </c>
      <c r="H119" s="179">
        <v>0</v>
      </c>
      <c r="I119" s="179">
        <v>5514564</v>
      </c>
      <c r="J119" s="179">
        <v>0</v>
      </c>
      <c r="K119" s="179">
        <v>5702436</v>
      </c>
      <c r="L119" s="179">
        <v>5702436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305</v>
      </c>
      <c r="C120" s="156" t="s">
        <v>600</v>
      </c>
      <c r="D120" s="156" t="s">
        <v>541</v>
      </c>
      <c r="E120" s="179">
        <v>22435000</v>
      </c>
      <c r="F120" s="179">
        <v>22435000</v>
      </c>
      <c r="G120" s="179">
        <v>22435000</v>
      </c>
      <c r="H120" s="179">
        <v>0</v>
      </c>
      <c r="I120" s="179">
        <v>11030112</v>
      </c>
      <c r="J120" s="179">
        <v>0</v>
      </c>
      <c r="K120" s="179">
        <v>11404888</v>
      </c>
      <c r="L120" s="179">
        <v>11404888</v>
      </c>
      <c r="M120" s="179">
        <v>0</v>
      </c>
      <c r="N120" s="179">
        <v>0</v>
      </c>
    </row>
    <row r="121" spans="1:14" s="156" customFormat="1" x14ac:dyDescent="0.25">
      <c r="A121" s="156" t="s">
        <v>544</v>
      </c>
      <c r="B121" s="156" t="s">
        <v>123</v>
      </c>
      <c r="C121" s="156" t="s">
        <v>124</v>
      </c>
      <c r="D121" s="156" t="s">
        <v>541</v>
      </c>
      <c r="E121" s="179">
        <v>155922650</v>
      </c>
      <c r="F121" s="179">
        <v>155922650</v>
      </c>
      <c r="G121" s="179">
        <v>124297401.84999999</v>
      </c>
      <c r="H121" s="179">
        <v>437500</v>
      </c>
      <c r="I121" s="179">
        <v>17414088.670000002</v>
      </c>
      <c r="J121" s="179">
        <v>0</v>
      </c>
      <c r="K121" s="179">
        <v>59753677.219999999</v>
      </c>
      <c r="L121" s="179">
        <v>58664562.560000002</v>
      </c>
      <c r="M121" s="179">
        <v>78317384.109999999</v>
      </c>
      <c r="N121" s="179">
        <v>46692135.960000001</v>
      </c>
    </row>
    <row r="122" spans="1:14" s="156" customFormat="1" x14ac:dyDescent="0.25">
      <c r="A122" s="156" t="s">
        <v>544</v>
      </c>
      <c r="B122" s="156" t="s">
        <v>125</v>
      </c>
      <c r="C122" s="156" t="s">
        <v>126</v>
      </c>
      <c r="D122" s="156" t="s">
        <v>541</v>
      </c>
      <c r="E122" s="179">
        <v>78966646</v>
      </c>
      <c r="F122" s="179">
        <v>78966646</v>
      </c>
      <c r="G122" s="179">
        <v>69984909</v>
      </c>
      <c r="H122" s="179">
        <v>0</v>
      </c>
      <c r="I122" s="179">
        <v>2408036.69</v>
      </c>
      <c r="J122" s="179">
        <v>0</v>
      </c>
      <c r="K122" s="179">
        <v>40176145.399999999</v>
      </c>
      <c r="L122" s="179">
        <v>40017791.5</v>
      </c>
      <c r="M122" s="179">
        <v>36382463.909999996</v>
      </c>
      <c r="N122" s="179">
        <v>27400726.91</v>
      </c>
    </row>
    <row r="123" spans="1:14" s="156" customFormat="1" x14ac:dyDescent="0.25">
      <c r="A123" s="156" t="s">
        <v>544</v>
      </c>
      <c r="B123" s="156" t="s">
        <v>306</v>
      </c>
      <c r="C123" s="156" t="s">
        <v>307</v>
      </c>
      <c r="D123" s="156" t="s">
        <v>541</v>
      </c>
      <c r="E123" s="179">
        <v>67899341</v>
      </c>
      <c r="F123" s="179">
        <v>67899341</v>
      </c>
      <c r="G123" s="179">
        <v>59048082</v>
      </c>
      <c r="H123" s="179">
        <v>0</v>
      </c>
      <c r="I123" s="179">
        <v>148352.07</v>
      </c>
      <c r="J123" s="179">
        <v>0</v>
      </c>
      <c r="K123" s="179">
        <v>33899455.609999999</v>
      </c>
      <c r="L123" s="179">
        <v>33899455.609999999</v>
      </c>
      <c r="M123" s="179">
        <v>33851533.32</v>
      </c>
      <c r="N123" s="179">
        <v>25000274.32</v>
      </c>
    </row>
    <row r="124" spans="1:14" s="156" customFormat="1" x14ac:dyDescent="0.25">
      <c r="A124" s="156" t="s">
        <v>544</v>
      </c>
      <c r="B124" s="156" t="s">
        <v>127</v>
      </c>
      <c r="C124" s="156" t="s">
        <v>128</v>
      </c>
      <c r="D124" s="156" t="s">
        <v>541</v>
      </c>
      <c r="E124" s="179">
        <v>11067305</v>
      </c>
      <c r="F124" s="179">
        <v>11067305</v>
      </c>
      <c r="G124" s="179">
        <v>10936827</v>
      </c>
      <c r="H124" s="179">
        <v>0</v>
      </c>
      <c r="I124" s="179">
        <v>2259684.62</v>
      </c>
      <c r="J124" s="179">
        <v>0</v>
      </c>
      <c r="K124" s="179">
        <v>6276689.79</v>
      </c>
      <c r="L124" s="179">
        <v>6118335.8899999997</v>
      </c>
      <c r="M124" s="179">
        <v>2530930.59</v>
      </c>
      <c r="N124" s="179">
        <v>2400452.59</v>
      </c>
    </row>
    <row r="125" spans="1:14" s="156" customFormat="1" x14ac:dyDescent="0.25">
      <c r="A125" s="156" t="s">
        <v>544</v>
      </c>
      <c r="B125" s="156" t="s">
        <v>131</v>
      </c>
      <c r="C125" s="156" t="s">
        <v>132</v>
      </c>
      <c r="D125" s="156" t="s">
        <v>541</v>
      </c>
      <c r="E125" s="179">
        <v>14518657</v>
      </c>
      <c r="F125" s="179">
        <v>14482767</v>
      </c>
      <c r="G125" s="179">
        <v>11243775</v>
      </c>
      <c r="H125" s="179">
        <v>0</v>
      </c>
      <c r="I125" s="179">
        <v>1832176.98</v>
      </c>
      <c r="J125" s="179">
        <v>0</v>
      </c>
      <c r="K125" s="179">
        <v>9396540.4499999993</v>
      </c>
      <c r="L125" s="179">
        <v>8465779.6899999995</v>
      </c>
      <c r="M125" s="179">
        <v>3254049.57</v>
      </c>
      <c r="N125" s="179">
        <v>15057.57</v>
      </c>
    </row>
    <row r="126" spans="1:14" s="156" customFormat="1" x14ac:dyDescent="0.25">
      <c r="A126" s="156" t="s">
        <v>544</v>
      </c>
      <c r="B126" s="156" t="s">
        <v>133</v>
      </c>
      <c r="C126" s="156" t="s">
        <v>134</v>
      </c>
      <c r="D126" s="156" t="s">
        <v>541</v>
      </c>
      <c r="E126" s="179">
        <v>1280000</v>
      </c>
      <c r="F126" s="179">
        <v>1244110</v>
      </c>
      <c r="G126" s="179">
        <v>824110</v>
      </c>
      <c r="H126" s="179">
        <v>0</v>
      </c>
      <c r="I126" s="179">
        <v>210421</v>
      </c>
      <c r="J126" s="179">
        <v>0</v>
      </c>
      <c r="K126" s="179">
        <v>599159</v>
      </c>
      <c r="L126" s="179">
        <v>599159</v>
      </c>
      <c r="M126" s="179">
        <v>434530</v>
      </c>
      <c r="N126" s="179">
        <v>14530</v>
      </c>
    </row>
    <row r="127" spans="1:14" s="156" customFormat="1" x14ac:dyDescent="0.25">
      <c r="A127" s="156" t="s">
        <v>544</v>
      </c>
      <c r="B127" s="156" t="s">
        <v>135</v>
      </c>
      <c r="C127" s="156" t="s">
        <v>136</v>
      </c>
      <c r="D127" s="156" t="s">
        <v>541</v>
      </c>
      <c r="E127" s="179">
        <v>3685715</v>
      </c>
      <c r="F127" s="179">
        <v>3685715</v>
      </c>
      <c r="G127" s="179">
        <v>2301429</v>
      </c>
      <c r="H127" s="179">
        <v>0</v>
      </c>
      <c r="I127" s="179">
        <v>533131</v>
      </c>
      <c r="J127" s="179">
        <v>0</v>
      </c>
      <c r="K127" s="179">
        <v>1768198</v>
      </c>
      <c r="L127" s="179">
        <v>1751902</v>
      </c>
      <c r="M127" s="179">
        <v>1384386</v>
      </c>
      <c r="N127" s="179">
        <v>100</v>
      </c>
    </row>
    <row r="128" spans="1:14" s="156" customFormat="1" x14ac:dyDescent="0.25">
      <c r="A128" s="156" t="s">
        <v>544</v>
      </c>
      <c r="B128" s="156" t="s">
        <v>139</v>
      </c>
      <c r="C128" s="156" t="s">
        <v>140</v>
      </c>
      <c r="D128" s="156" t="s">
        <v>541</v>
      </c>
      <c r="E128" s="179">
        <v>9552942</v>
      </c>
      <c r="F128" s="179">
        <v>9552942</v>
      </c>
      <c r="G128" s="179">
        <v>8118236</v>
      </c>
      <c r="H128" s="179">
        <v>0</v>
      </c>
      <c r="I128" s="179">
        <v>1088624.98</v>
      </c>
      <c r="J128" s="179">
        <v>0</v>
      </c>
      <c r="K128" s="179">
        <v>7029183.4500000002</v>
      </c>
      <c r="L128" s="179">
        <v>6114718.6900000004</v>
      </c>
      <c r="M128" s="179">
        <v>1435133.57</v>
      </c>
      <c r="N128" s="179">
        <v>427.57</v>
      </c>
    </row>
    <row r="129" spans="1:14" s="156" customFormat="1" x14ac:dyDescent="0.25">
      <c r="A129" s="156" t="s">
        <v>544</v>
      </c>
      <c r="B129" s="156" t="s">
        <v>143</v>
      </c>
      <c r="C129" s="156" t="s">
        <v>144</v>
      </c>
      <c r="D129" s="156" t="s">
        <v>541</v>
      </c>
      <c r="E129" s="179">
        <v>16719000</v>
      </c>
      <c r="F129" s="179">
        <v>14451000</v>
      </c>
      <c r="G129" s="179">
        <v>8420000</v>
      </c>
      <c r="H129" s="179">
        <v>200000</v>
      </c>
      <c r="I129" s="179">
        <v>0</v>
      </c>
      <c r="J129" s="179">
        <v>0</v>
      </c>
      <c r="K129" s="179">
        <v>5000</v>
      </c>
      <c r="L129" s="179">
        <v>5000</v>
      </c>
      <c r="M129" s="179">
        <v>14246000</v>
      </c>
      <c r="N129" s="179">
        <v>8215000</v>
      </c>
    </row>
    <row r="130" spans="1:14" s="156" customFormat="1" x14ac:dyDescent="0.25">
      <c r="A130" s="156" t="s">
        <v>544</v>
      </c>
      <c r="B130" s="156" t="s">
        <v>145</v>
      </c>
      <c r="C130" s="156" t="s">
        <v>146</v>
      </c>
      <c r="D130" s="156" t="s">
        <v>541</v>
      </c>
      <c r="E130" s="179">
        <v>719000</v>
      </c>
      <c r="F130" s="179">
        <v>519000</v>
      </c>
      <c r="G130" s="179">
        <v>200000</v>
      </c>
      <c r="H130" s="179">
        <v>200000</v>
      </c>
      <c r="I130" s="179">
        <v>0</v>
      </c>
      <c r="J130" s="179">
        <v>0</v>
      </c>
      <c r="K130" s="179">
        <v>0</v>
      </c>
      <c r="L130" s="179">
        <v>0</v>
      </c>
      <c r="M130" s="179">
        <v>319000</v>
      </c>
      <c r="N130" s="179">
        <v>0</v>
      </c>
    </row>
    <row r="131" spans="1:14" s="156" customFormat="1" x14ac:dyDescent="0.25">
      <c r="A131" s="156" t="s">
        <v>544</v>
      </c>
      <c r="B131" s="156" t="s">
        <v>147</v>
      </c>
      <c r="C131" s="156" t="s">
        <v>148</v>
      </c>
      <c r="D131" s="156" t="s">
        <v>541</v>
      </c>
      <c r="E131" s="179">
        <v>16000000</v>
      </c>
      <c r="F131" s="179">
        <v>13932000</v>
      </c>
      <c r="G131" s="179">
        <v>8220000</v>
      </c>
      <c r="H131" s="179">
        <v>0</v>
      </c>
      <c r="I131" s="179">
        <v>0</v>
      </c>
      <c r="J131" s="179">
        <v>0</v>
      </c>
      <c r="K131" s="179">
        <v>5000</v>
      </c>
      <c r="L131" s="179">
        <v>5000</v>
      </c>
      <c r="M131" s="179">
        <v>13927000</v>
      </c>
      <c r="N131" s="179">
        <v>8215000</v>
      </c>
    </row>
    <row r="132" spans="1:14" s="156" customFormat="1" x14ac:dyDescent="0.25">
      <c r="A132" s="156" t="s">
        <v>544</v>
      </c>
      <c r="B132" s="156" t="s">
        <v>151</v>
      </c>
      <c r="C132" s="156" t="s">
        <v>152</v>
      </c>
      <c r="D132" s="156" t="s">
        <v>541</v>
      </c>
      <c r="E132" s="179">
        <v>2200000</v>
      </c>
      <c r="F132" s="179">
        <v>1950000</v>
      </c>
      <c r="G132" s="179">
        <v>1477240</v>
      </c>
      <c r="H132" s="179">
        <v>0</v>
      </c>
      <c r="I132" s="179">
        <v>72510</v>
      </c>
      <c r="J132" s="179">
        <v>0</v>
      </c>
      <c r="K132" s="179">
        <v>1244730</v>
      </c>
      <c r="L132" s="179">
        <v>1244730</v>
      </c>
      <c r="M132" s="179">
        <v>632760</v>
      </c>
      <c r="N132" s="179">
        <v>160000</v>
      </c>
    </row>
    <row r="133" spans="1:14" s="156" customFormat="1" x14ac:dyDescent="0.25">
      <c r="A133" s="156" t="s">
        <v>544</v>
      </c>
      <c r="B133" s="156" t="s">
        <v>154</v>
      </c>
      <c r="C133" s="156" t="s">
        <v>155</v>
      </c>
      <c r="D133" s="156" t="s">
        <v>541</v>
      </c>
      <c r="E133" s="179">
        <v>1200000</v>
      </c>
      <c r="F133" s="179">
        <v>1100000</v>
      </c>
      <c r="G133" s="179">
        <v>1017240</v>
      </c>
      <c r="H133" s="179">
        <v>0</v>
      </c>
      <c r="I133" s="179">
        <v>0</v>
      </c>
      <c r="J133" s="179">
        <v>0</v>
      </c>
      <c r="K133" s="179">
        <v>1017240</v>
      </c>
      <c r="L133" s="179">
        <v>1017240</v>
      </c>
      <c r="M133" s="179">
        <v>82760</v>
      </c>
      <c r="N133" s="179">
        <v>0</v>
      </c>
    </row>
    <row r="134" spans="1:14" s="156" customFormat="1" x14ac:dyDescent="0.25">
      <c r="A134" s="156" t="s">
        <v>544</v>
      </c>
      <c r="B134" s="156" t="s">
        <v>156</v>
      </c>
      <c r="C134" s="156" t="s">
        <v>157</v>
      </c>
      <c r="D134" s="156" t="s">
        <v>541</v>
      </c>
      <c r="E134" s="179">
        <v>1000000</v>
      </c>
      <c r="F134" s="179">
        <v>850000</v>
      </c>
      <c r="G134" s="179">
        <v>460000</v>
      </c>
      <c r="H134" s="179">
        <v>0</v>
      </c>
      <c r="I134" s="179">
        <v>72510</v>
      </c>
      <c r="J134" s="179">
        <v>0</v>
      </c>
      <c r="K134" s="179">
        <v>227490</v>
      </c>
      <c r="L134" s="179">
        <v>227490</v>
      </c>
      <c r="M134" s="179">
        <v>550000</v>
      </c>
      <c r="N134" s="179">
        <v>160000</v>
      </c>
    </row>
    <row r="135" spans="1:14" s="156" customFormat="1" x14ac:dyDescent="0.25">
      <c r="A135" s="156" t="s">
        <v>544</v>
      </c>
      <c r="B135" s="156" t="s">
        <v>158</v>
      </c>
      <c r="C135" s="156" t="s">
        <v>159</v>
      </c>
      <c r="D135" s="156" t="s">
        <v>541</v>
      </c>
      <c r="E135" s="179">
        <v>6813730</v>
      </c>
      <c r="F135" s="179">
        <v>12156620</v>
      </c>
      <c r="G135" s="179">
        <v>11633823</v>
      </c>
      <c r="H135" s="179">
        <v>237500</v>
      </c>
      <c r="I135" s="179">
        <v>4418165</v>
      </c>
      <c r="J135" s="179">
        <v>0</v>
      </c>
      <c r="K135" s="179">
        <v>5218380</v>
      </c>
      <c r="L135" s="179">
        <v>5218380</v>
      </c>
      <c r="M135" s="179">
        <v>2282575</v>
      </c>
      <c r="N135" s="179">
        <v>1759778</v>
      </c>
    </row>
    <row r="136" spans="1:14" s="156" customFormat="1" x14ac:dyDescent="0.25">
      <c r="A136" s="156" t="s">
        <v>544</v>
      </c>
      <c r="B136" s="156" t="s">
        <v>160</v>
      </c>
      <c r="C136" s="156" t="s">
        <v>161</v>
      </c>
      <c r="D136" s="156" t="s">
        <v>541</v>
      </c>
      <c r="E136" s="179">
        <v>250000</v>
      </c>
      <c r="F136" s="179">
        <v>902890</v>
      </c>
      <c r="G136" s="179">
        <v>902890</v>
      </c>
      <c r="H136" s="179">
        <v>0</v>
      </c>
      <c r="I136" s="179">
        <v>473115</v>
      </c>
      <c r="J136" s="179">
        <v>0</v>
      </c>
      <c r="K136" s="179">
        <v>365930</v>
      </c>
      <c r="L136" s="179">
        <v>365930</v>
      </c>
      <c r="M136" s="179">
        <v>63845</v>
      </c>
      <c r="N136" s="179">
        <v>63845</v>
      </c>
    </row>
    <row r="137" spans="1:14" s="156" customFormat="1" x14ac:dyDescent="0.25">
      <c r="A137" s="156" t="s">
        <v>544</v>
      </c>
      <c r="B137" s="156" t="s">
        <v>162</v>
      </c>
      <c r="C137" s="156" t="s">
        <v>163</v>
      </c>
      <c r="D137" s="156" t="s">
        <v>541</v>
      </c>
      <c r="E137" s="179">
        <v>6563730</v>
      </c>
      <c r="F137" s="179">
        <v>11253730</v>
      </c>
      <c r="G137" s="179">
        <v>10730933</v>
      </c>
      <c r="H137" s="179">
        <v>237500</v>
      </c>
      <c r="I137" s="179">
        <v>3945050</v>
      </c>
      <c r="J137" s="179">
        <v>0</v>
      </c>
      <c r="K137" s="179">
        <v>4852450</v>
      </c>
      <c r="L137" s="179">
        <v>4852450</v>
      </c>
      <c r="M137" s="179">
        <v>2218730</v>
      </c>
      <c r="N137" s="179">
        <v>1695933</v>
      </c>
    </row>
    <row r="138" spans="1:14" s="156" customFormat="1" x14ac:dyDescent="0.25">
      <c r="A138" s="156" t="s">
        <v>544</v>
      </c>
      <c r="B138" s="156" t="s">
        <v>168</v>
      </c>
      <c r="C138" s="156" t="s">
        <v>169</v>
      </c>
      <c r="D138" s="156" t="s">
        <v>541</v>
      </c>
      <c r="E138" s="179">
        <v>4277392</v>
      </c>
      <c r="F138" s="179">
        <v>4277392</v>
      </c>
      <c r="G138" s="179">
        <v>2690348</v>
      </c>
      <c r="H138" s="179">
        <v>0</v>
      </c>
      <c r="I138" s="179">
        <v>1425000</v>
      </c>
      <c r="J138" s="179">
        <v>0</v>
      </c>
      <c r="K138" s="179">
        <v>1260694</v>
      </c>
      <c r="L138" s="179">
        <v>1260694</v>
      </c>
      <c r="M138" s="179">
        <v>1591698</v>
      </c>
      <c r="N138" s="179">
        <v>4654</v>
      </c>
    </row>
    <row r="139" spans="1:14" s="156" customFormat="1" x14ac:dyDescent="0.25">
      <c r="A139" s="156" t="s">
        <v>544</v>
      </c>
      <c r="B139" s="156" t="s">
        <v>170</v>
      </c>
      <c r="C139" s="156" t="s">
        <v>171</v>
      </c>
      <c r="D139" s="156" t="s">
        <v>541</v>
      </c>
      <c r="E139" s="179">
        <v>4277392</v>
      </c>
      <c r="F139" s="179">
        <v>4277392</v>
      </c>
      <c r="G139" s="179">
        <v>2690348</v>
      </c>
      <c r="H139" s="179">
        <v>0</v>
      </c>
      <c r="I139" s="179">
        <v>1425000</v>
      </c>
      <c r="J139" s="179">
        <v>0</v>
      </c>
      <c r="K139" s="179">
        <v>1260694</v>
      </c>
      <c r="L139" s="179">
        <v>1260694</v>
      </c>
      <c r="M139" s="179">
        <v>1591698</v>
      </c>
      <c r="N139" s="179">
        <v>4654</v>
      </c>
    </row>
    <row r="140" spans="1:14" s="156" customFormat="1" x14ac:dyDescent="0.25">
      <c r="A140" s="156" t="s">
        <v>544</v>
      </c>
      <c r="B140" s="156" t="s">
        <v>172</v>
      </c>
      <c r="C140" s="156" t="s">
        <v>173</v>
      </c>
      <c r="D140" s="156" t="s">
        <v>541</v>
      </c>
      <c r="E140" s="179">
        <v>12267225</v>
      </c>
      <c r="F140" s="179">
        <v>14282225</v>
      </c>
      <c r="G140" s="179">
        <v>9710807</v>
      </c>
      <c r="H140" s="179">
        <v>0</v>
      </c>
      <c r="I140" s="179">
        <v>2558200</v>
      </c>
      <c r="J140" s="179">
        <v>0</v>
      </c>
      <c r="K140" s="179">
        <v>1536800</v>
      </c>
      <c r="L140" s="179">
        <v>1536800</v>
      </c>
      <c r="M140" s="179">
        <v>10187225</v>
      </c>
      <c r="N140" s="179">
        <v>5615807</v>
      </c>
    </row>
    <row r="141" spans="1:14" s="156" customFormat="1" x14ac:dyDescent="0.25">
      <c r="A141" s="156" t="s">
        <v>544</v>
      </c>
      <c r="B141" s="156" t="s">
        <v>309</v>
      </c>
      <c r="C141" s="156" t="s">
        <v>310</v>
      </c>
      <c r="D141" s="156" t="s">
        <v>541</v>
      </c>
      <c r="E141" s="179">
        <v>12267225</v>
      </c>
      <c r="F141" s="179">
        <v>14282225</v>
      </c>
      <c r="G141" s="179">
        <v>9710807</v>
      </c>
      <c r="H141" s="179">
        <v>0</v>
      </c>
      <c r="I141" s="179">
        <v>2558200</v>
      </c>
      <c r="J141" s="179">
        <v>0</v>
      </c>
      <c r="K141" s="179">
        <v>1536800</v>
      </c>
      <c r="L141" s="179">
        <v>1536800</v>
      </c>
      <c r="M141" s="179">
        <v>10187225</v>
      </c>
      <c r="N141" s="179">
        <v>5615807</v>
      </c>
    </row>
    <row r="142" spans="1:14" s="156" customFormat="1" x14ac:dyDescent="0.25">
      <c r="A142" s="156" t="s">
        <v>544</v>
      </c>
      <c r="B142" s="156" t="s">
        <v>178</v>
      </c>
      <c r="C142" s="156" t="s">
        <v>179</v>
      </c>
      <c r="D142" s="156" t="s">
        <v>541</v>
      </c>
      <c r="E142" s="179">
        <v>17894000</v>
      </c>
      <c r="F142" s="179">
        <v>13797000</v>
      </c>
      <c r="G142" s="179">
        <v>8476500</v>
      </c>
      <c r="H142" s="179">
        <v>0</v>
      </c>
      <c r="I142" s="179">
        <v>4050000</v>
      </c>
      <c r="J142" s="179">
        <v>0</v>
      </c>
      <c r="K142" s="179">
        <v>915387.37</v>
      </c>
      <c r="L142" s="179">
        <v>915387.37</v>
      </c>
      <c r="M142" s="179">
        <v>8831612.6300000008</v>
      </c>
      <c r="N142" s="179">
        <v>3511112.63</v>
      </c>
    </row>
    <row r="143" spans="1:14" s="156" customFormat="1" x14ac:dyDescent="0.25">
      <c r="A143" s="156" t="s">
        <v>544</v>
      </c>
      <c r="B143" s="156" t="s">
        <v>182</v>
      </c>
      <c r="C143" s="156" t="s">
        <v>183</v>
      </c>
      <c r="D143" s="156" t="s">
        <v>541</v>
      </c>
      <c r="E143" s="179">
        <v>7000000</v>
      </c>
      <c r="F143" s="179">
        <v>7000000</v>
      </c>
      <c r="G143" s="179">
        <v>2550000</v>
      </c>
      <c r="H143" s="179">
        <v>0</v>
      </c>
      <c r="I143" s="179">
        <v>2550000</v>
      </c>
      <c r="J143" s="179">
        <v>0</v>
      </c>
      <c r="K143" s="179">
        <v>0</v>
      </c>
      <c r="L143" s="179">
        <v>0</v>
      </c>
      <c r="M143" s="179">
        <v>4450000</v>
      </c>
      <c r="N143" s="179">
        <v>0</v>
      </c>
    </row>
    <row r="144" spans="1:14" s="156" customFormat="1" x14ac:dyDescent="0.25">
      <c r="A144" s="156" t="s">
        <v>544</v>
      </c>
      <c r="B144" s="156" t="s">
        <v>186</v>
      </c>
      <c r="C144" s="156" t="s">
        <v>187</v>
      </c>
      <c r="D144" s="156" t="s">
        <v>541</v>
      </c>
      <c r="E144" s="179">
        <v>3000000</v>
      </c>
      <c r="F144" s="179">
        <v>1953000</v>
      </c>
      <c r="G144" s="179">
        <v>1953000</v>
      </c>
      <c r="H144" s="179">
        <v>0</v>
      </c>
      <c r="I144" s="179">
        <v>0</v>
      </c>
      <c r="J144" s="179">
        <v>0</v>
      </c>
      <c r="K144" s="179">
        <v>0</v>
      </c>
      <c r="L144" s="179">
        <v>0</v>
      </c>
      <c r="M144" s="179">
        <v>1953000</v>
      </c>
      <c r="N144" s="179">
        <v>1953000</v>
      </c>
    </row>
    <row r="145" spans="1:14" s="156" customFormat="1" x14ac:dyDescent="0.25">
      <c r="A145" s="156" t="s">
        <v>544</v>
      </c>
      <c r="B145" s="156" t="s">
        <v>188</v>
      </c>
      <c r="C145" s="156" t="s">
        <v>189</v>
      </c>
      <c r="D145" s="156" t="s">
        <v>541</v>
      </c>
      <c r="E145" s="179">
        <v>4494000</v>
      </c>
      <c r="F145" s="179">
        <v>4494000</v>
      </c>
      <c r="G145" s="179">
        <v>3623500</v>
      </c>
      <c r="H145" s="179">
        <v>0</v>
      </c>
      <c r="I145" s="179">
        <v>1500000</v>
      </c>
      <c r="J145" s="179">
        <v>0</v>
      </c>
      <c r="K145" s="179">
        <v>915387.37</v>
      </c>
      <c r="L145" s="179">
        <v>915387.37</v>
      </c>
      <c r="M145" s="179">
        <v>2078612.63</v>
      </c>
      <c r="N145" s="179">
        <v>1208112.6299999999</v>
      </c>
    </row>
    <row r="146" spans="1:14" s="156" customFormat="1" x14ac:dyDescent="0.25">
      <c r="A146" s="156" t="s">
        <v>544</v>
      </c>
      <c r="B146" s="156" t="s">
        <v>190</v>
      </c>
      <c r="C146" s="156" t="s">
        <v>191</v>
      </c>
      <c r="D146" s="156" t="s">
        <v>541</v>
      </c>
      <c r="E146" s="179">
        <v>3400000</v>
      </c>
      <c r="F146" s="179">
        <v>350000</v>
      </c>
      <c r="G146" s="179">
        <v>350000</v>
      </c>
      <c r="H146" s="179">
        <v>0</v>
      </c>
      <c r="I146" s="179">
        <v>0</v>
      </c>
      <c r="J146" s="179">
        <v>0</v>
      </c>
      <c r="K146" s="179">
        <v>0</v>
      </c>
      <c r="L146" s="179">
        <v>0</v>
      </c>
      <c r="M146" s="179">
        <v>350000</v>
      </c>
      <c r="N146" s="179">
        <v>350000</v>
      </c>
    </row>
    <row r="147" spans="1:14" s="156" customFormat="1" x14ac:dyDescent="0.25">
      <c r="A147" s="156" t="s">
        <v>544</v>
      </c>
      <c r="B147" s="156" t="s">
        <v>192</v>
      </c>
      <c r="C147" s="156" t="s">
        <v>193</v>
      </c>
      <c r="D147" s="156" t="s">
        <v>541</v>
      </c>
      <c r="E147" s="179">
        <v>466000</v>
      </c>
      <c r="F147" s="179">
        <v>299000</v>
      </c>
      <c r="G147" s="179">
        <v>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249000</v>
      </c>
      <c r="N147" s="179">
        <v>0</v>
      </c>
    </row>
    <row r="148" spans="1:14" s="156" customFormat="1" x14ac:dyDescent="0.25">
      <c r="A148" s="156" t="s">
        <v>544</v>
      </c>
      <c r="B148" s="156" t="s">
        <v>194</v>
      </c>
      <c r="C148" s="156" t="s">
        <v>195</v>
      </c>
      <c r="D148" s="156" t="s">
        <v>541</v>
      </c>
      <c r="E148" s="179">
        <v>466000</v>
      </c>
      <c r="F148" s="179">
        <v>299000</v>
      </c>
      <c r="G148" s="179">
        <v>50000</v>
      </c>
      <c r="H148" s="179">
        <v>0</v>
      </c>
      <c r="I148" s="179">
        <v>50000</v>
      </c>
      <c r="J148" s="179">
        <v>0</v>
      </c>
      <c r="K148" s="179">
        <v>0</v>
      </c>
      <c r="L148" s="179">
        <v>0</v>
      </c>
      <c r="M148" s="179">
        <v>249000</v>
      </c>
      <c r="N148" s="179">
        <v>0</v>
      </c>
    </row>
    <row r="149" spans="1:14" s="156" customFormat="1" x14ac:dyDescent="0.25">
      <c r="A149" s="156" t="s">
        <v>544</v>
      </c>
      <c r="B149" s="156" t="s">
        <v>196</v>
      </c>
      <c r="C149" s="156" t="s">
        <v>197</v>
      </c>
      <c r="D149" s="156" t="s">
        <v>541</v>
      </c>
      <c r="E149" s="179">
        <v>1800000</v>
      </c>
      <c r="F149" s="179">
        <v>1260000</v>
      </c>
      <c r="G149" s="179">
        <v>609999.85</v>
      </c>
      <c r="H149" s="179">
        <v>0</v>
      </c>
      <c r="I149" s="179">
        <v>600000</v>
      </c>
      <c r="J149" s="179">
        <v>0</v>
      </c>
      <c r="K149" s="179">
        <v>0</v>
      </c>
      <c r="L149" s="179">
        <v>0</v>
      </c>
      <c r="M149" s="179">
        <v>660000</v>
      </c>
      <c r="N149" s="179">
        <v>9999.85</v>
      </c>
    </row>
    <row r="150" spans="1:14" s="156" customFormat="1" x14ac:dyDescent="0.25">
      <c r="A150" s="156" t="s">
        <v>544</v>
      </c>
      <c r="B150" s="156" t="s">
        <v>198</v>
      </c>
      <c r="C150" s="156" t="s">
        <v>199</v>
      </c>
      <c r="D150" s="156" t="s">
        <v>541</v>
      </c>
      <c r="E150" s="179">
        <v>1800000</v>
      </c>
      <c r="F150" s="179">
        <v>1260000</v>
      </c>
      <c r="G150" s="179">
        <v>609999.85</v>
      </c>
      <c r="H150" s="179">
        <v>0</v>
      </c>
      <c r="I150" s="179">
        <v>600000</v>
      </c>
      <c r="J150" s="179">
        <v>0</v>
      </c>
      <c r="K150" s="179">
        <v>0</v>
      </c>
      <c r="L150" s="179">
        <v>0</v>
      </c>
      <c r="M150" s="179">
        <v>660000</v>
      </c>
      <c r="N150" s="179">
        <v>9999.85</v>
      </c>
    </row>
    <row r="151" spans="1:14" s="156" customFormat="1" x14ac:dyDescent="0.25">
      <c r="A151" s="156" t="s">
        <v>544</v>
      </c>
      <c r="B151" s="156" t="s">
        <v>200</v>
      </c>
      <c r="C151" s="156" t="s">
        <v>201</v>
      </c>
      <c r="D151" s="156" t="s">
        <v>541</v>
      </c>
      <c r="E151" s="179">
        <v>57954839</v>
      </c>
      <c r="F151" s="179">
        <v>57954839</v>
      </c>
      <c r="G151" s="179">
        <v>36193954</v>
      </c>
      <c r="H151" s="179">
        <v>2938105.08</v>
      </c>
      <c r="I151" s="179">
        <v>5859926.2800000003</v>
      </c>
      <c r="J151" s="179">
        <v>0</v>
      </c>
      <c r="K151" s="179">
        <v>10665832.609999999</v>
      </c>
      <c r="L151" s="179">
        <v>10227662.869999999</v>
      </c>
      <c r="M151" s="179">
        <v>38490975.030000001</v>
      </c>
      <c r="N151" s="179">
        <v>16730090.029999999</v>
      </c>
    </row>
    <row r="152" spans="1:14" s="156" customFormat="1" x14ac:dyDescent="0.25">
      <c r="A152" s="156" t="s">
        <v>544</v>
      </c>
      <c r="B152" s="156" t="s">
        <v>202</v>
      </c>
      <c r="C152" s="156" t="s">
        <v>203</v>
      </c>
      <c r="D152" s="156" t="s">
        <v>541</v>
      </c>
      <c r="E152" s="179">
        <v>17854839</v>
      </c>
      <c r="F152" s="179">
        <v>17803839</v>
      </c>
      <c r="G152" s="179">
        <v>9198210</v>
      </c>
      <c r="H152" s="179">
        <v>1617000</v>
      </c>
      <c r="I152" s="179">
        <v>2697164.94</v>
      </c>
      <c r="J152" s="179">
        <v>0</v>
      </c>
      <c r="K152" s="179">
        <v>1883650.06</v>
      </c>
      <c r="L152" s="179">
        <v>1883650.06</v>
      </c>
      <c r="M152" s="179">
        <v>11606024</v>
      </c>
      <c r="N152" s="179">
        <v>3000395</v>
      </c>
    </row>
    <row r="153" spans="1:14" s="156" customFormat="1" x14ac:dyDescent="0.25">
      <c r="A153" s="156" t="s">
        <v>544</v>
      </c>
      <c r="B153" s="156" t="s">
        <v>204</v>
      </c>
      <c r="C153" s="156" t="s">
        <v>205</v>
      </c>
      <c r="D153" s="156" t="s">
        <v>541</v>
      </c>
      <c r="E153" s="179">
        <v>9354839</v>
      </c>
      <c r="F153" s="179">
        <v>9354839</v>
      </c>
      <c r="G153" s="179">
        <v>3079210</v>
      </c>
      <c r="H153" s="179">
        <v>0</v>
      </c>
      <c r="I153" s="179">
        <v>1195554.94</v>
      </c>
      <c r="J153" s="179">
        <v>0</v>
      </c>
      <c r="K153" s="179">
        <v>1883650.06</v>
      </c>
      <c r="L153" s="179">
        <v>1883650.06</v>
      </c>
      <c r="M153" s="179">
        <v>6275634</v>
      </c>
      <c r="N153" s="179">
        <v>5</v>
      </c>
    </row>
    <row r="154" spans="1:14" s="156" customFormat="1" x14ac:dyDescent="0.25">
      <c r="A154" s="156" t="s">
        <v>544</v>
      </c>
      <c r="B154" s="156" t="s">
        <v>208</v>
      </c>
      <c r="C154" s="156" t="s">
        <v>209</v>
      </c>
      <c r="D154" s="156" t="s">
        <v>541</v>
      </c>
      <c r="E154" s="179">
        <v>8500000</v>
      </c>
      <c r="F154" s="179">
        <v>8449000</v>
      </c>
      <c r="G154" s="179">
        <v>6119000</v>
      </c>
      <c r="H154" s="179">
        <v>1617000</v>
      </c>
      <c r="I154" s="179">
        <v>1501610</v>
      </c>
      <c r="J154" s="179">
        <v>0</v>
      </c>
      <c r="K154" s="179">
        <v>0</v>
      </c>
      <c r="L154" s="179">
        <v>0</v>
      </c>
      <c r="M154" s="179">
        <v>5330390</v>
      </c>
      <c r="N154" s="179">
        <v>3000390</v>
      </c>
    </row>
    <row r="155" spans="1:14" s="156" customFormat="1" x14ac:dyDescent="0.25">
      <c r="A155" s="156" t="s">
        <v>544</v>
      </c>
      <c r="B155" s="156" t="s">
        <v>212</v>
      </c>
      <c r="C155" s="156" t="s">
        <v>213</v>
      </c>
      <c r="D155" s="156" t="s">
        <v>541</v>
      </c>
      <c r="E155" s="179">
        <v>2460000</v>
      </c>
      <c r="F155" s="179">
        <v>5911000</v>
      </c>
      <c r="G155" s="179">
        <v>3765240</v>
      </c>
      <c r="H155" s="179">
        <v>0</v>
      </c>
      <c r="I155" s="179">
        <v>1156976.7</v>
      </c>
      <c r="J155" s="179">
        <v>0</v>
      </c>
      <c r="K155" s="179">
        <v>931082</v>
      </c>
      <c r="L155" s="179">
        <v>931082</v>
      </c>
      <c r="M155" s="179">
        <v>3822941.3</v>
      </c>
      <c r="N155" s="179">
        <v>1677181.3</v>
      </c>
    </row>
    <row r="156" spans="1:14" s="156" customFormat="1" x14ac:dyDescent="0.25">
      <c r="A156" s="156" t="s">
        <v>544</v>
      </c>
      <c r="B156" s="156" t="s">
        <v>214</v>
      </c>
      <c r="C156" s="156" t="s">
        <v>215</v>
      </c>
      <c r="D156" s="156" t="s">
        <v>541</v>
      </c>
      <c r="E156" s="179">
        <v>2460000</v>
      </c>
      <c r="F156" s="179">
        <v>5911000</v>
      </c>
      <c r="G156" s="179">
        <v>3765240</v>
      </c>
      <c r="H156" s="179">
        <v>0</v>
      </c>
      <c r="I156" s="179">
        <v>1156976.7</v>
      </c>
      <c r="J156" s="179">
        <v>0</v>
      </c>
      <c r="K156" s="179">
        <v>931082</v>
      </c>
      <c r="L156" s="179">
        <v>931082</v>
      </c>
      <c r="M156" s="179">
        <v>3822941.3</v>
      </c>
      <c r="N156" s="179">
        <v>1677181.3</v>
      </c>
    </row>
    <row r="157" spans="1:14" s="156" customFormat="1" x14ac:dyDescent="0.25">
      <c r="A157" s="156" t="s">
        <v>544</v>
      </c>
      <c r="B157" s="156" t="s">
        <v>216</v>
      </c>
      <c r="C157" s="156" t="s">
        <v>217</v>
      </c>
      <c r="D157" s="156" t="s">
        <v>541</v>
      </c>
      <c r="E157" s="179">
        <v>2000000</v>
      </c>
      <c r="F157" s="179">
        <v>1950000</v>
      </c>
      <c r="G157" s="179">
        <v>1348000</v>
      </c>
      <c r="H157" s="179">
        <v>577036.07999999996</v>
      </c>
      <c r="I157" s="179">
        <v>105430</v>
      </c>
      <c r="J157" s="179">
        <v>0</v>
      </c>
      <c r="K157" s="179">
        <v>606721.42000000004</v>
      </c>
      <c r="L157" s="179">
        <v>373368.18</v>
      </c>
      <c r="M157" s="179">
        <v>660812.5</v>
      </c>
      <c r="N157" s="179">
        <v>58812.5</v>
      </c>
    </row>
    <row r="158" spans="1:14" s="156" customFormat="1" x14ac:dyDescent="0.25">
      <c r="A158" s="156" t="s">
        <v>544</v>
      </c>
      <c r="B158" s="156" t="s">
        <v>220</v>
      </c>
      <c r="C158" s="156" t="s">
        <v>221</v>
      </c>
      <c r="D158" s="156" t="s">
        <v>541</v>
      </c>
      <c r="E158" s="179">
        <v>2000000</v>
      </c>
      <c r="F158" s="179">
        <v>1950000</v>
      </c>
      <c r="G158" s="179">
        <v>1348000</v>
      </c>
      <c r="H158" s="179">
        <v>577036.07999999996</v>
      </c>
      <c r="I158" s="179">
        <v>105430</v>
      </c>
      <c r="J158" s="179">
        <v>0</v>
      </c>
      <c r="K158" s="179">
        <v>606721.42000000004</v>
      </c>
      <c r="L158" s="179">
        <v>373368.18</v>
      </c>
      <c r="M158" s="179">
        <v>660812.5</v>
      </c>
      <c r="N158" s="179">
        <v>58812.5</v>
      </c>
    </row>
    <row r="159" spans="1:14" s="156" customFormat="1" x14ac:dyDescent="0.25">
      <c r="A159" s="156" t="s">
        <v>544</v>
      </c>
      <c r="B159" s="156" t="s">
        <v>228</v>
      </c>
      <c r="C159" s="156" t="s">
        <v>229</v>
      </c>
      <c r="D159" s="156" t="s">
        <v>541</v>
      </c>
      <c r="E159" s="179">
        <v>6710000</v>
      </c>
      <c r="F159" s="179">
        <v>3860000</v>
      </c>
      <c r="G159" s="179">
        <v>1002132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3860000</v>
      </c>
      <c r="N159" s="179">
        <v>1002132</v>
      </c>
    </row>
    <row r="160" spans="1:14" s="156" customFormat="1" x14ac:dyDescent="0.25">
      <c r="A160" s="156" t="s">
        <v>544</v>
      </c>
      <c r="B160" s="156" t="s">
        <v>230</v>
      </c>
      <c r="C160" s="156" t="s">
        <v>231</v>
      </c>
      <c r="D160" s="156" t="s">
        <v>541</v>
      </c>
      <c r="E160" s="179">
        <v>3710000</v>
      </c>
      <c r="F160" s="179">
        <v>2210000</v>
      </c>
      <c r="G160" s="179">
        <v>800000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2210000</v>
      </c>
      <c r="N160" s="179">
        <v>800000</v>
      </c>
    </row>
    <row r="161" spans="1:14" s="156" customFormat="1" x14ac:dyDescent="0.25">
      <c r="A161" s="156" t="s">
        <v>544</v>
      </c>
      <c r="B161" s="156" t="s">
        <v>232</v>
      </c>
      <c r="C161" s="156" t="s">
        <v>233</v>
      </c>
      <c r="D161" s="156" t="s">
        <v>541</v>
      </c>
      <c r="E161" s="179">
        <v>3000000</v>
      </c>
      <c r="F161" s="179">
        <v>1650000</v>
      </c>
      <c r="G161" s="179">
        <v>202132</v>
      </c>
      <c r="H161" s="179">
        <v>0</v>
      </c>
      <c r="I161" s="179">
        <v>0</v>
      </c>
      <c r="J161" s="179">
        <v>0</v>
      </c>
      <c r="K161" s="179">
        <v>0</v>
      </c>
      <c r="L161" s="179">
        <v>0</v>
      </c>
      <c r="M161" s="179">
        <v>1650000</v>
      </c>
      <c r="N161" s="179">
        <v>202132</v>
      </c>
    </row>
    <row r="162" spans="1:14" s="156" customFormat="1" x14ac:dyDescent="0.25">
      <c r="A162" s="156" t="s">
        <v>544</v>
      </c>
      <c r="B162" s="156" t="s">
        <v>234</v>
      </c>
      <c r="C162" s="156" t="s">
        <v>601</v>
      </c>
      <c r="D162" s="156" t="s">
        <v>541</v>
      </c>
      <c r="E162" s="179">
        <v>28930000</v>
      </c>
      <c r="F162" s="179">
        <v>28430000</v>
      </c>
      <c r="G162" s="179">
        <v>20880372</v>
      </c>
      <c r="H162" s="179">
        <v>744069</v>
      </c>
      <c r="I162" s="179">
        <v>1900354.64</v>
      </c>
      <c r="J162" s="179">
        <v>0</v>
      </c>
      <c r="K162" s="179">
        <v>7244379.1299999999</v>
      </c>
      <c r="L162" s="179">
        <v>7039562.6299999999</v>
      </c>
      <c r="M162" s="179">
        <v>18541197.23</v>
      </c>
      <c r="N162" s="179">
        <v>10991569.23</v>
      </c>
    </row>
    <row r="163" spans="1:14" s="156" customFormat="1" x14ac:dyDescent="0.25">
      <c r="A163" s="156" t="s">
        <v>544</v>
      </c>
      <c r="B163" s="156" t="s">
        <v>235</v>
      </c>
      <c r="C163" s="156" t="s">
        <v>236</v>
      </c>
      <c r="D163" s="156" t="s">
        <v>541</v>
      </c>
      <c r="E163" s="179">
        <v>8000000</v>
      </c>
      <c r="F163" s="179">
        <v>7500000</v>
      </c>
      <c r="G163" s="179">
        <v>5000000</v>
      </c>
      <c r="H163" s="179">
        <v>0</v>
      </c>
      <c r="I163" s="179">
        <v>741237.64</v>
      </c>
      <c r="J163" s="179">
        <v>0</v>
      </c>
      <c r="K163" s="179">
        <v>2257864.5299999998</v>
      </c>
      <c r="L163" s="179">
        <v>2257864.5299999998</v>
      </c>
      <c r="M163" s="179">
        <v>4500897.83</v>
      </c>
      <c r="N163" s="179">
        <v>2000897.83</v>
      </c>
    </row>
    <row r="164" spans="1:14" s="156" customFormat="1" x14ac:dyDescent="0.25">
      <c r="A164" s="156" t="s">
        <v>544</v>
      </c>
      <c r="B164" s="156" t="s">
        <v>239</v>
      </c>
      <c r="C164" s="156" t="s">
        <v>240</v>
      </c>
      <c r="D164" s="156" t="s">
        <v>541</v>
      </c>
      <c r="E164" s="179">
        <v>8000000</v>
      </c>
      <c r="F164" s="179">
        <v>7500000</v>
      </c>
      <c r="G164" s="179">
        <v>4800000</v>
      </c>
      <c r="H164" s="179">
        <v>318570</v>
      </c>
      <c r="I164" s="179">
        <v>295000</v>
      </c>
      <c r="J164" s="179">
        <v>0</v>
      </c>
      <c r="K164" s="179">
        <v>2183538.4</v>
      </c>
      <c r="L164" s="179">
        <v>1978721.9</v>
      </c>
      <c r="M164" s="179">
        <v>4702891.5999999996</v>
      </c>
      <c r="N164" s="179">
        <v>2002891.6</v>
      </c>
    </row>
    <row r="165" spans="1:14" s="156" customFormat="1" x14ac:dyDescent="0.25">
      <c r="A165" s="156" t="s">
        <v>544</v>
      </c>
      <c r="B165" s="156" t="s">
        <v>243</v>
      </c>
      <c r="C165" s="156" t="s">
        <v>244</v>
      </c>
      <c r="D165" s="156" t="s">
        <v>541</v>
      </c>
      <c r="E165" s="179">
        <v>4930000</v>
      </c>
      <c r="F165" s="179">
        <v>4430000</v>
      </c>
      <c r="G165" s="179">
        <v>2764372</v>
      </c>
      <c r="H165" s="179">
        <v>425499</v>
      </c>
      <c r="I165" s="179">
        <v>371117</v>
      </c>
      <c r="J165" s="179">
        <v>0</v>
      </c>
      <c r="K165" s="179">
        <v>819226.2</v>
      </c>
      <c r="L165" s="179">
        <v>819226.2</v>
      </c>
      <c r="M165" s="179">
        <v>2814157.8</v>
      </c>
      <c r="N165" s="179">
        <v>1148529.8</v>
      </c>
    </row>
    <row r="166" spans="1:14" s="156" customFormat="1" x14ac:dyDescent="0.25">
      <c r="A166" s="156" t="s">
        <v>544</v>
      </c>
      <c r="B166" s="156" t="s">
        <v>249</v>
      </c>
      <c r="C166" s="156" t="s">
        <v>250</v>
      </c>
      <c r="D166" s="156" t="s">
        <v>541</v>
      </c>
      <c r="E166" s="179">
        <v>8000000</v>
      </c>
      <c r="F166" s="179">
        <v>9000000</v>
      </c>
      <c r="G166" s="179">
        <v>8316000</v>
      </c>
      <c r="H166" s="179">
        <v>0</v>
      </c>
      <c r="I166" s="179">
        <v>493000</v>
      </c>
      <c r="J166" s="179">
        <v>0</v>
      </c>
      <c r="K166" s="179">
        <v>1983750</v>
      </c>
      <c r="L166" s="179">
        <v>1983750</v>
      </c>
      <c r="M166" s="179">
        <v>6523250</v>
      </c>
      <c r="N166" s="179">
        <v>5839250</v>
      </c>
    </row>
    <row r="167" spans="1:14" s="156" customFormat="1" x14ac:dyDescent="0.25">
      <c r="A167" s="156" t="s">
        <v>544</v>
      </c>
      <c r="B167" s="156" t="s">
        <v>251</v>
      </c>
      <c r="C167" s="156" t="s">
        <v>252</v>
      </c>
      <c r="D167" s="156" t="s">
        <v>541</v>
      </c>
      <c r="E167" s="179">
        <v>43960000</v>
      </c>
      <c r="F167" s="179">
        <v>43960000</v>
      </c>
      <c r="G167" s="179">
        <v>36960000</v>
      </c>
      <c r="H167" s="179">
        <v>0</v>
      </c>
      <c r="I167" s="179">
        <v>5477575</v>
      </c>
      <c r="J167" s="179">
        <v>0</v>
      </c>
      <c r="K167" s="179">
        <v>26121814.350000001</v>
      </c>
      <c r="L167" s="179">
        <v>26121814.350000001</v>
      </c>
      <c r="M167" s="179">
        <v>12360610.65</v>
      </c>
      <c r="N167" s="179">
        <v>5360610.6500000004</v>
      </c>
    </row>
    <row r="168" spans="1:14" s="156" customFormat="1" x14ac:dyDescent="0.25">
      <c r="A168" s="156" t="s">
        <v>544</v>
      </c>
      <c r="B168" s="156" t="s">
        <v>253</v>
      </c>
      <c r="C168" s="156" t="s">
        <v>254</v>
      </c>
      <c r="D168" s="156" t="s">
        <v>541</v>
      </c>
      <c r="E168" s="179">
        <v>11142000</v>
      </c>
      <c r="F168" s="179">
        <v>11142000</v>
      </c>
      <c r="G168" s="179">
        <v>11142000</v>
      </c>
      <c r="H168" s="179">
        <v>0</v>
      </c>
      <c r="I168" s="179">
        <v>5477575</v>
      </c>
      <c r="J168" s="179">
        <v>0</v>
      </c>
      <c r="K168" s="179">
        <v>5664425</v>
      </c>
      <c r="L168" s="179">
        <v>5664425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311</v>
      </c>
      <c r="C169" s="156" t="s">
        <v>602</v>
      </c>
      <c r="D169" s="156" t="s">
        <v>541</v>
      </c>
      <c r="E169" s="179">
        <v>9273000</v>
      </c>
      <c r="F169" s="179">
        <v>9273000</v>
      </c>
      <c r="G169" s="179">
        <v>9273000</v>
      </c>
      <c r="H169" s="179">
        <v>0</v>
      </c>
      <c r="I169" s="179">
        <v>4558980</v>
      </c>
      <c r="J169" s="179">
        <v>0</v>
      </c>
      <c r="K169" s="179">
        <v>4714020</v>
      </c>
      <c r="L169" s="179">
        <v>4714020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312</v>
      </c>
      <c r="C170" s="156" t="s">
        <v>603</v>
      </c>
      <c r="D170" s="156" t="s">
        <v>541</v>
      </c>
      <c r="E170" s="179">
        <v>1869000</v>
      </c>
      <c r="F170" s="179">
        <v>1869000</v>
      </c>
      <c r="G170" s="179">
        <v>1869000</v>
      </c>
      <c r="H170" s="179">
        <v>0</v>
      </c>
      <c r="I170" s="179">
        <v>918595</v>
      </c>
      <c r="J170" s="179">
        <v>0</v>
      </c>
      <c r="K170" s="179">
        <v>950405</v>
      </c>
      <c r="L170" s="179">
        <v>950405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261</v>
      </c>
      <c r="C171" s="156" t="s">
        <v>262</v>
      </c>
      <c r="D171" s="156" t="s">
        <v>541</v>
      </c>
      <c r="E171" s="179">
        <v>24818000</v>
      </c>
      <c r="F171" s="179">
        <v>26818000</v>
      </c>
      <c r="G171" s="179">
        <v>25818000</v>
      </c>
      <c r="H171" s="179">
        <v>0</v>
      </c>
      <c r="I171" s="179">
        <v>0</v>
      </c>
      <c r="J171" s="179">
        <v>0</v>
      </c>
      <c r="K171" s="179">
        <v>20457389.350000001</v>
      </c>
      <c r="L171" s="179">
        <v>20457389.350000001</v>
      </c>
      <c r="M171" s="179">
        <v>6360610.6500000004</v>
      </c>
      <c r="N171" s="179">
        <v>5360610.6500000004</v>
      </c>
    </row>
    <row r="172" spans="1:14" s="156" customFormat="1" x14ac:dyDescent="0.25">
      <c r="A172" s="156" t="s">
        <v>544</v>
      </c>
      <c r="B172" s="156" t="s">
        <v>263</v>
      </c>
      <c r="C172" s="156" t="s">
        <v>264</v>
      </c>
      <c r="D172" s="156" t="s">
        <v>541</v>
      </c>
      <c r="E172" s="179">
        <v>17000000</v>
      </c>
      <c r="F172" s="179">
        <v>19000000</v>
      </c>
      <c r="G172" s="179">
        <v>18000000</v>
      </c>
      <c r="H172" s="179">
        <v>0</v>
      </c>
      <c r="I172" s="179">
        <v>0</v>
      </c>
      <c r="J172" s="179">
        <v>0</v>
      </c>
      <c r="K172" s="179">
        <v>16932874.350000001</v>
      </c>
      <c r="L172" s="179">
        <v>16932874.350000001</v>
      </c>
      <c r="M172" s="179">
        <v>2067125.65</v>
      </c>
      <c r="N172" s="179">
        <v>1067125.6499999999</v>
      </c>
    </row>
    <row r="173" spans="1:14" s="156" customFormat="1" x14ac:dyDescent="0.25">
      <c r="A173" s="156" t="s">
        <v>544</v>
      </c>
      <c r="B173" s="156" t="s">
        <v>265</v>
      </c>
      <c r="C173" s="156" t="s">
        <v>266</v>
      </c>
      <c r="D173" s="156" t="s">
        <v>541</v>
      </c>
      <c r="E173" s="179">
        <v>7818000</v>
      </c>
      <c r="F173" s="179">
        <v>7818000</v>
      </c>
      <c r="G173" s="179">
        <v>7818000</v>
      </c>
      <c r="H173" s="179">
        <v>0</v>
      </c>
      <c r="I173" s="179">
        <v>0</v>
      </c>
      <c r="J173" s="179">
        <v>0</v>
      </c>
      <c r="K173" s="179">
        <v>3524515</v>
      </c>
      <c r="L173" s="179">
        <v>3524515</v>
      </c>
      <c r="M173" s="179">
        <v>4293485</v>
      </c>
      <c r="N173" s="179">
        <v>4293485</v>
      </c>
    </row>
    <row r="174" spans="1:14" s="156" customFormat="1" x14ac:dyDescent="0.25">
      <c r="A174" s="156" t="s">
        <v>544</v>
      </c>
      <c r="B174" s="156" t="s">
        <v>267</v>
      </c>
      <c r="C174" s="156" t="s">
        <v>268</v>
      </c>
      <c r="D174" s="156" t="s">
        <v>541</v>
      </c>
      <c r="E174" s="179">
        <v>8000000</v>
      </c>
      <c r="F174" s="179">
        <v>6000000</v>
      </c>
      <c r="G174" s="179">
        <v>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6000000</v>
      </c>
      <c r="N174" s="179">
        <v>0</v>
      </c>
    </row>
    <row r="175" spans="1:14" s="156" customFormat="1" x14ac:dyDescent="0.25">
      <c r="A175" s="156" t="s">
        <v>544</v>
      </c>
      <c r="B175" s="156" t="s">
        <v>269</v>
      </c>
      <c r="C175" s="156" t="s">
        <v>270</v>
      </c>
      <c r="D175" s="156" t="s">
        <v>541</v>
      </c>
      <c r="E175" s="179">
        <v>8000000</v>
      </c>
      <c r="F175" s="179">
        <v>6000000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6000000</v>
      </c>
      <c r="N175" s="179">
        <v>0</v>
      </c>
    </row>
    <row r="176" spans="1:14" s="156" customFormat="1" x14ac:dyDescent="0.25">
      <c r="A176" s="156" t="s">
        <v>544</v>
      </c>
      <c r="B176" s="156" t="s">
        <v>279</v>
      </c>
      <c r="C176" s="156" t="s">
        <v>280</v>
      </c>
      <c r="D176" s="156" t="s">
        <v>543</v>
      </c>
      <c r="E176" s="179">
        <v>29500000</v>
      </c>
      <c r="F176" s="179">
        <v>29500000</v>
      </c>
      <c r="G176" s="179">
        <v>22791000</v>
      </c>
      <c r="H176" s="179">
        <v>5513000</v>
      </c>
      <c r="I176" s="179">
        <v>3075000</v>
      </c>
      <c r="J176" s="179">
        <v>0</v>
      </c>
      <c r="K176" s="179">
        <v>5647191</v>
      </c>
      <c r="L176" s="179">
        <v>5647191</v>
      </c>
      <c r="M176" s="179">
        <v>15264809</v>
      </c>
      <c r="N176" s="179">
        <v>8555809</v>
      </c>
    </row>
    <row r="177" spans="1:14" s="156" customFormat="1" x14ac:dyDescent="0.25">
      <c r="A177" s="156" t="s">
        <v>544</v>
      </c>
      <c r="B177" s="156" t="s">
        <v>281</v>
      </c>
      <c r="C177" s="156" t="s">
        <v>282</v>
      </c>
      <c r="D177" s="156" t="s">
        <v>543</v>
      </c>
      <c r="E177" s="179">
        <v>29500000</v>
      </c>
      <c r="F177" s="179">
        <v>29500000</v>
      </c>
      <c r="G177" s="179">
        <v>22791000</v>
      </c>
      <c r="H177" s="179">
        <v>5513000</v>
      </c>
      <c r="I177" s="179">
        <v>3075000</v>
      </c>
      <c r="J177" s="179">
        <v>0</v>
      </c>
      <c r="K177" s="179">
        <v>5647191</v>
      </c>
      <c r="L177" s="179">
        <v>5647191</v>
      </c>
      <c r="M177" s="179">
        <v>15264809</v>
      </c>
      <c r="N177" s="179">
        <v>8555809</v>
      </c>
    </row>
    <row r="178" spans="1:14" s="156" customFormat="1" x14ac:dyDescent="0.25">
      <c r="A178" s="156" t="s">
        <v>544</v>
      </c>
      <c r="B178" s="156" t="s">
        <v>285</v>
      </c>
      <c r="C178" s="156" t="s">
        <v>286</v>
      </c>
      <c r="D178" s="156" t="s">
        <v>543</v>
      </c>
      <c r="E178" s="179">
        <v>4700000</v>
      </c>
      <c r="F178" s="179">
        <v>6950000</v>
      </c>
      <c r="G178" s="179">
        <v>6445000</v>
      </c>
      <c r="H178" s="179">
        <v>5289000</v>
      </c>
      <c r="I178" s="179">
        <v>0</v>
      </c>
      <c r="J178" s="179">
        <v>0</v>
      </c>
      <c r="K178" s="179">
        <v>777120</v>
      </c>
      <c r="L178" s="179">
        <v>777120</v>
      </c>
      <c r="M178" s="179">
        <v>883880</v>
      </c>
      <c r="N178" s="179">
        <v>378880</v>
      </c>
    </row>
    <row r="179" spans="1:14" s="156" customFormat="1" x14ac:dyDescent="0.25">
      <c r="A179" s="156" t="s">
        <v>544</v>
      </c>
      <c r="B179" s="156" t="s">
        <v>287</v>
      </c>
      <c r="C179" s="156" t="s">
        <v>288</v>
      </c>
      <c r="D179" s="156" t="s">
        <v>543</v>
      </c>
      <c r="E179" s="179">
        <v>3800000</v>
      </c>
      <c r="F179" s="179">
        <v>3300000</v>
      </c>
      <c r="G179" s="179">
        <v>914000</v>
      </c>
      <c r="H179" s="179">
        <v>0</v>
      </c>
      <c r="I179" s="179">
        <v>0</v>
      </c>
      <c r="J179" s="179">
        <v>0</v>
      </c>
      <c r="K179" s="179">
        <v>913570</v>
      </c>
      <c r="L179" s="179">
        <v>913570</v>
      </c>
      <c r="M179" s="179">
        <v>2386430</v>
      </c>
      <c r="N179" s="179">
        <v>430</v>
      </c>
    </row>
    <row r="180" spans="1:14" s="156" customFormat="1" x14ac:dyDescent="0.25">
      <c r="A180" s="156" t="s">
        <v>544</v>
      </c>
      <c r="B180" s="156" t="s">
        <v>289</v>
      </c>
      <c r="C180" s="156" t="s">
        <v>290</v>
      </c>
      <c r="D180" s="156" t="s">
        <v>543</v>
      </c>
      <c r="E180" s="179">
        <v>1000000</v>
      </c>
      <c r="F180" s="179">
        <v>250000</v>
      </c>
      <c r="G180" s="179">
        <v>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250000</v>
      </c>
      <c r="N180" s="179">
        <v>0</v>
      </c>
    </row>
    <row r="181" spans="1:14" s="156" customFormat="1" x14ac:dyDescent="0.25">
      <c r="A181" s="156" t="s">
        <v>544</v>
      </c>
      <c r="B181" s="156" t="s">
        <v>293</v>
      </c>
      <c r="C181" s="156" t="s">
        <v>294</v>
      </c>
      <c r="D181" s="156" t="s">
        <v>543</v>
      </c>
      <c r="E181" s="179">
        <v>16000000</v>
      </c>
      <c r="F181" s="179">
        <v>16000000</v>
      </c>
      <c r="G181" s="179">
        <v>14957000</v>
      </c>
      <c r="H181" s="179">
        <v>0</v>
      </c>
      <c r="I181" s="179">
        <v>3075000</v>
      </c>
      <c r="J181" s="179">
        <v>0</v>
      </c>
      <c r="K181" s="179">
        <v>3956501</v>
      </c>
      <c r="L181" s="179">
        <v>3956501</v>
      </c>
      <c r="M181" s="179">
        <v>8968499</v>
      </c>
      <c r="N181" s="179">
        <v>7925499</v>
      </c>
    </row>
    <row r="182" spans="1:14" s="156" customFormat="1" x14ac:dyDescent="0.25">
      <c r="A182" s="156" t="s">
        <v>544</v>
      </c>
      <c r="B182" s="156" t="s">
        <v>295</v>
      </c>
      <c r="C182" s="156" t="s">
        <v>296</v>
      </c>
      <c r="D182" s="156" t="s">
        <v>543</v>
      </c>
      <c r="E182" s="179">
        <v>4000000</v>
      </c>
      <c r="F182" s="179">
        <v>3000000</v>
      </c>
      <c r="G182" s="179">
        <v>475000</v>
      </c>
      <c r="H182" s="179">
        <v>224000</v>
      </c>
      <c r="I182" s="179">
        <v>0</v>
      </c>
      <c r="J182" s="179">
        <v>0</v>
      </c>
      <c r="K182" s="179">
        <v>0</v>
      </c>
      <c r="L182" s="179">
        <v>0</v>
      </c>
      <c r="M182" s="179">
        <v>2776000</v>
      </c>
      <c r="N182" s="179">
        <v>251000</v>
      </c>
    </row>
    <row r="183" spans="1:14" s="156" customFormat="1" x14ac:dyDescent="0.25">
      <c r="A183" s="156">
        <v>214781</v>
      </c>
      <c r="B183" s="156" t="s">
        <v>587</v>
      </c>
      <c r="C183" s="156" t="s">
        <v>587</v>
      </c>
      <c r="D183" s="156" t="s">
        <v>541</v>
      </c>
      <c r="E183" s="179">
        <v>11325587195</v>
      </c>
      <c r="F183" s="179">
        <v>11325587195</v>
      </c>
      <c r="G183" s="179">
        <v>11019310145</v>
      </c>
      <c r="H183" s="179">
        <v>25313678.690000001</v>
      </c>
      <c r="I183" s="179">
        <v>892140852.87</v>
      </c>
      <c r="J183" s="179">
        <v>34696035.859999999</v>
      </c>
      <c r="K183" s="179">
        <v>5461833951.1599998</v>
      </c>
      <c r="L183" s="179">
        <v>5450338559.5799999</v>
      </c>
      <c r="M183" s="179">
        <v>4911602676.4200001</v>
      </c>
      <c r="N183" s="179">
        <v>4605325626.4200001</v>
      </c>
    </row>
    <row r="184" spans="1:14" s="156" customFormat="1" x14ac:dyDescent="0.25">
      <c r="A184" s="156" t="s">
        <v>545</v>
      </c>
      <c r="B184" s="156" t="s">
        <v>92</v>
      </c>
      <c r="C184" s="156" t="s">
        <v>93</v>
      </c>
      <c r="D184" s="156" t="s">
        <v>541</v>
      </c>
      <c r="E184" s="179">
        <v>9908319000</v>
      </c>
      <c r="F184" s="179">
        <v>9899719000</v>
      </c>
      <c r="G184" s="179">
        <v>9899719000</v>
      </c>
      <c r="H184" s="179">
        <v>0</v>
      </c>
      <c r="I184" s="179">
        <v>711100825.20000005</v>
      </c>
      <c r="J184" s="179">
        <v>0</v>
      </c>
      <c r="K184" s="179">
        <v>4929918775.3699999</v>
      </c>
      <c r="L184" s="179">
        <v>4929918775.3699999</v>
      </c>
      <c r="M184" s="179">
        <v>4258699399.4299998</v>
      </c>
      <c r="N184" s="179">
        <v>4258699399.4299998</v>
      </c>
    </row>
    <row r="185" spans="1:14" s="156" customFormat="1" x14ac:dyDescent="0.25">
      <c r="A185" s="156" t="s">
        <v>545</v>
      </c>
      <c r="B185" s="156" t="s">
        <v>94</v>
      </c>
      <c r="C185" s="156" t="s">
        <v>95</v>
      </c>
      <c r="D185" s="156" t="s">
        <v>541</v>
      </c>
      <c r="E185" s="179">
        <v>3418584000</v>
      </c>
      <c r="F185" s="179">
        <v>3418584000</v>
      </c>
      <c r="G185" s="179">
        <v>3418584000</v>
      </c>
      <c r="H185" s="179">
        <v>0</v>
      </c>
      <c r="I185" s="179">
        <v>764487.75</v>
      </c>
      <c r="J185" s="179">
        <v>0</v>
      </c>
      <c r="K185" s="179">
        <v>1737760701.6500001</v>
      </c>
      <c r="L185" s="179">
        <v>1737760701.6500001</v>
      </c>
      <c r="M185" s="179">
        <v>1680058810.5999999</v>
      </c>
      <c r="N185" s="179">
        <v>1680058810.5999999</v>
      </c>
    </row>
    <row r="186" spans="1:14" s="156" customFormat="1" x14ac:dyDescent="0.25">
      <c r="A186" s="156" t="s">
        <v>545</v>
      </c>
      <c r="B186" s="156" t="s">
        <v>96</v>
      </c>
      <c r="C186" s="156" t="s">
        <v>97</v>
      </c>
      <c r="D186" s="156" t="s">
        <v>541</v>
      </c>
      <c r="E186" s="179">
        <v>3413584000</v>
      </c>
      <c r="F186" s="179">
        <v>3413584000</v>
      </c>
      <c r="G186" s="179">
        <v>3413584000</v>
      </c>
      <c r="H186" s="179">
        <v>0</v>
      </c>
      <c r="I186" s="179">
        <v>764487.75</v>
      </c>
      <c r="J186" s="179">
        <v>0</v>
      </c>
      <c r="K186" s="179">
        <v>1737760701.6500001</v>
      </c>
      <c r="L186" s="179">
        <v>1737760701.6500001</v>
      </c>
      <c r="M186" s="179">
        <v>1675058810.5999999</v>
      </c>
      <c r="N186" s="179">
        <v>1675058810.5999999</v>
      </c>
    </row>
    <row r="187" spans="1:14" s="156" customFormat="1" x14ac:dyDescent="0.25">
      <c r="A187" s="156" t="s">
        <v>545</v>
      </c>
      <c r="B187" s="156" t="s">
        <v>313</v>
      </c>
      <c r="C187" s="156" t="s">
        <v>314</v>
      </c>
      <c r="D187" s="156" t="s">
        <v>541</v>
      </c>
      <c r="E187" s="179">
        <v>5000000</v>
      </c>
      <c r="F187" s="179">
        <v>5000000</v>
      </c>
      <c r="G187" s="179">
        <v>5000000</v>
      </c>
      <c r="H187" s="179">
        <v>0</v>
      </c>
      <c r="I187" s="179">
        <v>0</v>
      </c>
      <c r="J187" s="179">
        <v>0</v>
      </c>
      <c r="K187" s="179">
        <v>0</v>
      </c>
      <c r="L187" s="179">
        <v>0</v>
      </c>
      <c r="M187" s="179">
        <v>5000000</v>
      </c>
      <c r="N187" s="179">
        <v>5000000</v>
      </c>
    </row>
    <row r="188" spans="1:14" s="156" customFormat="1" x14ac:dyDescent="0.25">
      <c r="A188" s="156" t="s">
        <v>545</v>
      </c>
      <c r="B188" s="156" t="s">
        <v>98</v>
      </c>
      <c r="C188" s="156" t="s">
        <v>99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3589590.23</v>
      </c>
      <c r="L188" s="179">
        <v>3589590.23</v>
      </c>
      <c r="M188" s="179">
        <v>7410409.7699999996</v>
      </c>
      <c r="N188" s="179">
        <v>7410409.7699999996</v>
      </c>
    </row>
    <row r="189" spans="1:14" s="156" customFormat="1" x14ac:dyDescent="0.25">
      <c r="A189" s="156" t="s">
        <v>545</v>
      </c>
      <c r="B189" s="156" t="s">
        <v>100</v>
      </c>
      <c r="C189" s="156" t="s">
        <v>101</v>
      </c>
      <c r="D189" s="156" t="s">
        <v>541</v>
      </c>
      <c r="E189" s="179">
        <v>11000000</v>
      </c>
      <c r="F189" s="179">
        <v>11000000</v>
      </c>
      <c r="G189" s="179">
        <v>11000000</v>
      </c>
      <c r="H189" s="179">
        <v>0</v>
      </c>
      <c r="I189" s="179">
        <v>0</v>
      </c>
      <c r="J189" s="179">
        <v>0</v>
      </c>
      <c r="K189" s="179">
        <v>3589590.23</v>
      </c>
      <c r="L189" s="179">
        <v>3589590.23</v>
      </c>
      <c r="M189" s="179">
        <v>7410409.7699999996</v>
      </c>
      <c r="N189" s="179">
        <v>7410409.7699999996</v>
      </c>
    </row>
    <row r="190" spans="1:14" s="156" customFormat="1" x14ac:dyDescent="0.25">
      <c r="A190" s="156" t="s">
        <v>545</v>
      </c>
      <c r="B190" s="156" t="s">
        <v>102</v>
      </c>
      <c r="C190" s="156" t="s">
        <v>103</v>
      </c>
      <c r="D190" s="156" t="s">
        <v>541</v>
      </c>
      <c r="E190" s="179">
        <v>4978167000</v>
      </c>
      <c r="F190" s="179">
        <v>4969567000</v>
      </c>
      <c r="G190" s="179">
        <v>4969567000</v>
      </c>
      <c r="H190" s="179">
        <v>0</v>
      </c>
      <c r="I190" s="179">
        <v>1394339.45</v>
      </c>
      <c r="J190" s="179">
        <v>0</v>
      </c>
      <c r="K190" s="179">
        <v>2396942481.4899998</v>
      </c>
      <c r="L190" s="179">
        <v>2396942481.4899998</v>
      </c>
      <c r="M190" s="179">
        <v>2571230179.0599999</v>
      </c>
      <c r="N190" s="179">
        <v>2571230179.0599999</v>
      </c>
    </row>
    <row r="191" spans="1:14" s="156" customFormat="1" x14ac:dyDescent="0.25">
      <c r="A191" s="156" t="s">
        <v>545</v>
      </c>
      <c r="B191" s="156" t="s">
        <v>104</v>
      </c>
      <c r="C191" s="156" t="s">
        <v>105</v>
      </c>
      <c r="D191" s="156" t="s">
        <v>541</v>
      </c>
      <c r="E191" s="179">
        <v>913627000</v>
      </c>
      <c r="F191" s="179">
        <v>905027000</v>
      </c>
      <c r="G191" s="179">
        <v>905027000</v>
      </c>
      <c r="H191" s="179">
        <v>0</v>
      </c>
      <c r="I191" s="179">
        <v>540528.4</v>
      </c>
      <c r="J191" s="179">
        <v>0</v>
      </c>
      <c r="K191" s="179">
        <v>432737846.82999998</v>
      </c>
      <c r="L191" s="179">
        <v>432737846.82999998</v>
      </c>
      <c r="M191" s="179">
        <v>471748624.76999998</v>
      </c>
      <c r="N191" s="179">
        <v>471748624.76999998</v>
      </c>
    </row>
    <row r="192" spans="1:14" s="156" customFormat="1" x14ac:dyDescent="0.25">
      <c r="A192" s="156" t="s">
        <v>545</v>
      </c>
      <c r="B192" s="156" t="s">
        <v>106</v>
      </c>
      <c r="C192" s="156" t="s">
        <v>107</v>
      </c>
      <c r="D192" s="156" t="s">
        <v>541</v>
      </c>
      <c r="E192" s="179">
        <v>2244831000</v>
      </c>
      <c r="F192" s="179">
        <v>2244831000</v>
      </c>
      <c r="G192" s="179">
        <v>2244831000</v>
      </c>
      <c r="H192" s="179">
        <v>0</v>
      </c>
      <c r="I192" s="179">
        <v>616723.5</v>
      </c>
      <c r="J192" s="179">
        <v>0</v>
      </c>
      <c r="K192" s="179">
        <v>1144823683.1600001</v>
      </c>
      <c r="L192" s="179">
        <v>1144823683.1600001</v>
      </c>
      <c r="M192" s="179">
        <v>1099390593.3399999</v>
      </c>
      <c r="N192" s="179">
        <v>1099390593.3399999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5076.4799999999996</v>
      </c>
      <c r="J193" s="179">
        <v>0</v>
      </c>
      <c r="K193" s="179">
        <v>494427385.87</v>
      </c>
      <c r="L193" s="179">
        <v>494427385.87</v>
      </c>
      <c r="M193" s="179">
        <v>46560537.649999999</v>
      </c>
      <c r="N193" s="179">
        <v>46560537.649999999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232006.75</v>
      </c>
      <c r="J194" s="179">
        <v>0</v>
      </c>
      <c r="K194" s="179">
        <v>324157804.75</v>
      </c>
      <c r="L194" s="179">
        <v>324157804.75</v>
      </c>
      <c r="M194" s="179">
        <v>306487188.5</v>
      </c>
      <c r="N194" s="179">
        <v>306487188.5</v>
      </c>
    </row>
    <row r="195" spans="1:14" s="156" customFormat="1" x14ac:dyDescent="0.25">
      <c r="A195" s="156" t="s">
        <v>545</v>
      </c>
      <c r="B195" s="156" t="s">
        <v>112</v>
      </c>
      <c r="C195" s="156" t="s">
        <v>113</v>
      </c>
      <c r="D195" s="156" t="s">
        <v>543</v>
      </c>
      <c r="E195" s="179">
        <v>647839000</v>
      </c>
      <c r="F195" s="179">
        <v>647839000</v>
      </c>
      <c r="G195" s="179">
        <v>647839000</v>
      </c>
      <c r="H195" s="179">
        <v>0</v>
      </c>
      <c r="I195" s="179">
        <v>4.32</v>
      </c>
      <c r="J195" s="179">
        <v>0</v>
      </c>
      <c r="K195" s="179">
        <v>795760.88</v>
      </c>
      <c r="L195" s="179">
        <v>795760.88</v>
      </c>
      <c r="M195" s="179">
        <v>647043234.79999995</v>
      </c>
      <c r="N195" s="179">
        <v>647043234.79999995</v>
      </c>
    </row>
    <row r="196" spans="1:14" s="156" customFormat="1" x14ac:dyDescent="0.25">
      <c r="A196" s="156" t="s">
        <v>545</v>
      </c>
      <c r="B196" s="156" t="s">
        <v>114</v>
      </c>
      <c r="C196" s="156" t="s">
        <v>115</v>
      </c>
      <c r="D196" s="156" t="s">
        <v>541</v>
      </c>
      <c r="E196" s="179">
        <v>756883000</v>
      </c>
      <c r="F196" s="179">
        <v>756883000</v>
      </c>
      <c r="G196" s="179">
        <v>756883000</v>
      </c>
      <c r="H196" s="179">
        <v>0</v>
      </c>
      <c r="I196" s="179">
        <v>354838226</v>
      </c>
      <c r="J196" s="179">
        <v>0</v>
      </c>
      <c r="K196" s="179">
        <v>402044774</v>
      </c>
      <c r="L196" s="179">
        <v>402044774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315</v>
      </c>
      <c r="C197" s="156" t="s">
        <v>597</v>
      </c>
      <c r="D197" s="156" t="s">
        <v>541</v>
      </c>
      <c r="E197" s="179">
        <v>718069000</v>
      </c>
      <c r="F197" s="179">
        <v>718069000</v>
      </c>
      <c r="G197" s="179">
        <v>718069000</v>
      </c>
      <c r="H197" s="179">
        <v>0</v>
      </c>
      <c r="I197" s="179">
        <v>336639065</v>
      </c>
      <c r="J197" s="179">
        <v>0</v>
      </c>
      <c r="K197" s="179">
        <v>381429935</v>
      </c>
      <c r="L197" s="179">
        <v>381429935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38814000</v>
      </c>
      <c r="F198" s="179">
        <v>38814000</v>
      </c>
      <c r="G198" s="179">
        <v>38814000</v>
      </c>
      <c r="H198" s="179">
        <v>0</v>
      </c>
      <c r="I198" s="179">
        <v>18199161</v>
      </c>
      <c r="J198" s="179">
        <v>0</v>
      </c>
      <c r="K198" s="179">
        <v>20614839</v>
      </c>
      <c r="L198" s="179">
        <v>20614839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118</v>
      </c>
      <c r="C199" s="156" t="s">
        <v>119</v>
      </c>
      <c r="D199" s="156" t="s">
        <v>541</v>
      </c>
      <c r="E199" s="179">
        <v>743685000</v>
      </c>
      <c r="F199" s="179">
        <v>743685000</v>
      </c>
      <c r="G199" s="179">
        <v>743685000</v>
      </c>
      <c r="H199" s="179">
        <v>0</v>
      </c>
      <c r="I199" s="179">
        <v>354103772</v>
      </c>
      <c r="J199" s="179">
        <v>0</v>
      </c>
      <c r="K199" s="179">
        <v>389581228</v>
      </c>
      <c r="L199" s="179">
        <v>389581228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317</v>
      </c>
      <c r="C200" s="156" t="s">
        <v>598</v>
      </c>
      <c r="D200" s="156" t="s">
        <v>541</v>
      </c>
      <c r="E200" s="179">
        <v>394355000</v>
      </c>
      <c r="F200" s="179">
        <v>394355000</v>
      </c>
      <c r="G200" s="179">
        <v>394355000</v>
      </c>
      <c r="H200" s="179">
        <v>0</v>
      </c>
      <c r="I200" s="179">
        <v>190306902</v>
      </c>
      <c r="J200" s="179">
        <v>0</v>
      </c>
      <c r="K200" s="179">
        <v>204048098</v>
      </c>
      <c r="L200" s="179">
        <v>204048098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318</v>
      </c>
      <c r="C201" s="156" t="s">
        <v>599</v>
      </c>
      <c r="D201" s="156" t="s">
        <v>541</v>
      </c>
      <c r="E201" s="179">
        <v>116443000</v>
      </c>
      <c r="F201" s="179">
        <v>116443000</v>
      </c>
      <c r="G201" s="179">
        <v>116443000</v>
      </c>
      <c r="H201" s="179">
        <v>0</v>
      </c>
      <c r="I201" s="179">
        <v>54598675</v>
      </c>
      <c r="J201" s="179">
        <v>0</v>
      </c>
      <c r="K201" s="179">
        <v>61844325</v>
      </c>
      <c r="L201" s="179">
        <v>61844325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319</v>
      </c>
      <c r="C202" s="156" t="s">
        <v>600</v>
      </c>
      <c r="D202" s="156" t="s">
        <v>541</v>
      </c>
      <c r="E202" s="179">
        <v>232887000</v>
      </c>
      <c r="F202" s="179">
        <v>232887000</v>
      </c>
      <c r="G202" s="179">
        <v>232887000</v>
      </c>
      <c r="H202" s="179">
        <v>0</v>
      </c>
      <c r="I202" s="179">
        <v>109198195</v>
      </c>
      <c r="J202" s="179">
        <v>0</v>
      </c>
      <c r="K202" s="179">
        <v>123688805</v>
      </c>
      <c r="L202" s="179">
        <v>123688805</v>
      </c>
      <c r="M202" s="179">
        <v>0</v>
      </c>
      <c r="N202" s="179">
        <v>0</v>
      </c>
    </row>
    <row r="203" spans="1:14" s="156" customFormat="1" x14ac:dyDescent="0.25">
      <c r="A203" s="156" t="s">
        <v>545</v>
      </c>
      <c r="B203" s="156" t="s">
        <v>123</v>
      </c>
      <c r="C203" s="156" t="s">
        <v>124</v>
      </c>
      <c r="D203" s="156" t="s">
        <v>541</v>
      </c>
      <c r="E203" s="179">
        <v>1006874402</v>
      </c>
      <c r="F203" s="179">
        <v>1006874402</v>
      </c>
      <c r="G203" s="179">
        <v>788665555</v>
      </c>
      <c r="H203" s="179">
        <v>492850</v>
      </c>
      <c r="I203" s="179">
        <v>125129206.23999999</v>
      </c>
      <c r="J203" s="179">
        <v>33176327.460000001</v>
      </c>
      <c r="K203" s="179">
        <v>390326616.56</v>
      </c>
      <c r="L203" s="179">
        <v>378963224.98000002</v>
      </c>
      <c r="M203" s="179">
        <v>457749401.74000001</v>
      </c>
      <c r="N203" s="179">
        <v>239540554.74000001</v>
      </c>
    </row>
    <row r="204" spans="1:14" s="156" customFormat="1" x14ac:dyDescent="0.25">
      <c r="A204" s="156" t="s">
        <v>545</v>
      </c>
      <c r="B204" s="156" t="s">
        <v>125</v>
      </c>
      <c r="C204" s="156" t="s">
        <v>126</v>
      </c>
      <c r="D204" s="156" t="s">
        <v>541</v>
      </c>
      <c r="E204" s="179">
        <v>331717997</v>
      </c>
      <c r="F204" s="179">
        <v>306417997</v>
      </c>
      <c r="G204" s="179">
        <v>235228497</v>
      </c>
      <c r="H204" s="179">
        <v>0</v>
      </c>
      <c r="I204" s="179">
        <v>37480264.530000001</v>
      </c>
      <c r="J204" s="179">
        <v>11624070</v>
      </c>
      <c r="K204" s="179">
        <v>132325108.54000001</v>
      </c>
      <c r="L204" s="179">
        <v>132108773.23999999</v>
      </c>
      <c r="M204" s="179">
        <v>124988553.93000001</v>
      </c>
      <c r="N204" s="179">
        <v>53799053.93</v>
      </c>
    </row>
    <row r="205" spans="1:14" s="156" customFormat="1" x14ac:dyDescent="0.25">
      <c r="A205" s="156" t="s">
        <v>545</v>
      </c>
      <c r="B205" s="156" t="s">
        <v>306</v>
      </c>
      <c r="C205" s="156" t="s">
        <v>307</v>
      </c>
      <c r="D205" s="156" t="s">
        <v>541</v>
      </c>
      <c r="E205" s="179">
        <v>200526630</v>
      </c>
      <c r="F205" s="179">
        <v>163026630</v>
      </c>
      <c r="G205" s="179">
        <v>121084972</v>
      </c>
      <c r="H205" s="179">
        <v>0</v>
      </c>
      <c r="I205" s="179">
        <v>26390550</v>
      </c>
      <c r="J205" s="179">
        <v>11624070</v>
      </c>
      <c r="K205" s="179">
        <v>79081650</v>
      </c>
      <c r="L205" s="179">
        <v>79081650</v>
      </c>
      <c r="M205" s="179">
        <v>45930360</v>
      </c>
      <c r="N205" s="179">
        <v>3988702</v>
      </c>
    </row>
    <row r="206" spans="1:14" s="156" customFormat="1" x14ac:dyDescent="0.25">
      <c r="A206" s="156" t="s">
        <v>545</v>
      </c>
      <c r="B206" s="156" t="s">
        <v>320</v>
      </c>
      <c r="C206" s="156" t="s">
        <v>321</v>
      </c>
      <c r="D206" s="156" t="s">
        <v>541</v>
      </c>
      <c r="E206" s="179">
        <v>3933000</v>
      </c>
      <c r="F206" s="179">
        <v>3333000</v>
      </c>
      <c r="G206" s="179">
        <v>2449750</v>
      </c>
      <c r="H206" s="179">
        <v>0</v>
      </c>
      <c r="I206" s="179">
        <v>918010.79</v>
      </c>
      <c r="J206" s="179">
        <v>0</v>
      </c>
      <c r="K206" s="179">
        <v>1377684.1</v>
      </c>
      <c r="L206" s="179">
        <v>1161348.8</v>
      </c>
      <c r="M206" s="179">
        <v>1037305.11</v>
      </c>
      <c r="N206" s="179">
        <v>154055.10999999999</v>
      </c>
    </row>
    <row r="207" spans="1:14" s="156" customFormat="1" x14ac:dyDescent="0.25">
      <c r="A207" s="156" t="s">
        <v>545</v>
      </c>
      <c r="B207" s="156" t="s">
        <v>127</v>
      </c>
      <c r="C207" s="156" t="s">
        <v>128</v>
      </c>
      <c r="D207" s="156" t="s">
        <v>541</v>
      </c>
      <c r="E207" s="179">
        <v>98126131</v>
      </c>
      <c r="F207" s="179">
        <v>100626131</v>
      </c>
      <c r="G207" s="179">
        <v>78094598</v>
      </c>
      <c r="H207" s="179">
        <v>0</v>
      </c>
      <c r="I207" s="179">
        <v>5794726.6600000001</v>
      </c>
      <c r="J207" s="179">
        <v>0</v>
      </c>
      <c r="K207" s="179">
        <v>39657969.880000003</v>
      </c>
      <c r="L207" s="179">
        <v>39657969.880000003</v>
      </c>
      <c r="M207" s="179">
        <v>55173434.460000001</v>
      </c>
      <c r="N207" s="179">
        <v>32641901.460000001</v>
      </c>
    </row>
    <row r="208" spans="1:14" s="156" customFormat="1" x14ac:dyDescent="0.25">
      <c r="A208" s="156" t="s">
        <v>545</v>
      </c>
      <c r="B208" s="156" t="s">
        <v>322</v>
      </c>
      <c r="C208" s="156" t="s">
        <v>323</v>
      </c>
      <c r="D208" s="156" t="s">
        <v>541</v>
      </c>
      <c r="E208" s="179">
        <v>1774000</v>
      </c>
      <c r="F208" s="179">
        <v>1774000</v>
      </c>
      <c r="G208" s="179">
        <v>1430500</v>
      </c>
      <c r="H208" s="179">
        <v>0</v>
      </c>
      <c r="I208" s="179">
        <v>197369.12</v>
      </c>
      <c r="J208" s="179">
        <v>0</v>
      </c>
      <c r="K208" s="179">
        <v>809748</v>
      </c>
      <c r="L208" s="179">
        <v>809748</v>
      </c>
      <c r="M208" s="179">
        <v>766882.88</v>
      </c>
      <c r="N208" s="179">
        <v>423382.88</v>
      </c>
    </row>
    <row r="209" spans="1:14" s="156" customFormat="1" x14ac:dyDescent="0.25">
      <c r="A209" s="156" t="s">
        <v>545</v>
      </c>
      <c r="B209" s="156" t="s">
        <v>129</v>
      </c>
      <c r="C209" s="156" t="s">
        <v>130</v>
      </c>
      <c r="D209" s="156" t="s">
        <v>541</v>
      </c>
      <c r="E209" s="179">
        <v>27358236</v>
      </c>
      <c r="F209" s="179">
        <v>37658236</v>
      </c>
      <c r="G209" s="179">
        <v>32168677</v>
      </c>
      <c r="H209" s="179">
        <v>0</v>
      </c>
      <c r="I209" s="179">
        <v>4179607.96</v>
      </c>
      <c r="J209" s="179">
        <v>0</v>
      </c>
      <c r="K209" s="179">
        <v>11398056.560000001</v>
      </c>
      <c r="L209" s="179">
        <v>11398056.560000001</v>
      </c>
      <c r="M209" s="179">
        <v>22080571.48</v>
      </c>
      <c r="N209" s="179">
        <v>16591012.48</v>
      </c>
    </row>
    <row r="210" spans="1:14" s="156" customFormat="1" x14ac:dyDescent="0.25">
      <c r="A210" s="156" t="s">
        <v>545</v>
      </c>
      <c r="B210" s="156" t="s">
        <v>131</v>
      </c>
      <c r="C210" s="156" t="s">
        <v>132</v>
      </c>
      <c r="D210" s="156" t="s">
        <v>541</v>
      </c>
      <c r="E210" s="179">
        <v>126929000</v>
      </c>
      <c r="F210" s="179">
        <v>120929000</v>
      </c>
      <c r="G210" s="179">
        <v>94421750</v>
      </c>
      <c r="H210" s="179">
        <v>0</v>
      </c>
      <c r="I210" s="179">
        <v>22295304.510000002</v>
      </c>
      <c r="J210" s="179">
        <v>0</v>
      </c>
      <c r="K210" s="179">
        <v>50427808.369999997</v>
      </c>
      <c r="L210" s="179">
        <v>48722934.049999997</v>
      </c>
      <c r="M210" s="179">
        <v>48205887.119999997</v>
      </c>
      <c r="N210" s="179">
        <v>21698637.120000001</v>
      </c>
    </row>
    <row r="211" spans="1:14" s="156" customFormat="1" x14ac:dyDescent="0.25">
      <c r="A211" s="156" t="s">
        <v>545</v>
      </c>
      <c r="B211" s="156" t="s">
        <v>133</v>
      </c>
      <c r="C211" s="156" t="s">
        <v>134</v>
      </c>
      <c r="D211" s="156" t="s">
        <v>541</v>
      </c>
      <c r="E211" s="179">
        <v>13400000</v>
      </c>
      <c r="F211" s="179">
        <v>18400000</v>
      </c>
      <c r="G211" s="179">
        <v>16550000</v>
      </c>
      <c r="H211" s="179">
        <v>0</v>
      </c>
      <c r="I211" s="179">
        <v>4443805</v>
      </c>
      <c r="J211" s="179">
        <v>0</v>
      </c>
      <c r="K211" s="179">
        <v>8578790</v>
      </c>
      <c r="L211" s="179">
        <v>8578790</v>
      </c>
      <c r="M211" s="179">
        <v>5377405</v>
      </c>
      <c r="N211" s="179">
        <v>3527405</v>
      </c>
    </row>
    <row r="212" spans="1:14" s="156" customFormat="1" x14ac:dyDescent="0.25">
      <c r="A212" s="156" t="s">
        <v>545</v>
      </c>
      <c r="B212" s="156" t="s">
        <v>135</v>
      </c>
      <c r="C212" s="156" t="s">
        <v>136</v>
      </c>
      <c r="D212" s="156" t="s">
        <v>541</v>
      </c>
      <c r="E212" s="179">
        <v>49200000</v>
      </c>
      <c r="F212" s="179">
        <v>40200000</v>
      </c>
      <c r="G212" s="179">
        <v>30750000</v>
      </c>
      <c r="H212" s="179">
        <v>0</v>
      </c>
      <c r="I212" s="179">
        <v>6914815</v>
      </c>
      <c r="J212" s="179">
        <v>0</v>
      </c>
      <c r="K212" s="179">
        <v>21482940</v>
      </c>
      <c r="L212" s="179">
        <v>21482940</v>
      </c>
      <c r="M212" s="179">
        <v>11802245</v>
      </c>
      <c r="N212" s="179">
        <v>2352245</v>
      </c>
    </row>
    <row r="213" spans="1:14" s="156" customFormat="1" x14ac:dyDescent="0.25">
      <c r="A213" s="156" t="s">
        <v>545</v>
      </c>
      <c r="B213" s="156" t="s">
        <v>137</v>
      </c>
      <c r="C213" s="156" t="s">
        <v>138</v>
      </c>
      <c r="D213" s="156" t="s">
        <v>541</v>
      </c>
      <c r="E213" s="179">
        <v>12000000</v>
      </c>
      <c r="F213" s="179">
        <v>10000000</v>
      </c>
      <c r="G213" s="179">
        <v>6775000</v>
      </c>
      <c r="H213" s="179">
        <v>0</v>
      </c>
      <c r="I213" s="179">
        <v>803100</v>
      </c>
      <c r="J213" s="179">
        <v>0</v>
      </c>
      <c r="K213" s="179">
        <v>1405600</v>
      </c>
      <c r="L213" s="179">
        <v>1405600</v>
      </c>
      <c r="M213" s="179">
        <v>7791300</v>
      </c>
      <c r="N213" s="179">
        <v>4566300</v>
      </c>
    </row>
    <row r="214" spans="1:14" s="156" customFormat="1" x14ac:dyDescent="0.25">
      <c r="A214" s="156" t="s">
        <v>545</v>
      </c>
      <c r="B214" s="156" t="s">
        <v>139</v>
      </c>
      <c r="C214" s="156" t="s">
        <v>140</v>
      </c>
      <c r="D214" s="156" t="s">
        <v>541</v>
      </c>
      <c r="E214" s="179">
        <v>47604000</v>
      </c>
      <c r="F214" s="179">
        <v>47604000</v>
      </c>
      <c r="G214" s="179">
        <v>36703000</v>
      </c>
      <c r="H214" s="179">
        <v>0</v>
      </c>
      <c r="I214" s="179">
        <v>9905919.3599999994</v>
      </c>
      <c r="J214" s="179">
        <v>0</v>
      </c>
      <c r="K214" s="179">
        <v>16640677.220000001</v>
      </c>
      <c r="L214" s="179">
        <v>14935802.9</v>
      </c>
      <c r="M214" s="179">
        <v>21057403.420000002</v>
      </c>
      <c r="N214" s="179">
        <v>10156403.42</v>
      </c>
    </row>
    <row r="215" spans="1:14" s="156" customFormat="1" x14ac:dyDescent="0.25">
      <c r="A215" s="156" t="s">
        <v>545</v>
      </c>
      <c r="B215" s="156" t="s">
        <v>141</v>
      </c>
      <c r="C215" s="156" t="s">
        <v>142</v>
      </c>
      <c r="D215" s="156" t="s">
        <v>541</v>
      </c>
      <c r="E215" s="179">
        <v>4725000</v>
      </c>
      <c r="F215" s="179">
        <v>4725000</v>
      </c>
      <c r="G215" s="179">
        <v>3643750</v>
      </c>
      <c r="H215" s="179">
        <v>0</v>
      </c>
      <c r="I215" s="179">
        <v>227665.15</v>
      </c>
      <c r="J215" s="179">
        <v>0</v>
      </c>
      <c r="K215" s="179">
        <v>2319801.15</v>
      </c>
      <c r="L215" s="179">
        <v>2319801.15</v>
      </c>
      <c r="M215" s="179">
        <v>2177533.7000000002</v>
      </c>
      <c r="N215" s="179">
        <v>1096283.7</v>
      </c>
    </row>
    <row r="216" spans="1:14" s="156" customFormat="1" x14ac:dyDescent="0.25">
      <c r="A216" s="156" t="s">
        <v>545</v>
      </c>
      <c r="B216" s="156" t="s">
        <v>143</v>
      </c>
      <c r="C216" s="156" t="s">
        <v>144</v>
      </c>
      <c r="D216" s="156" t="s">
        <v>541</v>
      </c>
      <c r="E216" s="179">
        <v>3746000</v>
      </c>
      <c r="F216" s="179">
        <v>3746000</v>
      </c>
      <c r="G216" s="179">
        <v>2949850</v>
      </c>
      <c r="H216" s="179">
        <v>0</v>
      </c>
      <c r="I216" s="179">
        <v>598474.22</v>
      </c>
      <c r="J216" s="179">
        <v>0</v>
      </c>
      <c r="K216" s="179">
        <v>402669</v>
      </c>
      <c r="L216" s="179">
        <v>339890.65</v>
      </c>
      <c r="M216" s="179">
        <v>2744856.78</v>
      </c>
      <c r="N216" s="179">
        <v>1948706.78</v>
      </c>
    </row>
    <row r="217" spans="1:14" s="156" customFormat="1" x14ac:dyDescent="0.25">
      <c r="A217" s="156" t="s">
        <v>545</v>
      </c>
      <c r="B217" s="156" t="s">
        <v>145</v>
      </c>
      <c r="C217" s="156" t="s">
        <v>146</v>
      </c>
      <c r="D217" s="156" t="s">
        <v>541</v>
      </c>
      <c r="E217" s="179">
        <v>500000</v>
      </c>
      <c r="F217" s="179">
        <v>500000</v>
      </c>
      <c r="G217" s="179">
        <v>465350</v>
      </c>
      <c r="H217" s="179">
        <v>0</v>
      </c>
      <c r="I217" s="179">
        <v>100000</v>
      </c>
      <c r="J217" s="179">
        <v>0</v>
      </c>
      <c r="K217" s="179">
        <v>91030</v>
      </c>
      <c r="L217" s="179">
        <v>91030</v>
      </c>
      <c r="M217" s="179">
        <v>308970</v>
      </c>
      <c r="N217" s="179">
        <v>274320</v>
      </c>
    </row>
    <row r="218" spans="1:14" s="156" customFormat="1" x14ac:dyDescent="0.25">
      <c r="A218" s="156" t="s">
        <v>545</v>
      </c>
      <c r="B218" s="156" t="s">
        <v>147</v>
      </c>
      <c r="C218" s="156" t="s">
        <v>148</v>
      </c>
      <c r="D218" s="156" t="s">
        <v>541</v>
      </c>
      <c r="E218" s="179">
        <v>1000000</v>
      </c>
      <c r="F218" s="179">
        <v>1000000</v>
      </c>
      <c r="G218" s="179">
        <v>750000</v>
      </c>
      <c r="H218" s="179">
        <v>0</v>
      </c>
      <c r="I218" s="179">
        <v>58677</v>
      </c>
      <c r="J218" s="179">
        <v>0</v>
      </c>
      <c r="K218" s="179">
        <v>110273</v>
      </c>
      <c r="L218" s="179">
        <v>110273</v>
      </c>
      <c r="M218" s="179">
        <v>831050</v>
      </c>
      <c r="N218" s="179">
        <v>581050</v>
      </c>
    </row>
    <row r="219" spans="1:14" s="156" customFormat="1" x14ac:dyDescent="0.25">
      <c r="A219" s="156" t="s">
        <v>545</v>
      </c>
      <c r="B219" s="156" t="s">
        <v>149</v>
      </c>
      <c r="C219" s="156" t="s">
        <v>150</v>
      </c>
      <c r="D219" s="156" t="s">
        <v>541</v>
      </c>
      <c r="E219" s="179">
        <v>200000</v>
      </c>
      <c r="F219" s="179">
        <v>200000</v>
      </c>
      <c r="G219" s="179">
        <v>200000</v>
      </c>
      <c r="H219" s="179">
        <v>0</v>
      </c>
      <c r="I219" s="179">
        <v>46609.5</v>
      </c>
      <c r="J219" s="179">
        <v>0</v>
      </c>
      <c r="K219" s="179">
        <v>50622</v>
      </c>
      <c r="L219" s="179">
        <v>50622</v>
      </c>
      <c r="M219" s="179">
        <v>102768.5</v>
      </c>
      <c r="N219" s="179">
        <v>102768.5</v>
      </c>
    </row>
    <row r="220" spans="1:14" s="156" customFormat="1" x14ac:dyDescent="0.25">
      <c r="A220" s="156" t="s">
        <v>545</v>
      </c>
      <c r="B220" s="156" t="s">
        <v>326</v>
      </c>
      <c r="C220" s="156" t="s">
        <v>327</v>
      </c>
      <c r="D220" s="156" t="s">
        <v>541</v>
      </c>
      <c r="E220" s="179">
        <v>2046000</v>
      </c>
      <c r="F220" s="179">
        <v>2046000</v>
      </c>
      <c r="G220" s="179">
        <v>1534500</v>
      </c>
      <c r="H220" s="179">
        <v>0</v>
      </c>
      <c r="I220" s="179">
        <v>393187.72</v>
      </c>
      <c r="J220" s="179">
        <v>0</v>
      </c>
      <c r="K220" s="179">
        <v>150744</v>
      </c>
      <c r="L220" s="179">
        <v>87965.65</v>
      </c>
      <c r="M220" s="179">
        <v>1502068.28</v>
      </c>
      <c r="N220" s="179">
        <v>990568.28</v>
      </c>
    </row>
    <row r="221" spans="1:14" s="156" customFormat="1" x14ac:dyDescent="0.25">
      <c r="A221" s="156" t="s">
        <v>545</v>
      </c>
      <c r="B221" s="156" t="s">
        <v>151</v>
      </c>
      <c r="C221" s="156" t="s">
        <v>152</v>
      </c>
      <c r="D221" s="156" t="s">
        <v>541</v>
      </c>
      <c r="E221" s="179">
        <v>334518795</v>
      </c>
      <c r="F221" s="179">
        <v>361518795</v>
      </c>
      <c r="G221" s="179">
        <v>283181001</v>
      </c>
      <c r="H221" s="179">
        <v>0</v>
      </c>
      <c r="I221" s="179">
        <v>38990333.130000003</v>
      </c>
      <c r="J221" s="179">
        <v>20968761.91</v>
      </c>
      <c r="K221" s="179">
        <v>138684231.41</v>
      </c>
      <c r="L221" s="179">
        <v>131014749.2</v>
      </c>
      <c r="M221" s="179">
        <v>162875468.55000001</v>
      </c>
      <c r="N221" s="179">
        <v>84537674.549999997</v>
      </c>
    </row>
    <row r="222" spans="1:14" s="156" customFormat="1" x14ac:dyDescent="0.25">
      <c r="A222" s="156" t="s">
        <v>545</v>
      </c>
      <c r="B222" s="156" t="s">
        <v>328</v>
      </c>
      <c r="C222" s="156" t="s">
        <v>329</v>
      </c>
      <c r="D222" s="156" t="s">
        <v>541</v>
      </c>
      <c r="E222" s="179">
        <v>2000000</v>
      </c>
      <c r="F222" s="179">
        <v>2000000</v>
      </c>
      <c r="G222" s="179">
        <v>2000000</v>
      </c>
      <c r="H222" s="179">
        <v>0</v>
      </c>
      <c r="I222" s="179">
        <v>0</v>
      </c>
      <c r="J222" s="179">
        <v>0</v>
      </c>
      <c r="K222" s="179">
        <v>0</v>
      </c>
      <c r="L222" s="179">
        <v>0</v>
      </c>
      <c r="M222" s="179">
        <v>2000000</v>
      </c>
      <c r="N222" s="179">
        <v>2000000</v>
      </c>
    </row>
    <row r="223" spans="1:14" s="156" customFormat="1" x14ac:dyDescent="0.25">
      <c r="A223" s="156" t="s">
        <v>545</v>
      </c>
      <c r="B223" s="156" t="s">
        <v>330</v>
      </c>
      <c r="C223" s="156" t="s">
        <v>604</v>
      </c>
      <c r="D223" s="156" t="s">
        <v>541</v>
      </c>
      <c r="E223" s="179">
        <v>5000000</v>
      </c>
      <c r="F223" s="179">
        <v>5000000</v>
      </c>
      <c r="G223" s="179">
        <v>5000000</v>
      </c>
      <c r="H223" s="179">
        <v>0</v>
      </c>
      <c r="I223" s="179">
        <v>4556956</v>
      </c>
      <c r="J223" s="179">
        <v>0</v>
      </c>
      <c r="K223" s="179">
        <v>0</v>
      </c>
      <c r="L223" s="179">
        <v>0</v>
      </c>
      <c r="M223" s="179">
        <v>443044</v>
      </c>
      <c r="N223" s="179">
        <v>443044</v>
      </c>
    </row>
    <row r="224" spans="1:14" s="156" customFormat="1" x14ac:dyDescent="0.25">
      <c r="A224" s="156" t="s">
        <v>545</v>
      </c>
      <c r="B224" s="156" t="s">
        <v>154</v>
      </c>
      <c r="C224" s="156" t="s">
        <v>155</v>
      </c>
      <c r="D224" s="156" t="s">
        <v>541</v>
      </c>
      <c r="E224" s="179">
        <v>319951179</v>
      </c>
      <c r="F224" s="179">
        <v>346951179</v>
      </c>
      <c r="G224" s="179">
        <v>268613385</v>
      </c>
      <c r="H224" s="179">
        <v>0</v>
      </c>
      <c r="I224" s="179">
        <v>32417720.149999999</v>
      </c>
      <c r="J224" s="179">
        <v>20968761.91</v>
      </c>
      <c r="K224" s="179">
        <v>134010144.65000001</v>
      </c>
      <c r="L224" s="179">
        <v>126610871.59999999</v>
      </c>
      <c r="M224" s="179">
        <v>159554552.28999999</v>
      </c>
      <c r="N224" s="179">
        <v>81216758.290000007</v>
      </c>
    </row>
    <row r="225" spans="1:14" s="156" customFormat="1" x14ac:dyDescent="0.25">
      <c r="A225" s="156" t="s">
        <v>545</v>
      </c>
      <c r="B225" s="156" t="s">
        <v>156</v>
      </c>
      <c r="C225" s="156" t="s">
        <v>157</v>
      </c>
      <c r="D225" s="156" t="s">
        <v>541</v>
      </c>
      <c r="E225" s="179">
        <v>7567616</v>
      </c>
      <c r="F225" s="179">
        <v>7567616</v>
      </c>
      <c r="G225" s="179">
        <v>7567616</v>
      </c>
      <c r="H225" s="179">
        <v>0</v>
      </c>
      <c r="I225" s="179">
        <v>2015656.98</v>
      </c>
      <c r="J225" s="179">
        <v>0</v>
      </c>
      <c r="K225" s="179">
        <v>4674086.76</v>
      </c>
      <c r="L225" s="179">
        <v>4403877.5999999996</v>
      </c>
      <c r="M225" s="179">
        <v>877872.26</v>
      </c>
      <c r="N225" s="179">
        <v>877872.26</v>
      </c>
    </row>
    <row r="226" spans="1:14" s="156" customFormat="1" x14ac:dyDescent="0.25">
      <c r="A226" s="156" t="s">
        <v>545</v>
      </c>
      <c r="B226" s="156" t="s">
        <v>158</v>
      </c>
      <c r="C226" s="156" t="s">
        <v>159</v>
      </c>
      <c r="D226" s="156" t="s">
        <v>541</v>
      </c>
      <c r="E226" s="179">
        <v>33445676</v>
      </c>
      <c r="F226" s="179">
        <v>33445676</v>
      </c>
      <c r="G226" s="179">
        <v>29031757</v>
      </c>
      <c r="H226" s="179">
        <v>292850</v>
      </c>
      <c r="I226" s="179">
        <v>6299801.4000000004</v>
      </c>
      <c r="J226" s="179">
        <v>0</v>
      </c>
      <c r="K226" s="179">
        <v>17305571.350000001</v>
      </c>
      <c r="L226" s="179">
        <v>17134421.350000001</v>
      </c>
      <c r="M226" s="179">
        <v>9547453.25</v>
      </c>
      <c r="N226" s="179">
        <v>5133534.25</v>
      </c>
    </row>
    <row r="227" spans="1:14" s="156" customFormat="1" x14ac:dyDescent="0.25">
      <c r="A227" s="156" t="s">
        <v>545</v>
      </c>
      <c r="B227" s="156" t="s">
        <v>160</v>
      </c>
      <c r="C227" s="156" t="s">
        <v>161</v>
      </c>
      <c r="D227" s="156" t="s">
        <v>541</v>
      </c>
      <c r="E227" s="179">
        <v>1700000</v>
      </c>
      <c r="F227" s="179">
        <v>1700000</v>
      </c>
      <c r="G227" s="179">
        <v>1275000</v>
      </c>
      <c r="H227" s="179">
        <v>0</v>
      </c>
      <c r="I227" s="179">
        <v>182205</v>
      </c>
      <c r="J227" s="179">
        <v>0</v>
      </c>
      <c r="K227" s="179">
        <v>563415</v>
      </c>
      <c r="L227" s="179">
        <v>563415</v>
      </c>
      <c r="M227" s="179">
        <v>954380</v>
      </c>
      <c r="N227" s="179">
        <v>529380</v>
      </c>
    </row>
    <row r="228" spans="1:14" s="156" customFormat="1" x14ac:dyDescent="0.25">
      <c r="A228" s="156" t="s">
        <v>545</v>
      </c>
      <c r="B228" s="156" t="s">
        <v>162</v>
      </c>
      <c r="C228" s="156" t="s">
        <v>163</v>
      </c>
      <c r="D228" s="156" t="s">
        <v>541</v>
      </c>
      <c r="E228" s="179">
        <v>24979191</v>
      </c>
      <c r="F228" s="179">
        <v>24979191</v>
      </c>
      <c r="G228" s="179">
        <v>21734393.5</v>
      </c>
      <c r="H228" s="179">
        <v>292850</v>
      </c>
      <c r="I228" s="179">
        <v>6030596</v>
      </c>
      <c r="J228" s="179">
        <v>0</v>
      </c>
      <c r="K228" s="179">
        <v>13579000</v>
      </c>
      <c r="L228" s="179">
        <v>13407850</v>
      </c>
      <c r="M228" s="179">
        <v>5076745</v>
      </c>
      <c r="N228" s="179">
        <v>1831947.5</v>
      </c>
    </row>
    <row r="229" spans="1:14" s="156" customFormat="1" x14ac:dyDescent="0.25">
      <c r="A229" s="156" t="s">
        <v>545</v>
      </c>
      <c r="B229" s="156" t="s">
        <v>164</v>
      </c>
      <c r="C229" s="156" t="s">
        <v>165</v>
      </c>
      <c r="D229" s="156" t="s">
        <v>541</v>
      </c>
      <c r="E229" s="179">
        <v>2035715</v>
      </c>
      <c r="F229" s="179">
        <v>2035715</v>
      </c>
      <c r="G229" s="179">
        <v>1564286.5</v>
      </c>
      <c r="H229" s="179">
        <v>0</v>
      </c>
      <c r="I229" s="179">
        <v>271</v>
      </c>
      <c r="J229" s="179">
        <v>0</v>
      </c>
      <c r="K229" s="179">
        <v>1092467</v>
      </c>
      <c r="L229" s="179">
        <v>1092467</v>
      </c>
      <c r="M229" s="179">
        <v>942977</v>
      </c>
      <c r="N229" s="179">
        <v>471548.5</v>
      </c>
    </row>
    <row r="230" spans="1:14" s="156" customFormat="1" x14ac:dyDescent="0.25">
      <c r="A230" s="156" t="s">
        <v>545</v>
      </c>
      <c r="B230" s="156" t="s">
        <v>166</v>
      </c>
      <c r="C230" s="156" t="s">
        <v>167</v>
      </c>
      <c r="D230" s="156" t="s">
        <v>541</v>
      </c>
      <c r="E230" s="179">
        <v>4730770</v>
      </c>
      <c r="F230" s="179">
        <v>4730770</v>
      </c>
      <c r="G230" s="179">
        <v>4458077</v>
      </c>
      <c r="H230" s="179">
        <v>0</v>
      </c>
      <c r="I230" s="179">
        <v>86729.4</v>
      </c>
      <c r="J230" s="179">
        <v>0</v>
      </c>
      <c r="K230" s="179">
        <v>2070689.35</v>
      </c>
      <c r="L230" s="179">
        <v>2070689.35</v>
      </c>
      <c r="M230" s="179">
        <v>2573351.25</v>
      </c>
      <c r="N230" s="179">
        <v>2300658.25</v>
      </c>
    </row>
    <row r="231" spans="1:14" s="156" customFormat="1" x14ac:dyDescent="0.25">
      <c r="A231" s="156" t="s">
        <v>545</v>
      </c>
      <c r="B231" s="156" t="s">
        <v>168</v>
      </c>
      <c r="C231" s="156" t="s">
        <v>169</v>
      </c>
      <c r="D231" s="156" t="s">
        <v>541</v>
      </c>
      <c r="E231" s="179">
        <v>83546141</v>
      </c>
      <c r="F231" s="179">
        <v>101246141</v>
      </c>
      <c r="G231" s="179">
        <v>80084605</v>
      </c>
      <c r="H231" s="179">
        <v>0</v>
      </c>
      <c r="I231" s="179">
        <v>5426581</v>
      </c>
      <c r="J231" s="179">
        <v>0</v>
      </c>
      <c r="K231" s="179">
        <v>25358126</v>
      </c>
      <c r="L231" s="179">
        <v>25358126</v>
      </c>
      <c r="M231" s="179">
        <v>70461434</v>
      </c>
      <c r="N231" s="179">
        <v>49299898</v>
      </c>
    </row>
    <row r="232" spans="1:14" s="156" customFormat="1" x14ac:dyDescent="0.25">
      <c r="A232" s="156" t="s">
        <v>545</v>
      </c>
      <c r="B232" s="156" t="s">
        <v>170</v>
      </c>
      <c r="C232" s="156" t="s">
        <v>171</v>
      </c>
      <c r="D232" s="156" t="s">
        <v>541</v>
      </c>
      <c r="E232" s="179">
        <v>83546141</v>
      </c>
      <c r="F232" s="179">
        <v>101246141</v>
      </c>
      <c r="G232" s="179">
        <v>80084605</v>
      </c>
      <c r="H232" s="179">
        <v>0</v>
      </c>
      <c r="I232" s="179">
        <v>5426581</v>
      </c>
      <c r="J232" s="179">
        <v>0</v>
      </c>
      <c r="K232" s="179">
        <v>25358126</v>
      </c>
      <c r="L232" s="179">
        <v>25358126</v>
      </c>
      <c r="M232" s="179">
        <v>70461434</v>
      </c>
      <c r="N232" s="179">
        <v>49299898</v>
      </c>
    </row>
    <row r="233" spans="1:14" s="156" customFormat="1" x14ac:dyDescent="0.25">
      <c r="A233" s="156" t="s">
        <v>545</v>
      </c>
      <c r="B233" s="156" t="s">
        <v>172</v>
      </c>
      <c r="C233" s="156" t="s">
        <v>173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309</v>
      </c>
      <c r="C234" s="156" t="s">
        <v>310</v>
      </c>
      <c r="D234" s="156" t="s">
        <v>541</v>
      </c>
      <c r="E234" s="179">
        <v>0</v>
      </c>
      <c r="F234" s="179">
        <v>0</v>
      </c>
      <c r="G234" s="179">
        <v>0</v>
      </c>
      <c r="H234" s="179">
        <v>0</v>
      </c>
      <c r="I234" s="179">
        <v>0</v>
      </c>
      <c r="J234" s="179">
        <v>0</v>
      </c>
      <c r="K234" s="179">
        <v>0</v>
      </c>
      <c r="L234" s="179">
        <v>0</v>
      </c>
      <c r="M234" s="179">
        <v>0</v>
      </c>
      <c r="N234" s="179">
        <v>0</v>
      </c>
    </row>
    <row r="235" spans="1:14" s="156" customFormat="1" x14ac:dyDescent="0.25">
      <c r="A235" s="156" t="s">
        <v>545</v>
      </c>
      <c r="B235" s="156" t="s">
        <v>178</v>
      </c>
      <c r="C235" s="156" t="s">
        <v>179</v>
      </c>
      <c r="D235" s="156" t="s">
        <v>541</v>
      </c>
      <c r="E235" s="179">
        <v>89480793</v>
      </c>
      <c r="F235" s="179">
        <v>76080793</v>
      </c>
      <c r="G235" s="179">
        <v>61050595</v>
      </c>
      <c r="H235" s="179">
        <v>200000</v>
      </c>
      <c r="I235" s="179">
        <v>13900439.67</v>
      </c>
      <c r="J235" s="179">
        <v>583495.55000000005</v>
      </c>
      <c r="K235" s="179">
        <v>25822901.890000001</v>
      </c>
      <c r="L235" s="179">
        <v>24284130.489999998</v>
      </c>
      <c r="M235" s="179">
        <v>35573955.890000001</v>
      </c>
      <c r="N235" s="179">
        <v>20543757.890000001</v>
      </c>
    </row>
    <row r="236" spans="1:14" s="156" customFormat="1" x14ac:dyDescent="0.25">
      <c r="A236" s="156" t="s">
        <v>545</v>
      </c>
      <c r="B236" s="156" t="s">
        <v>180</v>
      </c>
      <c r="C236" s="156" t="s">
        <v>181</v>
      </c>
      <c r="D236" s="156" t="s">
        <v>541</v>
      </c>
      <c r="E236" s="179">
        <v>13000000</v>
      </c>
      <c r="F236" s="179">
        <v>13000000</v>
      </c>
      <c r="G236" s="179">
        <v>10500000</v>
      </c>
      <c r="H236" s="179">
        <v>0</v>
      </c>
      <c r="I236" s="179">
        <v>1815150.05</v>
      </c>
      <c r="J236" s="179">
        <v>0</v>
      </c>
      <c r="K236" s="179">
        <v>5113889.62</v>
      </c>
      <c r="L236" s="179">
        <v>5113889.62</v>
      </c>
      <c r="M236" s="179">
        <v>6070960.3300000001</v>
      </c>
      <c r="N236" s="179">
        <v>3570960.33</v>
      </c>
    </row>
    <row r="237" spans="1:14" s="156" customFormat="1" x14ac:dyDescent="0.25">
      <c r="A237" s="156" t="s">
        <v>545</v>
      </c>
      <c r="B237" s="156" t="s">
        <v>332</v>
      </c>
      <c r="C237" s="156" t="s">
        <v>333</v>
      </c>
      <c r="D237" s="156" t="s">
        <v>541</v>
      </c>
      <c r="E237" s="179">
        <v>1918000</v>
      </c>
      <c r="F237" s="179">
        <v>1918000</v>
      </c>
      <c r="G237" s="179">
        <v>1638500</v>
      </c>
      <c r="H237" s="179">
        <v>0</v>
      </c>
      <c r="I237" s="179">
        <v>31643.5</v>
      </c>
      <c r="J237" s="179">
        <v>0</v>
      </c>
      <c r="K237" s="179">
        <v>1124143.75</v>
      </c>
      <c r="L237" s="179">
        <v>1124143.75</v>
      </c>
      <c r="M237" s="179">
        <v>762212.75</v>
      </c>
      <c r="N237" s="179">
        <v>482712.75</v>
      </c>
    </row>
    <row r="238" spans="1:14" s="156" customFormat="1" x14ac:dyDescent="0.25">
      <c r="A238" s="156" t="s">
        <v>545</v>
      </c>
      <c r="B238" s="156" t="s">
        <v>182</v>
      </c>
      <c r="C238" s="156" t="s">
        <v>183</v>
      </c>
      <c r="D238" s="156" t="s">
        <v>541</v>
      </c>
      <c r="E238" s="179">
        <v>25420000</v>
      </c>
      <c r="F238" s="179">
        <v>15420000</v>
      </c>
      <c r="G238" s="179">
        <v>14040000</v>
      </c>
      <c r="H238" s="179">
        <v>0</v>
      </c>
      <c r="I238" s="179">
        <v>10792989</v>
      </c>
      <c r="J238" s="179">
        <v>0</v>
      </c>
      <c r="K238" s="179">
        <v>1133135</v>
      </c>
      <c r="L238" s="179">
        <v>1133135</v>
      </c>
      <c r="M238" s="179">
        <v>3493876</v>
      </c>
      <c r="N238" s="179">
        <v>2113876</v>
      </c>
    </row>
    <row r="239" spans="1:14" s="156" customFormat="1" x14ac:dyDescent="0.25">
      <c r="A239" s="156" t="s">
        <v>545</v>
      </c>
      <c r="B239" s="156" t="s">
        <v>184</v>
      </c>
      <c r="C239" s="156" t="s">
        <v>185</v>
      </c>
      <c r="D239" s="156" t="s">
        <v>541</v>
      </c>
      <c r="E239" s="179">
        <v>7181770</v>
      </c>
      <c r="F239" s="179">
        <v>7181770</v>
      </c>
      <c r="G239" s="179">
        <v>5386327</v>
      </c>
      <c r="H239" s="179">
        <v>0</v>
      </c>
      <c r="I239" s="179">
        <v>597135.52</v>
      </c>
      <c r="J239" s="179">
        <v>0</v>
      </c>
      <c r="K239" s="179">
        <v>2507667.2000000002</v>
      </c>
      <c r="L239" s="179">
        <v>2507667.2000000002</v>
      </c>
      <c r="M239" s="179">
        <v>4076967.28</v>
      </c>
      <c r="N239" s="179">
        <v>2281524.2799999998</v>
      </c>
    </row>
    <row r="240" spans="1:14" s="156" customFormat="1" x14ac:dyDescent="0.25">
      <c r="A240" s="156" t="s">
        <v>545</v>
      </c>
      <c r="B240" s="156" t="s">
        <v>186</v>
      </c>
      <c r="C240" s="156" t="s">
        <v>187</v>
      </c>
      <c r="D240" s="156" t="s">
        <v>541</v>
      </c>
      <c r="E240" s="179">
        <v>8196286</v>
      </c>
      <c r="F240" s="179">
        <v>10196286</v>
      </c>
      <c r="G240" s="179">
        <v>8147215</v>
      </c>
      <c r="H240" s="179">
        <v>0</v>
      </c>
      <c r="I240" s="179">
        <v>663521.6</v>
      </c>
      <c r="J240" s="179">
        <v>0</v>
      </c>
      <c r="K240" s="179">
        <v>3257438.59</v>
      </c>
      <c r="L240" s="179">
        <v>2528667.19</v>
      </c>
      <c r="M240" s="179">
        <v>6275325.8099999996</v>
      </c>
      <c r="N240" s="179">
        <v>4226254.8099999996</v>
      </c>
    </row>
    <row r="241" spans="1:14" s="156" customFormat="1" x14ac:dyDescent="0.25">
      <c r="A241" s="156" t="s">
        <v>545</v>
      </c>
      <c r="B241" s="156" t="s">
        <v>188</v>
      </c>
      <c r="C241" s="156" t="s">
        <v>189</v>
      </c>
      <c r="D241" s="156" t="s">
        <v>541</v>
      </c>
      <c r="E241" s="179">
        <v>28160737</v>
      </c>
      <c r="F241" s="179">
        <v>23460737</v>
      </c>
      <c r="G241" s="179">
        <v>17835553</v>
      </c>
      <c r="H241" s="179">
        <v>0</v>
      </c>
      <c r="I241" s="179">
        <v>0</v>
      </c>
      <c r="J241" s="179">
        <v>0</v>
      </c>
      <c r="K241" s="179">
        <v>12145012.48</v>
      </c>
      <c r="L241" s="179">
        <v>11335012.48</v>
      </c>
      <c r="M241" s="179">
        <v>11315724.52</v>
      </c>
      <c r="N241" s="179">
        <v>5690540.5199999996</v>
      </c>
    </row>
    <row r="242" spans="1:14" s="156" customFormat="1" x14ac:dyDescent="0.25">
      <c r="A242" s="156" t="s">
        <v>545</v>
      </c>
      <c r="B242" s="156" t="s">
        <v>190</v>
      </c>
      <c r="C242" s="156" t="s">
        <v>191</v>
      </c>
      <c r="D242" s="156" t="s">
        <v>541</v>
      </c>
      <c r="E242" s="179">
        <v>5604000</v>
      </c>
      <c r="F242" s="179">
        <v>4904000</v>
      </c>
      <c r="G242" s="179">
        <v>3503000</v>
      </c>
      <c r="H242" s="179">
        <v>200000</v>
      </c>
      <c r="I242" s="179">
        <v>0</v>
      </c>
      <c r="J242" s="179">
        <v>583495.55000000005</v>
      </c>
      <c r="K242" s="179">
        <v>541615.25</v>
      </c>
      <c r="L242" s="179">
        <v>541615.25</v>
      </c>
      <c r="M242" s="179">
        <v>3578889.2</v>
      </c>
      <c r="N242" s="179">
        <v>2177889.2000000002</v>
      </c>
    </row>
    <row r="243" spans="1:14" s="156" customFormat="1" x14ac:dyDescent="0.25">
      <c r="A243" s="156" t="s">
        <v>545</v>
      </c>
      <c r="B243" s="156" t="s">
        <v>192</v>
      </c>
      <c r="C243" s="156" t="s">
        <v>193</v>
      </c>
      <c r="D243" s="156" t="s">
        <v>541</v>
      </c>
      <c r="E243" s="179">
        <v>1340000</v>
      </c>
      <c r="F243" s="179">
        <v>1340000</v>
      </c>
      <c r="G243" s="179">
        <v>1305000</v>
      </c>
      <c r="H243" s="179">
        <v>0</v>
      </c>
      <c r="I243" s="179">
        <v>24800</v>
      </c>
      <c r="J243" s="179">
        <v>0</v>
      </c>
      <c r="K243" s="179">
        <v>200</v>
      </c>
      <c r="L243" s="179">
        <v>200</v>
      </c>
      <c r="M243" s="179">
        <v>1315000</v>
      </c>
      <c r="N243" s="179">
        <v>1280000</v>
      </c>
    </row>
    <row r="244" spans="1:14" s="156" customFormat="1" x14ac:dyDescent="0.25">
      <c r="A244" s="156" t="s">
        <v>545</v>
      </c>
      <c r="B244" s="156" t="s">
        <v>194</v>
      </c>
      <c r="C244" s="156" t="s">
        <v>195</v>
      </c>
      <c r="D244" s="156" t="s">
        <v>541</v>
      </c>
      <c r="E244" s="179">
        <v>1340000</v>
      </c>
      <c r="F244" s="179">
        <v>1340000</v>
      </c>
      <c r="G244" s="179">
        <v>1305000</v>
      </c>
      <c r="H244" s="179">
        <v>0</v>
      </c>
      <c r="I244" s="179">
        <v>24800</v>
      </c>
      <c r="J244" s="179">
        <v>0</v>
      </c>
      <c r="K244" s="179">
        <v>200</v>
      </c>
      <c r="L244" s="179">
        <v>200</v>
      </c>
      <c r="M244" s="179">
        <v>1315000</v>
      </c>
      <c r="N244" s="179">
        <v>1280000</v>
      </c>
    </row>
    <row r="245" spans="1:14" s="156" customFormat="1" x14ac:dyDescent="0.25">
      <c r="A245" s="156" t="s">
        <v>545</v>
      </c>
      <c r="B245" s="156" t="s">
        <v>196</v>
      </c>
      <c r="C245" s="156" t="s">
        <v>197</v>
      </c>
      <c r="D245" s="156" t="s">
        <v>541</v>
      </c>
      <c r="E245" s="179">
        <v>2150000</v>
      </c>
      <c r="F245" s="179">
        <v>2150000</v>
      </c>
      <c r="G245" s="179">
        <v>1412500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2036792.22</v>
      </c>
      <c r="N245" s="179">
        <v>1299292.22</v>
      </c>
    </row>
    <row r="246" spans="1:14" s="156" customFormat="1" x14ac:dyDescent="0.25">
      <c r="A246" s="156" t="s">
        <v>545</v>
      </c>
      <c r="B246" s="156" t="s">
        <v>334</v>
      </c>
      <c r="C246" s="156" t="s">
        <v>335</v>
      </c>
      <c r="D246" s="156" t="s">
        <v>541</v>
      </c>
      <c r="E246" s="179">
        <v>150000</v>
      </c>
      <c r="F246" s="179">
        <v>150000</v>
      </c>
      <c r="G246" s="179">
        <v>150000</v>
      </c>
      <c r="H246" s="179">
        <v>0</v>
      </c>
      <c r="I246" s="179">
        <v>113207.78</v>
      </c>
      <c r="J246" s="179">
        <v>0</v>
      </c>
      <c r="K246" s="179">
        <v>0</v>
      </c>
      <c r="L246" s="179">
        <v>0</v>
      </c>
      <c r="M246" s="179">
        <v>36792.22</v>
      </c>
      <c r="N246" s="179">
        <v>36792.22</v>
      </c>
    </row>
    <row r="247" spans="1:14" s="156" customFormat="1" x14ac:dyDescent="0.25">
      <c r="A247" s="156" t="s">
        <v>545</v>
      </c>
      <c r="B247" s="156" t="s">
        <v>198</v>
      </c>
      <c r="C247" s="156" t="s">
        <v>199</v>
      </c>
      <c r="D247" s="156" t="s">
        <v>541</v>
      </c>
      <c r="E247" s="179">
        <v>2000000</v>
      </c>
      <c r="F247" s="179">
        <v>2000000</v>
      </c>
      <c r="G247" s="179">
        <v>1262500</v>
      </c>
      <c r="H247" s="179">
        <v>0</v>
      </c>
      <c r="I247" s="179">
        <v>0</v>
      </c>
      <c r="J247" s="179">
        <v>0</v>
      </c>
      <c r="K247" s="179">
        <v>0</v>
      </c>
      <c r="L247" s="179">
        <v>0</v>
      </c>
      <c r="M247" s="179">
        <v>2000000</v>
      </c>
      <c r="N247" s="179">
        <v>1262500</v>
      </c>
    </row>
    <row r="248" spans="1:14" s="156" customFormat="1" x14ac:dyDescent="0.25">
      <c r="A248" s="156" t="s">
        <v>545</v>
      </c>
      <c r="B248" s="156" t="s">
        <v>200</v>
      </c>
      <c r="C248" s="156" t="s">
        <v>201</v>
      </c>
      <c r="D248" s="156" t="s">
        <v>541</v>
      </c>
      <c r="E248" s="179">
        <v>65233793</v>
      </c>
      <c r="F248" s="179">
        <v>65233793</v>
      </c>
      <c r="G248" s="179">
        <v>44111594</v>
      </c>
      <c r="H248" s="179">
        <v>2337045.0299999998</v>
      </c>
      <c r="I248" s="179">
        <v>1670518.36</v>
      </c>
      <c r="J248" s="179">
        <v>1519708.4</v>
      </c>
      <c r="K248" s="179">
        <v>11642537.699999999</v>
      </c>
      <c r="L248" s="179">
        <v>11510537.699999999</v>
      </c>
      <c r="M248" s="179">
        <v>48063983.509999998</v>
      </c>
      <c r="N248" s="179">
        <v>26941784.510000002</v>
      </c>
    </row>
    <row r="249" spans="1:14" s="156" customFormat="1" x14ac:dyDescent="0.25">
      <c r="A249" s="156" t="s">
        <v>545</v>
      </c>
      <c r="B249" s="156" t="s">
        <v>202</v>
      </c>
      <c r="C249" s="156" t="s">
        <v>203</v>
      </c>
      <c r="D249" s="156" t="s">
        <v>541</v>
      </c>
      <c r="E249" s="179">
        <v>34706100</v>
      </c>
      <c r="F249" s="179">
        <v>34706100</v>
      </c>
      <c r="G249" s="179">
        <v>23805824</v>
      </c>
      <c r="H249" s="179">
        <v>1892340</v>
      </c>
      <c r="I249" s="179">
        <v>1151803.3600000001</v>
      </c>
      <c r="J249" s="179">
        <v>0</v>
      </c>
      <c r="K249" s="179">
        <v>8544266.6400000006</v>
      </c>
      <c r="L249" s="179">
        <v>8544266.6400000006</v>
      </c>
      <c r="M249" s="179">
        <v>23117690</v>
      </c>
      <c r="N249" s="179">
        <v>12217414</v>
      </c>
    </row>
    <row r="250" spans="1:14" s="156" customFormat="1" x14ac:dyDescent="0.25">
      <c r="A250" s="156" t="s">
        <v>545</v>
      </c>
      <c r="B250" s="156" t="s">
        <v>204</v>
      </c>
      <c r="C250" s="156" t="s">
        <v>205</v>
      </c>
      <c r="D250" s="156" t="s">
        <v>541</v>
      </c>
      <c r="E250" s="179">
        <v>26298967</v>
      </c>
      <c r="F250" s="179">
        <v>26298967</v>
      </c>
      <c r="G250" s="179">
        <v>18424225</v>
      </c>
      <c r="H250" s="179">
        <v>264240</v>
      </c>
      <c r="I250" s="179">
        <v>1151803.3600000001</v>
      </c>
      <c r="J250" s="179">
        <v>0</v>
      </c>
      <c r="K250" s="179">
        <v>8544266.6400000006</v>
      </c>
      <c r="L250" s="179">
        <v>8544266.6400000006</v>
      </c>
      <c r="M250" s="179">
        <v>16338657</v>
      </c>
      <c r="N250" s="179">
        <v>8463915</v>
      </c>
    </row>
    <row r="251" spans="1:14" s="156" customFormat="1" x14ac:dyDescent="0.25">
      <c r="A251" s="156" t="s">
        <v>545</v>
      </c>
      <c r="B251" s="156" t="s">
        <v>208</v>
      </c>
      <c r="C251" s="156" t="s">
        <v>209</v>
      </c>
      <c r="D251" s="156" t="s">
        <v>541</v>
      </c>
      <c r="E251" s="179">
        <v>8102133</v>
      </c>
      <c r="F251" s="179">
        <v>8102133</v>
      </c>
      <c r="G251" s="179">
        <v>5076599</v>
      </c>
      <c r="H251" s="179">
        <v>1399100</v>
      </c>
      <c r="I251" s="179">
        <v>0</v>
      </c>
      <c r="J251" s="179">
        <v>0</v>
      </c>
      <c r="K251" s="179">
        <v>0</v>
      </c>
      <c r="L251" s="179">
        <v>0</v>
      </c>
      <c r="M251" s="179">
        <v>6703033</v>
      </c>
      <c r="N251" s="179">
        <v>3677499</v>
      </c>
    </row>
    <row r="252" spans="1:14" s="156" customFormat="1" x14ac:dyDescent="0.25">
      <c r="A252" s="156" t="s">
        <v>545</v>
      </c>
      <c r="B252" s="156" t="s">
        <v>210</v>
      </c>
      <c r="C252" s="156" t="s">
        <v>211</v>
      </c>
      <c r="D252" s="156" t="s">
        <v>541</v>
      </c>
      <c r="E252" s="179">
        <v>305000</v>
      </c>
      <c r="F252" s="179">
        <v>305000</v>
      </c>
      <c r="G252" s="179">
        <v>305000</v>
      </c>
      <c r="H252" s="179">
        <v>229000</v>
      </c>
      <c r="I252" s="179">
        <v>0</v>
      </c>
      <c r="J252" s="179">
        <v>0</v>
      </c>
      <c r="K252" s="179">
        <v>0</v>
      </c>
      <c r="L252" s="179">
        <v>0</v>
      </c>
      <c r="M252" s="179">
        <v>76000</v>
      </c>
      <c r="N252" s="179">
        <v>76000</v>
      </c>
    </row>
    <row r="253" spans="1:14" s="156" customFormat="1" x14ac:dyDescent="0.25">
      <c r="A253" s="156" t="s">
        <v>545</v>
      </c>
      <c r="B253" s="156" t="s">
        <v>216</v>
      </c>
      <c r="C253" s="156" t="s">
        <v>217</v>
      </c>
      <c r="D253" s="156" t="s">
        <v>541</v>
      </c>
      <c r="E253" s="179">
        <v>2978000</v>
      </c>
      <c r="F253" s="179">
        <v>2978000</v>
      </c>
      <c r="G253" s="179">
        <v>2000250</v>
      </c>
      <c r="H253" s="179">
        <v>66246.320000000007</v>
      </c>
      <c r="I253" s="179">
        <v>0</v>
      </c>
      <c r="J253" s="179">
        <v>0</v>
      </c>
      <c r="K253" s="179">
        <v>0</v>
      </c>
      <c r="L253" s="179">
        <v>0</v>
      </c>
      <c r="M253" s="179">
        <v>2911753.68</v>
      </c>
      <c r="N253" s="179">
        <v>1934003.68</v>
      </c>
    </row>
    <row r="254" spans="1:14" s="156" customFormat="1" x14ac:dyDescent="0.25">
      <c r="A254" s="156" t="s">
        <v>545</v>
      </c>
      <c r="B254" s="156" t="s">
        <v>218</v>
      </c>
      <c r="C254" s="156" t="s">
        <v>219</v>
      </c>
      <c r="D254" s="156" t="s">
        <v>541</v>
      </c>
      <c r="E254" s="179">
        <v>830000</v>
      </c>
      <c r="F254" s="179">
        <v>830000</v>
      </c>
      <c r="G254" s="179">
        <v>522500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830000</v>
      </c>
      <c r="N254" s="179">
        <v>522500</v>
      </c>
    </row>
    <row r="255" spans="1:14" s="156" customFormat="1" x14ac:dyDescent="0.25">
      <c r="A255" s="156" t="s">
        <v>545</v>
      </c>
      <c r="B255" s="156" t="s">
        <v>336</v>
      </c>
      <c r="C255" s="156" t="s">
        <v>337</v>
      </c>
      <c r="D255" s="156" t="s">
        <v>541</v>
      </c>
      <c r="E255" s="179">
        <v>67000</v>
      </c>
      <c r="F255" s="179">
        <v>67000</v>
      </c>
      <c r="G255" s="179">
        <v>67000</v>
      </c>
      <c r="H255" s="179">
        <v>66246.320000000007</v>
      </c>
      <c r="I255" s="179">
        <v>0</v>
      </c>
      <c r="J255" s="179">
        <v>0</v>
      </c>
      <c r="K255" s="179">
        <v>0</v>
      </c>
      <c r="L255" s="179">
        <v>0</v>
      </c>
      <c r="M255" s="179">
        <v>753.68</v>
      </c>
      <c r="N255" s="179">
        <v>753.68</v>
      </c>
    </row>
    <row r="256" spans="1:14" s="156" customFormat="1" x14ac:dyDescent="0.25">
      <c r="A256" s="156" t="s">
        <v>545</v>
      </c>
      <c r="B256" s="156" t="s">
        <v>338</v>
      </c>
      <c r="C256" s="156" t="s">
        <v>339</v>
      </c>
      <c r="D256" s="156" t="s">
        <v>541</v>
      </c>
      <c r="E256" s="179">
        <v>99000</v>
      </c>
      <c r="F256" s="179">
        <v>99000</v>
      </c>
      <c r="G256" s="179">
        <v>74250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99000</v>
      </c>
      <c r="N256" s="179">
        <v>74250</v>
      </c>
    </row>
    <row r="257" spans="1:14" s="156" customFormat="1" x14ac:dyDescent="0.25">
      <c r="A257" s="156" t="s">
        <v>545</v>
      </c>
      <c r="B257" s="156" t="s">
        <v>220</v>
      </c>
      <c r="C257" s="156" t="s">
        <v>221</v>
      </c>
      <c r="D257" s="156" t="s">
        <v>541</v>
      </c>
      <c r="E257" s="179">
        <v>1345000</v>
      </c>
      <c r="F257" s="179">
        <v>1345000</v>
      </c>
      <c r="G257" s="179">
        <v>858750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1345000</v>
      </c>
      <c r="N257" s="179">
        <v>858750</v>
      </c>
    </row>
    <row r="258" spans="1:14" s="156" customFormat="1" x14ac:dyDescent="0.25">
      <c r="A258" s="156" t="s">
        <v>545</v>
      </c>
      <c r="B258" s="156" t="s">
        <v>222</v>
      </c>
      <c r="C258" s="156" t="s">
        <v>223</v>
      </c>
      <c r="D258" s="156" t="s">
        <v>541</v>
      </c>
      <c r="E258" s="179">
        <v>40000</v>
      </c>
      <c r="F258" s="179">
        <v>40000</v>
      </c>
      <c r="G258" s="179">
        <v>30000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40000</v>
      </c>
      <c r="N258" s="179">
        <v>30000</v>
      </c>
    </row>
    <row r="259" spans="1:14" s="156" customFormat="1" x14ac:dyDescent="0.25">
      <c r="A259" s="156" t="s">
        <v>545</v>
      </c>
      <c r="B259" s="156" t="s">
        <v>224</v>
      </c>
      <c r="C259" s="156" t="s">
        <v>225</v>
      </c>
      <c r="D259" s="156" t="s">
        <v>541</v>
      </c>
      <c r="E259" s="179">
        <v>198000</v>
      </c>
      <c r="F259" s="179">
        <v>198000</v>
      </c>
      <c r="G259" s="179">
        <v>148500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198000</v>
      </c>
      <c r="N259" s="179">
        <v>148500</v>
      </c>
    </row>
    <row r="260" spans="1:14" s="156" customFormat="1" x14ac:dyDescent="0.25">
      <c r="A260" s="156" t="s">
        <v>545</v>
      </c>
      <c r="B260" s="156" t="s">
        <v>226</v>
      </c>
      <c r="C260" s="156" t="s">
        <v>227</v>
      </c>
      <c r="D260" s="156" t="s">
        <v>541</v>
      </c>
      <c r="E260" s="179">
        <v>399000</v>
      </c>
      <c r="F260" s="179">
        <v>399000</v>
      </c>
      <c r="G260" s="179">
        <v>299250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399000</v>
      </c>
      <c r="N260" s="179">
        <v>299250</v>
      </c>
    </row>
    <row r="261" spans="1:14" s="156" customFormat="1" x14ac:dyDescent="0.25">
      <c r="A261" s="156" t="s">
        <v>545</v>
      </c>
      <c r="B261" s="156" t="s">
        <v>228</v>
      </c>
      <c r="C261" s="156" t="s">
        <v>229</v>
      </c>
      <c r="D261" s="156" t="s">
        <v>541</v>
      </c>
      <c r="E261" s="179">
        <v>3047000</v>
      </c>
      <c r="F261" s="179">
        <v>3047000</v>
      </c>
      <c r="G261" s="179">
        <v>1960250</v>
      </c>
      <c r="H261" s="179">
        <v>248958.71</v>
      </c>
      <c r="I261" s="179">
        <v>0</v>
      </c>
      <c r="J261" s="179">
        <v>0</v>
      </c>
      <c r="K261" s="179">
        <v>0</v>
      </c>
      <c r="L261" s="179">
        <v>0</v>
      </c>
      <c r="M261" s="179">
        <v>2798041.29</v>
      </c>
      <c r="N261" s="179">
        <v>1711291.29</v>
      </c>
    </row>
    <row r="262" spans="1:14" s="156" customFormat="1" x14ac:dyDescent="0.25">
      <c r="A262" s="156" t="s">
        <v>545</v>
      </c>
      <c r="B262" s="156" t="s">
        <v>230</v>
      </c>
      <c r="C262" s="156" t="s">
        <v>231</v>
      </c>
      <c r="D262" s="156" t="s">
        <v>541</v>
      </c>
      <c r="E262" s="179">
        <v>251000</v>
      </c>
      <c r="F262" s="179">
        <v>251000</v>
      </c>
      <c r="G262" s="179">
        <v>188250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251000</v>
      </c>
      <c r="N262" s="179">
        <v>188250</v>
      </c>
    </row>
    <row r="263" spans="1:14" s="156" customFormat="1" x14ac:dyDescent="0.25">
      <c r="A263" s="156" t="s">
        <v>545</v>
      </c>
      <c r="B263" s="156" t="s">
        <v>232</v>
      </c>
      <c r="C263" s="156" t="s">
        <v>233</v>
      </c>
      <c r="D263" s="156" t="s">
        <v>541</v>
      </c>
      <c r="E263" s="179">
        <v>2796000</v>
      </c>
      <c r="F263" s="179">
        <v>2796000</v>
      </c>
      <c r="G263" s="179">
        <v>1772000</v>
      </c>
      <c r="H263" s="179">
        <v>248958.71</v>
      </c>
      <c r="I263" s="179">
        <v>0</v>
      </c>
      <c r="J263" s="179">
        <v>0</v>
      </c>
      <c r="K263" s="179">
        <v>0</v>
      </c>
      <c r="L263" s="179">
        <v>0</v>
      </c>
      <c r="M263" s="179">
        <v>2547041.29</v>
      </c>
      <c r="N263" s="179">
        <v>1523041.29</v>
      </c>
    </row>
    <row r="264" spans="1:14" s="156" customFormat="1" x14ac:dyDescent="0.25">
      <c r="A264" s="156" t="s">
        <v>545</v>
      </c>
      <c r="B264" s="156" t="s">
        <v>234</v>
      </c>
      <c r="C264" s="156" t="s">
        <v>601</v>
      </c>
      <c r="D264" s="156" t="s">
        <v>541</v>
      </c>
      <c r="E264" s="179">
        <v>24502693</v>
      </c>
      <c r="F264" s="179">
        <v>24502693</v>
      </c>
      <c r="G264" s="179">
        <v>16345270</v>
      </c>
      <c r="H264" s="179">
        <v>129500</v>
      </c>
      <c r="I264" s="179">
        <v>518715</v>
      </c>
      <c r="J264" s="179">
        <v>1519708.4</v>
      </c>
      <c r="K264" s="179">
        <v>3098271.06</v>
      </c>
      <c r="L264" s="179">
        <v>2966271.06</v>
      </c>
      <c r="M264" s="179">
        <v>19236498.539999999</v>
      </c>
      <c r="N264" s="179">
        <v>11079075.539999999</v>
      </c>
    </row>
    <row r="265" spans="1:14" s="156" customFormat="1" x14ac:dyDescent="0.25">
      <c r="A265" s="156" t="s">
        <v>545</v>
      </c>
      <c r="B265" s="156" t="s">
        <v>235</v>
      </c>
      <c r="C265" s="156" t="s">
        <v>236</v>
      </c>
      <c r="D265" s="156" t="s">
        <v>541</v>
      </c>
      <c r="E265" s="179">
        <v>7116000</v>
      </c>
      <c r="F265" s="179">
        <v>7116000</v>
      </c>
      <c r="G265" s="179">
        <v>5812000</v>
      </c>
      <c r="H265" s="179">
        <v>0</v>
      </c>
      <c r="I265" s="179">
        <v>0</v>
      </c>
      <c r="J265" s="179">
        <v>289852.21999999997</v>
      </c>
      <c r="K265" s="179">
        <v>1969871.06</v>
      </c>
      <c r="L265" s="179">
        <v>1969871.06</v>
      </c>
      <c r="M265" s="179">
        <v>4856276.72</v>
      </c>
      <c r="N265" s="179">
        <v>3552276.72</v>
      </c>
    </row>
    <row r="266" spans="1:14" s="156" customFormat="1" x14ac:dyDescent="0.25">
      <c r="A266" s="156" t="s">
        <v>545</v>
      </c>
      <c r="B266" s="156" t="s">
        <v>237</v>
      </c>
      <c r="C266" s="156" t="s">
        <v>238</v>
      </c>
      <c r="D266" s="156" t="s">
        <v>541</v>
      </c>
      <c r="E266" s="179">
        <v>0</v>
      </c>
      <c r="F266" s="179">
        <v>0</v>
      </c>
      <c r="G266" s="179">
        <v>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0</v>
      </c>
      <c r="N266" s="179">
        <v>0</v>
      </c>
    </row>
    <row r="267" spans="1:14" s="156" customFormat="1" x14ac:dyDescent="0.25">
      <c r="A267" s="156" t="s">
        <v>545</v>
      </c>
      <c r="B267" s="156" t="s">
        <v>239</v>
      </c>
      <c r="C267" s="156" t="s">
        <v>240</v>
      </c>
      <c r="D267" s="156" t="s">
        <v>541</v>
      </c>
      <c r="E267" s="179">
        <v>15203693</v>
      </c>
      <c r="F267" s="179">
        <v>15203693</v>
      </c>
      <c r="G267" s="179">
        <v>8837770</v>
      </c>
      <c r="H267" s="179">
        <v>0</v>
      </c>
      <c r="I267" s="179">
        <v>381375</v>
      </c>
      <c r="J267" s="179">
        <v>1229856.18</v>
      </c>
      <c r="K267" s="179">
        <v>737000</v>
      </c>
      <c r="L267" s="179">
        <v>605000</v>
      </c>
      <c r="M267" s="179">
        <v>12855461.82</v>
      </c>
      <c r="N267" s="179">
        <v>6489538.8200000003</v>
      </c>
    </row>
    <row r="268" spans="1:14" s="156" customFormat="1" x14ac:dyDescent="0.25">
      <c r="A268" s="156" t="s">
        <v>545</v>
      </c>
      <c r="B268" s="156" t="s">
        <v>241</v>
      </c>
      <c r="C268" s="156" t="s">
        <v>242</v>
      </c>
      <c r="D268" s="156" t="s">
        <v>541</v>
      </c>
      <c r="E268" s="179">
        <v>133000</v>
      </c>
      <c r="F268" s="179">
        <v>133000</v>
      </c>
      <c r="G268" s="179">
        <v>133000</v>
      </c>
      <c r="H268" s="179">
        <v>129500</v>
      </c>
      <c r="I268" s="179">
        <v>0</v>
      </c>
      <c r="J268" s="179">
        <v>0</v>
      </c>
      <c r="K268" s="179">
        <v>0</v>
      </c>
      <c r="L268" s="179">
        <v>0</v>
      </c>
      <c r="M268" s="179">
        <v>3500</v>
      </c>
      <c r="N268" s="179">
        <v>3500</v>
      </c>
    </row>
    <row r="269" spans="1:14" s="156" customFormat="1" x14ac:dyDescent="0.25">
      <c r="A269" s="156" t="s">
        <v>545</v>
      </c>
      <c r="B269" s="156" t="s">
        <v>243</v>
      </c>
      <c r="C269" s="156" t="s">
        <v>244</v>
      </c>
      <c r="D269" s="156" t="s">
        <v>541</v>
      </c>
      <c r="E269" s="179">
        <v>1356000</v>
      </c>
      <c r="F269" s="179">
        <v>1356000</v>
      </c>
      <c r="G269" s="179">
        <v>1042000</v>
      </c>
      <c r="H269" s="179">
        <v>0</v>
      </c>
      <c r="I269" s="179">
        <v>0</v>
      </c>
      <c r="J269" s="179">
        <v>0</v>
      </c>
      <c r="K269" s="179">
        <v>386600</v>
      </c>
      <c r="L269" s="179">
        <v>386600</v>
      </c>
      <c r="M269" s="179">
        <v>969400</v>
      </c>
      <c r="N269" s="179">
        <v>655400</v>
      </c>
    </row>
    <row r="270" spans="1:14" s="156" customFormat="1" x14ac:dyDescent="0.25">
      <c r="A270" s="156" t="s">
        <v>545</v>
      </c>
      <c r="B270" s="156" t="s">
        <v>245</v>
      </c>
      <c r="C270" s="156" t="s">
        <v>246</v>
      </c>
      <c r="D270" s="156" t="s">
        <v>541</v>
      </c>
      <c r="E270" s="179">
        <v>123000</v>
      </c>
      <c r="F270" s="179">
        <v>123000</v>
      </c>
      <c r="G270" s="179">
        <v>92250</v>
      </c>
      <c r="H270" s="179">
        <v>0</v>
      </c>
      <c r="I270" s="179">
        <v>0</v>
      </c>
      <c r="J270" s="179">
        <v>0</v>
      </c>
      <c r="K270" s="179">
        <v>4800</v>
      </c>
      <c r="L270" s="179">
        <v>4800</v>
      </c>
      <c r="M270" s="179">
        <v>118200</v>
      </c>
      <c r="N270" s="179">
        <v>87450</v>
      </c>
    </row>
    <row r="271" spans="1:14" s="156" customFormat="1" x14ac:dyDescent="0.25">
      <c r="A271" s="156" t="s">
        <v>545</v>
      </c>
      <c r="B271" s="156" t="s">
        <v>249</v>
      </c>
      <c r="C271" s="156" t="s">
        <v>250</v>
      </c>
      <c r="D271" s="156" t="s">
        <v>541</v>
      </c>
      <c r="E271" s="179">
        <v>571000</v>
      </c>
      <c r="F271" s="179">
        <v>571000</v>
      </c>
      <c r="G271" s="179">
        <v>428250</v>
      </c>
      <c r="H271" s="179">
        <v>0</v>
      </c>
      <c r="I271" s="179">
        <v>137340</v>
      </c>
      <c r="J271" s="179">
        <v>0</v>
      </c>
      <c r="K271" s="179">
        <v>0</v>
      </c>
      <c r="L271" s="179">
        <v>0</v>
      </c>
      <c r="M271" s="179">
        <v>433660</v>
      </c>
      <c r="N271" s="179">
        <v>290910</v>
      </c>
    </row>
    <row r="272" spans="1:14" s="156" customFormat="1" x14ac:dyDescent="0.25">
      <c r="A272" s="156" t="s">
        <v>545</v>
      </c>
      <c r="B272" s="156" t="s">
        <v>251</v>
      </c>
      <c r="C272" s="156" t="s">
        <v>252</v>
      </c>
      <c r="D272" s="156" t="s">
        <v>541</v>
      </c>
      <c r="E272" s="179">
        <v>298129000</v>
      </c>
      <c r="F272" s="179">
        <v>306729000</v>
      </c>
      <c r="G272" s="179">
        <v>239782996</v>
      </c>
      <c r="H272" s="179">
        <v>0</v>
      </c>
      <c r="I272" s="179">
        <v>54240303.07</v>
      </c>
      <c r="J272" s="179">
        <v>0</v>
      </c>
      <c r="K272" s="179">
        <v>107895581.69</v>
      </c>
      <c r="L272" s="179">
        <v>107895581.69</v>
      </c>
      <c r="M272" s="179">
        <v>144593115.24000001</v>
      </c>
      <c r="N272" s="179">
        <v>77647111.239999995</v>
      </c>
    </row>
    <row r="273" spans="1:14" s="156" customFormat="1" x14ac:dyDescent="0.25">
      <c r="A273" s="156" t="s">
        <v>545</v>
      </c>
      <c r="B273" s="156" t="s">
        <v>253</v>
      </c>
      <c r="C273" s="156" t="s">
        <v>254</v>
      </c>
      <c r="D273" s="156" t="s">
        <v>541</v>
      </c>
      <c r="E273" s="179">
        <v>115667000</v>
      </c>
      <c r="F273" s="179">
        <v>115667000</v>
      </c>
      <c r="G273" s="179">
        <v>115667000</v>
      </c>
      <c r="H273" s="179">
        <v>0</v>
      </c>
      <c r="I273" s="179">
        <v>54234921.060000002</v>
      </c>
      <c r="J273" s="179">
        <v>0</v>
      </c>
      <c r="K273" s="179">
        <v>61432078.939999998</v>
      </c>
      <c r="L273" s="179">
        <v>61432078.939999998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344</v>
      </c>
      <c r="C274" s="156" t="s">
        <v>602</v>
      </c>
      <c r="D274" s="156" t="s">
        <v>541</v>
      </c>
      <c r="E274" s="179">
        <v>96260000</v>
      </c>
      <c r="F274" s="179">
        <v>96260000</v>
      </c>
      <c r="G274" s="179">
        <v>96260000</v>
      </c>
      <c r="H274" s="179">
        <v>0</v>
      </c>
      <c r="I274" s="179">
        <v>45135316.869999997</v>
      </c>
      <c r="J274" s="179">
        <v>0</v>
      </c>
      <c r="K274" s="179">
        <v>51124683.130000003</v>
      </c>
      <c r="L274" s="179">
        <v>51124683.130000003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345</v>
      </c>
      <c r="C275" s="156" t="s">
        <v>603</v>
      </c>
      <c r="D275" s="156" t="s">
        <v>541</v>
      </c>
      <c r="E275" s="179">
        <v>19407000</v>
      </c>
      <c r="F275" s="179">
        <v>19407000</v>
      </c>
      <c r="G275" s="179">
        <v>19407000</v>
      </c>
      <c r="H275" s="179">
        <v>0</v>
      </c>
      <c r="I275" s="179">
        <v>9099604.1899999995</v>
      </c>
      <c r="J275" s="179">
        <v>0</v>
      </c>
      <c r="K275" s="179">
        <v>10307395.810000001</v>
      </c>
      <c r="L275" s="179">
        <v>10307395.810000001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261</v>
      </c>
      <c r="C276" s="156" t="s">
        <v>262</v>
      </c>
      <c r="D276" s="156" t="s">
        <v>541</v>
      </c>
      <c r="E276" s="179">
        <v>179462000</v>
      </c>
      <c r="F276" s="179">
        <v>179462000</v>
      </c>
      <c r="G276" s="179">
        <v>112515996</v>
      </c>
      <c r="H276" s="179">
        <v>0</v>
      </c>
      <c r="I276" s="179">
        <v>5382.01</v>
      </c>
      <c r="J276" s="179">
        <v>0</v>
      </c>
      <c r="K276" s="179">
        <v>35074039.490000002</v>
      </c>
      <c r="L276" s="179">
        <v>35074039.490000002</v>
      </c>
      <c r="M276" s="179">
        <v>144382578.5</v>
      </c>
      <c r="N276" s="179">
        <v>77436574.5</v>
      </c>
    </row>
    <row r="277" spans="1:14" s="156" customFormat="1" x14ac:dyDescent="0.25">
      <c r="A277" s="156" t="s">
        <v>545</v>
      </c>
      <c r="B277" s="156" t="s">
        <v>263</v>
      </c>
      <c r="C277" s="156" t="s">
        <v>264</v>
      </c>
      <c r="D277" s="156" t="s">
        <v>541</v>
      </c>
      <c r="E277" s="179">
        <v>150000000</v>
      </c>
      <c r="F277" s="179">
        <v>150000000</v>
      </c>
      <c r="G277" s="179">
        <v>83053996</v>
      </c>
      <c r="H277" s="179">
        <v>0</v>
      </c>
      <c r="I277" s="179">
        <v>5382.01</v>
      </c>
      <c r="J277" s="179">
        <v>0</v>
      </c>
      <c r="K277" s="179">
        <v>16857945.489999998</v>
      </c>
      <c r="L277" s="179">
        <v>16857945.489999998</v>
      </c>
      <c r="M277" s="179">
        <v>133136672.5</v>
      </c>
      <c r="N277" s="179">
        <v>66190668.5</v>
      </c>
    </row>
    <row r="278" spans="1:14" s="156" customFormat="1" x14ac:dyDescent="0.25">
      <c r="A278" s="156" t="s">
        <v>545</v>
      </c>
      <c r="B278" s="156" t="s">
        <v>265</v>
      </c>
      <c r="C278" s="156" t="s">
        <v>266</v>
      </c>
      <c r="D278" s="156" t="s">
        <v>541</v>
      </c>
      <c r="E278" s="179">
        <v>29462000</v>
      </c>
      <c r="F278" s="179">
        <v>29462000</v>
      </c>
      <c r="G278" s="179">
        <v>29462000</v>
      </c>
      <c r="H278" s="179">
        <v>0</v>
      </c>
      <c r="I278" s="179">
        <v>0</v>
      </c>
      <c r="J278" s="179">
        <v>0</v>
      </c>
      <c r="K278" s="179">
        <v>18216094</v>
      </c>
      <c r="L278" s="179">
        <v>18216094</v>
      </c>
      <c r="M278" s="179">
        <v>11245906</v>
      </c>
      <c r="N278" s="179">
        <v>11245906</v>
      </c>
    </row>
    <row r="279" spans="1:14" s="156" customFormat="1" x14ac:dyDescent="0.25">
      <c r="A279" s="156" t="s">
        <v>545</v>
      </c>
      <c r="B279" s="156" t="s">
        <v>267</v>
      </c>
      <c r="C279" s="156" t="s">
        <v>268</v>
      </c>
      <c r="D279" s="156" t="s">
        <v>541</v>
      </c>
      <c r="E279" s="179">
        <v>3000000</v>
      </c>
      <c r="F279" s="179">
        <v>11600000</v>
      </c>
      <c r="G279" s="179">
        <v>11600000</v>
      </c>
      <c r="H279" s="179">
        <v>0</v>
      </c>
      <c r="I279" s="179">
        <v>0</v>
      </c>
      <c r="J279" s="179">
        <v>0</v>
      </c>
      <c r="K279" s="179">
        <v>11389463.26</v>
      </c>
      <c r="L279" s="179">
        <v>11389463.26</v>
      </c>
      <c r="M279" s="179">
        <v>210536.74</v>
      </c>
      <c r="N279" s="179">
        <v>210536.74</v>
      </c>
    </row>
    <row r="280" spans="1:14" s="156" customFormat="1" x14ac:dyDescent="0.25">
      <c r="A280" s="156" t="s">
        <v>545</v>
      </c>
      <c r="B280" s="156" t="s">
        <v>269</v>
      </c>
      <c r="C280" s="156" t="s">
        <v>270</v>
      </c>
      <c r="D280" s="156" t="s">
        <v>541</v>
      </c>
      <c r="E280" s="179">
        <v>3000000</v>
      </c>
      <c r="F280" s="179">
        <v>11600000</v>
      </c>
      <c r="G280" s="179">
        <v>11600000</v>
      </c>
      <c r="H280" s="179">
        <v>0</v>
      </c>
      <c r="I280" s="179">
        <v>0</v>
      </c>
      <c r="J280" s="179">
        <v>0</v>
      </c>
      <c r="K280" s="179">
        <v>11389463.26</v>
      </c>
      <c r="L280" s="179">
        <v>11389463.26</v>
      </c>
      <c r="M280" s="179">
        <v>210536.74</v>
      </c>
      <c r="N280" s="179">
        <v>210536.74</v>
      </c>
    </row>
    <row r="281" spans="1:14" s="156" customFormat="1" x14ac:dyDescent="0.25">
      <c r="A281" s="156" t="s">
        <v>545</v>
      </c>
      <c r="B281" s="156" t="s">
        <v>279</v>
      </c>
      <c r="C281" s="156" t="s">
        <v>280</v>
      </c>
      <c r="D281" s="156" t="s">
        <v>543</v>
      </c>
      <c r="E281" s="179">
        <v>47031000</v>
      </c>
      <c r="F281" s="179">
        <v>47031000</v>
      </c>
      <c r="G281" s="179">
        <v>47031000</v>
      </c>
      <c r="H281" s="179">
        <v>22483783.66</v>
      </c>
      <c r="I281" s="179">
        <v>0</v>
      </c>
      <c r="J281" s="179">
        <v>0</v>
      </c>
      <c r="K281" s="179">
        <v>22050439.84</v>
      </c>
      <c r="L281" s="179">
        <v>22050439.84</v>
      </c>
      <c r="M281" s="179">
        <v>2496776.5</v>
      </c>
      <c r="N281" s="179">
        <v>2496776.5</v>
      </c>
    </row>
    <row r="282" spans="1:14" s="156" customFormat="1" x14ac:dyDescent="0.25">
      <c r="A282" s="156" t="s">
        <v>545</v>
      </c>
      <c r="B282" s="156" t="s">
        <v>281</v>
      </c>
      <c r="C282" s="156" t="s">
        <v>282</v>
      </c>
      <c r="D282" s="156" t="s">
        <v>543</v>
      </c>
      <c r="E282" s="179">
        <v>25000000</v>
      </c>
      <c r="F282" s="179">
        <v>17047517.809999999</v>
      </c>
      <c r="G282" s="179">
        <v>17047517.809999999</v>
      </c>
      <c r="H282" s="179">
        <v>3030538</v>
      </c>
      <c r="I282" s="179">
        <v>0</v>
      </c>
      <c r="J282" s="179">
        <v>0</v>
      </c>
      <c r="K282" s="179">
        <v>13762283.65</v>
      </c>
      <c r="L282" s="179">
        <v>13762283.65</v>
      </c>
      <c r="M282" s="179">
        <v>254696.16</v>
      </c>
      <c r="N282" s="179">
        <v>254696.16</v>
      </c>
    </row>
    <row r="283" spans="1:14" s="156" customFormat="1" x14ac:dyDescent="0.25">
      <c r="A283" s="156" t="s">
        <v>545</v>
      </c>
      <c r="B283" s="156" t="s">
        <v>398</v>
      </c>
      <c r="C283" s="156" t="s">
        <v>501</v>
      </c>
      <c r="D283" s="156" t="s">
        <v>543</v>
      </c>
      <c r="E283" s="179">
        <v>15000000</v>
      </c>
      <c r="F283" s="179">
        <v>13762284</v>
      </c>
      <c r="G283" s="179">
        <v>13762284</v>
      </c>
      <c r="H283" s="179">
        <v>0</v>
      </c>
      <c r="I283" s="179">
        <v>0</v>
      </c>
      <c r="J283" s="179">
        <v>0</v>
      </c>
      <c r="K283" s="179">
        <v>13762283.65</v>
      </c>
      <c r="L283" s="179">
        <v>13762283.65</v>
      </c>
      <c r="M283" s="179">
        <v>0.35</v>
      </c>
      <c r="N283" s="179">
        <v>0.35</v>
      </c>
    </row>
    <row r="284" spans="1:14" s="156" customFormat="1" x14ac:dyDescent="0.25">
      <c r="A284" s="156" t="s">
        <v>545</v>
      </c>
      <c r="B284" s="156" t="s">
        <v>285</v>
      </c>
      <c r="C284" s="156" t="s">
        <v>286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287</v>
      </c>
      <c r="C285" s="156" t="s">
        <v>288</v>
      </c>
      <c r="D285" s="156" t="s">
        <v>543</v>
      </c>
      <c r="E285" s="179">
        <v>0</v>
      </c>
      <c r="F285" s="179">
        <v>0</v>
      </c>
      <c r="G285" s="179">
        <v>0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289</v>
      </c>
      <c r="C286" s="156" t="s">
        <v>290</v>
      </c>
      <c r="D286" s="156" t="s">
        <v>543</v>
      </c>
      <c r="E286" s="179">
        <v>10000000</v>
      </c>
      <c r="F286" s="179">
        <v>2585233.81</v>
      </c>
      <c r="G286" s="179">
        <v>2585233.81</v>
      </c>
      <c r="H286" s="179">
        <v>2399168</v>
      </c>
      <c r="I286" s="179">
        <v>0</v>
      </c>
      <c r="J286" s="179">
        <v>0</v>
      </c>
      <c r="K286" s="179">
        <v>0</v>
      </c>
      <c r="L286" s="179">
        <v>0</v>
      </c>
      <c r="M286" s="179">
        <v>186065.81</v>
      </c>
      <c r="N286" s="179">
        <v>186065.81</v>
      </c>
    </row>
    <row r="287" spans="1:14" s="156" customFormat="1" x14ac:dyDescent="0.25">
      <c r="A287" s="156" t="s">
        <v>545</v>
      </c>
      <c r="B287" s="156" t="s">
        <v>291</v>
      </c>
      <c r="C287" s="156" t="s">
        <v>292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295</v>
      </c>
      <c r="C288" s="156" t="s">
        <v>296</v>
      </c>
      <c r="D288" s="156" t="s">
        <v>543</v>
      </c>
      <c r="E288" s="179">
        <v>0</v>
      </c>
      <c r="F288" s="179">
        <v>700000</v>
      </c>
      <c r="G288" s="179">
        <v>700000</v>
      </c>
      <c r="H288" s="179">
        <v>631370</v>
      </c>
      <c r="I288" s="179">
        <v>0</v>
      </c>
      <c r="J288" s="179">
        <v>0</v>
      </c>
      <c r="K288" s="179">
        <v>0</v>
      </c>
      <c r="L288" s="179">
        <v>0</v>
      </c>
      <c r="M288" s="179">
        <v>68630</v>
      </c>
      <c r="N288" s="179">
        <v>68630</v>
      </c>
    </row>
    <row r="289" spans="1:14" s="156" customFormat="1" x14ac:dyDescent="0.25">
      <c r="A289" s="156" t="s">
        <v>545</v>
      </c>
      <c r="B289" s="156" t="s">
        <v>297</v>
      </c>
      <c r="C289" s="156" t="s">
        <v>298</v>
      </c>
      <c r="D289" s="156" t="s">
        <v>543</v>
      </c>
      <c r="E289" s="179">
        <v>0</v>
      </c>
      <c r="F289" s="179">
        <v>1350982.19</v>
      </c>
      <c r="G289" s="179">
        <v>1350982.19</v>
      </c>
      <c r="H289" s="179">
        <v>0</v>
      </c>
      <c r="I289" s="179">
        <v>0</v>
      </c>
      <c r="J289" s="179">
        <v>0</v>
      </c>
      <c r="K289" s="179">
        <v>1350982.19</v>
      </c>
      <c r="L289" s="179">
        <v>1350982.19</v>
      </c>
      <c r="M289" s="179">
        <v>0</v>
      </c>
      <c r="N289" s="179">
        <v>0</v>
      </c>
    </row>
    <row r="290" spans="1:14" s="156" customFormat="1" x14ac:dyDescent="0.25">
      <c r="A290" s="156" t="s">
        <v>545</v>
      </c>
      <c r="B290" s="156" t="s">
        <v>299</v>
      </c>
      <c r="C290" s="156" t="s">
        <v>300</v>
      </c>
      <c r="D290" s="156" t="s">
        <v>543</v>
      </c>
      <c r="E290" s="179">
        <v>0</v>
      </c>
      <c r="F290" s="179">
        <v>1350982.19</v>
      </c>
      <c r="G290" s="179">
        <v>1350982.19</v>
      </c>
      <c r="H290" s="179">
        <v>0</v>
      </c>
      <c r="I290" s="179">
        <v>0</v>
      </c>
      <c r="J290" s="179">
        <v>0</v>
      </c>
      <c r="K290" s="179">
        <v>1350982.19</v>
      </c>
      <c r="L290" s="179">
        <v>1350982.19</v>
      </c>
      <c r="M290" s="179">
        <v>0</v>
      </c>
      <c r="N290" s="179">
        <v>0</v>
      </c>
    </row>
    <row r="291" spans="1:14" s="156" customFormat="1" x14ac:dyDescent="0.25">
      <c r="A291" s="156" t="s">
        <v>545</v>
      </c>
      <c r="B291" s="156" t="s">
        <v>340</v>
      </c>
      <c r="C291" s="156" t="s">
        <v>341</v>
      </c>
      <c r="D291" s="156" t="s">
        <v>543</v>
      </c>
      <c r="E291" s="179">
        <v>22031000</v>
      </c>
      <c r="F291" s="179">
        <v>28632500</v>
      </c>
      <c r="G291" s="179">
        <v>28632500</v>
      </c>
      <c r="H291" s="179">
        <v>19453245.66</v>
      </c>
      <c r="I291" s="179">
        <v>0</v>
      </c>
      <c r="J291" s="179">
        <v>0</v>
      </c>
      <c r="K291" s="179">
        <v>6937174</v>
      </c>
      <c r="L291" s="179">
        <v>6937174</v>
      </c>
      <c r="M291" s="179">
        <v>2242080.34</v>
      </c>
      <c r="N291" s="179">
        <v>2242080.34</v>
      </c>
    </row>
    <row r="292" spans="1:14" s="156" customFormat="1" x14ac:dyDescent="0.25">
      <c r="A292" s="156" t="s">
        <v>545</v>
      </c>
      <c r="B292" s="156" t="s">
        <v>342</v>
      </c>
      <c r="C292" s="156" t="s">
        <v>343</v>
      </c>
      <c r="D292" s="156" t="s">
        <v>543</v>
      </c>
      <c r="E292" s="179">
        <v>22031000</v>
      </c>
      <c r="F292" s="179">
        <v>28632500</v>
      </c>
      <c r="G292" s="179">
        <v>28632500</v>
      </c>
      <c r="H292" s="179">
        <v>19453245.66</v>
      </c>
      <c r="I292" s="179">
        <v>0</v>
      </c>
      <c r="J292" s="179">
        <v>0</v>
      </c>
      <c r="K292" s="179">
        <v>6937174</v>
      </c>
      <c r="L292" s="179">
        <v>6937174</v>
      </c>
      <c r="M292" s="179">
        <v>2242080.34</v>
      </c>
      <c r="N292" s="179">
        <v>2242080.34</v>
      </c>
    </row>
    <row r="293" spans="1:14" s="156" customFormat="1" x14ac:dyDescent="0.25">
      <c r="A293" s="156">
        <v>214783</v>
      </c>
      <c r="B293" s="156" t="s">
        <v>587</v>
      </c>
      <c r="C293" s="156" t="s">
        <v>587</v>
      </c>
      <c r="D293" s="156" t="s">
        <v>541</v>
      </c>
      <c r="E293" s="179">
        <v>106163237755</v>
      </c>
      <c r="F293" s="179">
        <v>112163237755</v>
      </c>
      <c r="G293" s="179">
        <v>104411102686.89999</v>
      </c>
      <c r="H293" s="179">
        <v>199961198.59999999</v>
      </c>
      <c r="I293" s="179">
        <v>17567914897.830002</v>
      </c>
      <c r="J293" s="179">
        <v>320483196.42000002</v>
      </c>
      <c r="K293" s="182">
        <v>49897536213.580002</v>
      </c>
      <c r="L293" s="179">
        <v>49395435868.010002</v>
      </c>
      <c r="M293" s="179">
        <v>44177342248.57</v>
      </c>
      <c r="N293" s="179">
        <v>36425207180.470001</v>
      </c>
    </row>
    <row r="294" spans="1:14" s="156" customFormat="1" x14ac:dyDescent="0.25">
      <c r="A294" s="156" t="s">
        <v>546</v>
      </c>
      <c r="B294" s="156" t="s">
        <v>92</v>
      </c>
      <c r="C294" s="156" t="s">
        <v>93</v>
      </c>
      <c r="D294" s="156" t="s">
        <v>541</v>
      </c>
      <c r="E294" s="179">
        <v>69224041000</v>
      </c>
      <c r="F294" s="179">
        <v>69224041000</v>
      </c>
      <c r="G294" s="179">
        <v>69224041000</v>
      </c>
      <c r="H294" s="179">
        <v>0</v>
      </c>
      <c r="I294" s="179">
        <v>4450549652.5</v>
      </c>
      <c r="J294" s="179">
        <v>0</v>
      </c>
      <c r="K294" s="179">
        <v>35576957849.019997</v>
      </c>
      <c r="L294" s="179">
        <v>35576957849.019997</v>
      </c>
      <c r="M294" s="179">
        <v>29196533498.48</v>
      </c>
      <c r="N294" s="179">
        <v>29196533498.48</v>
      </c>
    </row>
    <row r="295" spans="1:14" s="156" customFormat="1" x14ac:dyDescent="0.25">
      <c r="A295" s="156" t="s">
        <v>546</v>
      </c>
      <c r="B295" s="156" t="s">
        <v>94</v>
      </c>
      <c r="C295" s="156" t="s">
        <v>95</v>
      </c>
      <c r="D295" s="156" t="s">
        <v>541</v>
      </c>
      <c r="E295" s="179">
        <v>25618223000</v>
      </c>
      <c r="F295" s="179">
        <v>25618223000</v>
      </c>
      <c r="G295" s="179">
        <v>25618223000</v>
      </c>
      <c r="H295" s="179">
        <v>0</v>
      </c>
      <c r="I295" s="179">
        <v>160325</v>
      </c>
      <c r="J295" s="179">
        <v>0</v>
      </c>
      <c r="K295" s="179">
        <v>12880027566.940001</v>
      </c>
      <c r="L295" s="179">
        <v>12880027566.940001</v>
      </c>
      <c r="M295" s="179">
        <v>12738035108.059999</v>
      </c>
      <c r="N295" s="179">
        <v>12738035108.059999</v>
      </c>
    </row>
    <row r="296" spans="1:14" s="156" customFormat="1" x14ac:dyDescent="0.25">
      <c r="A296" s="156" t="s">
        <v>546</v>
      </c>
      <c r="B296" s="156" t="s">
        <v>96</v>
      </c>
      <c r="C296" s="156" t="s">
        <v>97</v>
      </c>
      <c r="D296" s="156" t="s">
        <v>541</v>
      </c>
      <c r="E296" s="179">
        <v>25601107000</v>
      </c>
      <c r="F296" s="179">
        <v>25601107000</v>
      </c>
      <c r="G296" s="179">
        <v>25601107000</v>
      </c>
      <c r="H296" s="179">
        <v>0</v>
      </c>
      <c r="I296" s="179">
        <v>160325</v>
      </c>
      <c r="J296" s="179">
        <v>0</v>
      </c>
      <c r="K296" s="179">
        <v>12864755766.940001</v>
      </c>
      <c r="L296" s="179">
        <v>12864755766.940001</v>
      </c>
      <c r="M296" s="179">
        <v>12736190908.059999</v>
      </c>
      <c r="N296" s="179">
        <v>12736190908.059999</v>
      </c>
    </row>
    <row r="297" spans="1:14" s="156" customFormat="1" x14ac:dyDescent="0.25">
      <c r="A297" s="156" t="s">
        <v>546</v>
      </c>
      <c r="B297" s="156" t="s">
        <v>346</v>
      </c>
      <c r="C297" s="156" t="s">
        <v>347</v>
      </c>
      <c r="D297" s="156" t="s">
        <v>541</v>
      </c>
      <c r="E297" s="179">
        <v>17116000</v>
      </c>
      <c r="F297" s="179">
        <v>17116000</v>
      </c>
      <c r="G297" s="179">
        <v>17116000</v>
      </c>
      <c r="H297" s="179">
        <v>0</v>
      </c>
      <c r="I297" s="179">
        <v>0</v>
      </c>
      <c r="J297" s="179">
        <v>0</v>
      </c>
      <c r="K297" s="179">
        <v>15271800</v>
      </c>
      <c r="L297" s="179">
        <v>15271800</v>
      </c>
      <c r="M297" s="179">
        <v>1844200</v>
      </c>
      <c r="N297" s="179">
        <v>1844200</v>
      </c>
    </row>
    <row r="298" spans="1:14" s="156" customFormat="1" x14ac:dyDescent="0.25">
      <c r="A298" s="156" t="s">
        <v>546</v>
      </c>
      <c r="B298" s="156" t="s">
        <v>98</v>
      </c>
      <c r="C298" s="156" t="s">
        <v>99</v>
      </c>
      <c r="D298" s="156" t="s">
        <v>541</v>
      </c>
      <c r="E298" s="179">
        <v>3406791000</v>
      </c>
      <c r="F298" s="179">
        <v>3606791000</v>
      </c>
      <c r="G298" s="179">
        <v>3606791000</v>
      </c>
      <c r="H298" s="179">
        <v>0</v>
      </c>
      <c r="I298" s="179">
        <v>40081.25</v>
      </c>
      <c r="J298" s="179">
        <v>0</v>
      </c>
      <c r="K298" s="179">
        <v>1956729228.4200001</v>
      </c>
      <c r="L298" s="179">
        <v>1956729228.4200001</v>
      </c>
      <c r="M298" s="179">
        <v>1650021690.3299999</v>
      </c>
      <c r="N298" s="179">
        <v>1650021690.3299999</v>
      </c>
    </row>
    <row r="299" spans="1:14" s="156" customFormat="1" x14ac:dyDescent="0.25">
      <c r="A299" s="156" t="s">
        <v>546</v>
      </c>
      <c r="B299" s="156" t="s">
        <v>100</v>
      </c>
      <c r="C299" s="156" t="s">
        <v>101</v>
      </c>
      <c r="D299" s="156" t="s">
        <v>541</v>
      </c>
      <c r="E299" s="179">
        <v>8000000</v>
      </c>
      <c r="F299" s="179">
        <v>8000000</v>
      </c>
      <c r="G299" s="179">
        <v>8000000</v>
      </c>
      <c r="H299" s="179">
        <v>0</v>
      </c>
      <c r="I299" s="179">
        <v>0</v>
      </c>
      <c r="J299" s="179">
        <v>0</v>
      </c>
      <c r="K299" s="179">
        <v>3008346.56</v>
      </c>
      <c r="L299" s="179">
        <v>3008346.56</v>
      </c>
      <c r="M299" s="179">
        <v>4991653.4400000004</v>
      </c>
      <c r="N299" s="179">
        <v>4991653.4400000004</v>
      </c>
    </row>
    <row r="300" spans="1:14" s="156" customFormat="1" x14ac:dyDescent="0.25">
      <c r="A300" s="156" t="s">
        <v>546</v>
      </c>
      <c r="B300" s="156" t="s">
        <v>348</v>
      </c>
      <c r="C300" s="156" t="s">
        <v>349</v>
      </c>
      <c r="D300" s="156" t="s">
        <v>541</v>
      </c>
      <c r="E300" s="179">
        <v>24994000</v>
      </c>
      <c r="F300" s="179">
        <v>24994000</v>
      </c>
      <c r="G300" s="179">
        <v>24994000</v>
      </c>
      <c r="H300" s="179">
        <v>0</v>
      </c>
      <c r="I300" s="179">
        <v>0</v>
      </c>
      <c r="J300" s="179">
        <v>0</v>
      </c>
      <c r="K300" s="179">
        <v>3451575</v>
      </c>
      <c r="L300" s="179">
        <v>3451575</v>
      </c>
      <c r="M300" s="179">
        <v>21542425</v>
      </c>
      <c r="N300" s="179">
        <v>21542425</v>
      </c>
    </row>
    <row r="301" spans="1:14" s="156" customFormat="1" x14ac:dyDescent="0.25">
      <c r="A301" s="156" t="s">
        <v>546</v>
      </c>
      <c r="B301" s="156" t="s">
        <v>350</v>
      </c>
      <c r="C301" s="156" t="s">
        <v>351</v>
      </c>
      <c r="D301" s="156" t="s">
        <v>541</v>
      </c>
      <c r="E301" s="179">
        <v>3373797000</v>
      </c>
      <c r="F301" s="179">
        <v>3573797000</v>
      </c>
      <c r="G301" s="179">
        <v>3573797000</v>
      </c>
      <c r="H301" s="179">
        <v>0</v>
      </c>
      <c r="I301" s="179">
        <v>40081.25</v>
      </c>
      <c r="J301" s="179">
        <v>0</v>
      </c>
      <c r="K301" s="179">
        <v>1950269306.8599999</v>
      </c>
      <c r="L301" s="179">
        <v>1950269306.8599999</v>
      </c>
      <c r="M301" s="179">
        <v>1623487611.8900001</v>
      </c>
      <c r="N301" s="179">
        <v>1623487611.8900001</v>
      </c>
    </row>
    <row r="302" spans="1:14" s="156" customFormat="1" x14ac:dyDescent="0.25">
      <c r="A302" s="156" t="s">
        <v>546</v>
      </c>
      <c r="B302" s="156" t="s">
        <v>102</v>
      </c>
      <c r="C302" s="156" t="s">
        <v>103</v>
      </c>
      <c r="D302" s="156" t="s">
        <v>541</v>
      </c>
      <c r="E302" s="179">
        <v>29694590000</v>
      </c>
      <c r="F302" s="179">
        <v>29494590000</v>
      </c>
      <c r="G302" s="179">
        <v>29494590000</v>
      </c>
      <c r="H302" s="179">
        <v>0</v>
      </c>
      <c r="I302" s="179">
        <v>118113.25</v>
      </c>
      <c r="J302" s="179">
        <v>0</v>
      </c>
      <c r="K302" s="179">
        <v>14685995186.66</v>
      </c>
      <c r="L302" s="179">
        <v>14685995186.66</v>
      </c>
      <c r="M302" s="179">
        <v>14808476700.09</v>
      </c>
      <c r="N302" s="179">
        <v>14808476700.09</v>
      </c>
    </row>
    <row r="303" spans="1:14" s="156" customFormat="1" x14ac:dyDescent="0.25">
      <c r="A303" s="156" t="s">
        <v>546</v>
      </c>
      <c r="B303" s="156" t="s">
        <v>104</v>
      </c>
      <c r="C303" s="156" t="s">
        <v>105</v>
      </c>
      <c r="D303" s="156" t="s">
        <v>541</v>
      </c>
      <c r="E303" s="179">
        <v>9856906000</v>
      </c>
      <c r="F303" s="179">
        <v>9656906000</v>
      </c>
      <c r="G303" s="179">
        <v>9656906000</v>
      </c>
      <c r="H303" s="179">
        <v>0</v>
      </c>
      <c r="I303" s="179">
        <v>49881.5</v>
      </c>
      <c r="J303" s="179">
        <v>0</v>
      </c>
      <c r="K303" s="179">
        <v>5016673585.4499998</v>
      </c>
      <c r="L303" s="179">
        <v>5016673585.4499998</v>
      </c>
      <c r="M303" s="179">
        <v>4640182533.0500002</v>
      </c>
      <c r="N303" s="179">
        <v>4640182533.0500002</v>
      </c>
    </row>
    <row r="304" spans="1:14" s="156" customFormat="1" x14ac:dyDescent="0.25">
      <c r="A304" s="156" t="s">
        <v>546</v>
      </c>
      <c r="B304" s="156" t="s">
        <v>106</v>
      </c>
      <c r="C304" s="156" t="s">
        <v>107</v>
      </c>
      <c r="D304" s="156" t="s">
        <v>541</v>
      </c>
      <c r="E304" s="179">
        <v>3637068000</v>
      </c>
      <c r="F304" s="179">
        <v>3637068000</v>
      </c>
      <c r="G304" s="179">
        <v>3637068000</v>
      </c>
      <c r="H304" s="179">
        <v>0</v>
      </c>
      <c r="I304" s="179">
        <v>0</v>
      </c>
      <c r="J304" s="179">
        <v>0</v>
      </c>
      <c r="K304" s="179">
        <v>1754512925.1099999</v>
      </c>
      <c r="L304" s="179">
        <v>1754512925.1099999</v>
      </c>
      <c r="M304" s="179">
        <v>1882555074.8900001</v>
      </c>
      <c r="N304" s="179">
        <v>1882555074.8900001</v>
      </c>
    </row>
    <row r="305" spans="1:14" s="156" customFormat="1" x14ac:dyDescent="0.25">
      <c r="A305" s="156" t="s">
        <v>546</v>
      </c>
      <c r="B305" s="156" t="s">
        <v>108</v>
      </c>
      <c r="C305" s="156" t="s">
        <v>109</v>
      </c>
      <c r="D305" s="156" t="s">
        <v>541</v>
      </c>
      <c r="E305" s="179">
        <v>3859929000</v>
      </c>
      <c r="F305" s="179">
        <v>3859929000</v>
      </c>
      <c r="G305" s="179">
        <v>3859929000</v>
      </c>
      <c r="H305" s="179">
        <v>0</v>
      </c>
      <c r="I305" s="179">
        <v>0</v>
      </c>
      <c r="J305" s="179">
        <v>0</v>
      </c>
      <c r="K305" s="179">
        <v>3840961894.8699999</v>
      </c>
      <c r="L305" s="179">
        <v>3840961894.8699999</v>
      </c>
      <c r="M305" s="179">
        <v>18967105.129999999</v>
      </c>
      <c r="N305" s="179">
        <v>18967105.129999999</v>
      </c>
    </row>
    <row r="306" spans="1:14" s="156" customFormat="1" x14ac:dyDescent="0.25">
      <c r="A306" s="156" t="s">
        <v>546</v>
      </c>
      <c r="B306" s="156" t="s">
        <v>110</v>
      </c>
      <c r="C306" s="156" t="s">
        <v>111</v>
      </c>
      <c r="D306" s="156" t="s">
        <v>541</v>
      </c>
      <c r="E306" s="179">
        <v>7961754000</v>
      </c>
      <c r="F306" s="179">
        <v>7961754000</v>
      </c>
      <c r="G306" s="179">
        <v>7961754000</v>
      </c>
      <c r="H306" s="179">
        <v>0</v>
      </c>
      <c r="I306" s="179">
        <v>68231.75</v>
      </c>
      <c r="J306" s="179">
        <v>0</v>
      </c>
      <c r="K306" s="179">
        <v>4068017024.8499999</v>
      </c>
      <c r="L306" s="179">
        <v>4068017024.8499999</v>
      </c>
      <c r="M306" s="179">
        <v>3893668743.4000001</v>
      </c>
      <c r="N306" s="179">
        <v>3893668743.4000001</v>
      </c>
    </row>
    <row r="307" spans="1:14" s="156" customFormat="1" x14ac:dyDescent="0.25">
      <c r="A307" s="156" t="s">
        <v>546</v>
      </c>
      <c r="B307" s="156" t="s">
        <v>112</v>
      </c>
      <c r="C307" s="156" t="s">
        <v>113</v>
      </c>
      <c r="D307" s="156" t="s">
        <v>543</v>
      </c>
      <c r="E307" s="179">
        <v>4378933000</v>
      </c>
      <c r="F307" s="179">
        <v>4378933000</v>
      </c>
      <c r="G307" s="179">
        <v>4378933000</v>
      </c>
      <c r="H307" s="179">
        <v>0</v>
      </c>
      <c r="I307" s="179">
        <v>0</v>
      </c>
      <c r="J307" s="179">
        <v>0</v>
      </c>
      <c r="K307" s="179">
        <v>5829756.3799999999</v>
      </c>
      <c r="L307" s="179">
        <v>5829756.3799999999</v>
      </c>
      <c r="M307" s="179">
        <v>4373103243.6199999</v>
      </c>
      <c r="N307" s="179">
        <v>4373103243.6199999</v>
      </c>
    </row>
    <row r="308" spans="1:14" s="156" customFormat="1" x14ac:dyDescent="0.25">
      <c r="A308" s="156" t="s">
        <v>546</v>
      </c>
      <c r="B308" s="156" t="s">
        <v>114</v>
      </c>
      <c r="C308" s="156" t="s">
        <v>115</v>
      </c>
      <c r="D308" s="156" t="s">
        <v>541</v>
      </c>
      <c r="E308" s="179">
        <v>5298410000</v>
      </c>
      <c r="F308" s="179">
        <v>5298410000</v>
      </c>
      <c r="G308" s="179">
        <v>5298410000</v>
      </c>
      <c r="H308" s="179">
        <v>0</v>
      </c>
      <c r="I308" s="179">
        <v>2243984262</v>
      </c>
      <c r="J308" s="179">
        <v>0</v>
      </c>
      <c r="K308" s="179">
        <v>3054425738</v>
      </c>
      <c r="L308" s="179">
        <v>3054425738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352</v>
      </c>
      <c r="C309" s="156" t="s">
        <v>597</v>
      </c>
      <c r="D309" s="156" t="s">
        <v>541</v>
      </c>
      <c r="E309" s="179">
        <v>5026697000</v>
      </c>
      <c r="F309" s="179">
        <v>5026697000</v>
      </c>
      <c r="G309" s="179">
        <v>5026697000</v>
      </c>
      <c r="H309" s="179">
        <v>0</v>
      </c>
      <c r="I309" s="179">
        <v>2128878352</v>
      </c>
      <c r="J309" s="179">
        <v>0</v>
      </c>
      <c r="K309" s="179">
        <v>2897818648</v>
      </c>
      <c r="L309" s="179">
        <v>2897818648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353</v>
      </c>
      <c r="C310" s="156" t="s">
        <v>583</v>
      </c>
      <c r="D310" s="156" t="s">
        <v>541</v>
      </c>
      <c r="E310" s="179">
        <v>271713000</v>
      </c>
      <c r="F310" s="179">
        <v>271713000</v>
      </c>
      <c r="G310" s="179">
        <v>271713000</v>
      </c>
      <c r="H310" s="179">
        <v>0</v>
      </c>
      <c r="I310" s="179">
        <v>115105910</v>
      </c>
      <c r="J310" s="179">
        <v>0</v>
      </c>
      <c r="K310" s="179">
        <v>156607090</v>
      </c>
      <c r="L310" s="179">
        <v>156607090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118</v>
      </c>
      <c r="C311" s="156" t="s">
        <v>119</v>
      </c>
      <c r="D311" s="156" t="s">
        <v>541</v>
      </c>
      <c r="E311" s="179">
        <v>5206027000</v>
      </c>
      <c r="F311" s="179">
        <v>5206027000</v>
      </c>
      <c r="G311" s="179">
        <v>5206027000</v>
      </c>
      <c r="H311" s="179">
        <v>0</v>
      </c>
      <c r="I311" s="179">
        <v>2206246871</v>
      </c>
      <c r="J311" s="179">
        <v>0</v>
      </c>
      <c r="K311" s="179">
        <v>2999780129</v>
      </c>
      <c r="L311" s="179">
        <v>2999780129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354</v>
      </c>
      <c r="C312" s="156" t="s">
        <v>598</v>
      </c>
      <c r="D312" s="156" t="s">
        <v>541</v>
      </c>
      <c r="E312" s="179">
        <v>2760607000</v>
      </c>
      <c r="F312" s="179">
        <v>2760607000</v>
      </c>
      <c r="G312" s="179">
        <v>2760607000</v>
      </c>
      <c r="H312" s="179">
        <v>0</v>
      </c>
      <c r="I312" s="179">
        <v>1170293920</v>
      </c>
      <c r="J312" s="179">
        <v>0</v>
      </c>
      <c r="K312" s="179">
        <v>1590313080</v>
      </c>
      <c r="L312" s="179">
        <v>1590313080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355</v>
      </c>
      <c r="C313" s="156" t="s">
        <v>599</v>
      </c>
      <c r="D313" s="156" t="s">
        <v>541</v>
      </c>
      <c r="E313" s="179">
        <v>815140000</v>
      </c>
      <c r="F313" s="179">
        <v>815140000</v>
      </c>
      <c r="G313" s="179">
        <v>815140000</v>
      </c>
      <c r="H313" s="179">
        <v>0</v>
      </c>
      <c r="I313" s="179">
        <v>345317095</v>
      </c>
      <c r="J313" s="179">
        <v>0</v>
      </c>
      <c r="K313" s="179">
        <v>469822905</v>
      </c>
      <c r="L313" s="179">
        <v>469822905</v>
      </c>
      <c r="M313" s="179">
        <v>0</v>
      </c>
      <c r="N313" s="179">
        <v>0</v>
      </c>
    </row>
    <row r="314" spans="1:14" s="156" customFormat="1" x14ac:dyDescent="0.25">
      <c r="A314" s="156" t="s">
        <v>546</v>
      </c>
      <c r="B314" s="156" t="s">
        <v>356</v>
      </c>
      <c r="C314" s="156" t="s">
        <v>600</v>
      </c>
      <c r="D314" s="156" t="s">
        <v>541</v>
      </c>
      <c r="E314" s="179">
        <v>1630280000</v>
      </c>
      <c r="F314" s="179">
        <v>1630280000</v>
      </c>
      <c r="G314" s="179">
        <v>1630280000</v>
      </c>
      <c r="H314" s="179">
        <v>0</v>
      </c>
      <c r="I314" s="179">
        <v>690635856</v>
      </c>
      <c r="J314" s="179">
        <v>0</v>
      </c>
      <c r="K314" s="179">
        <v>939644144</v>
      </c>
      <c r="L314" s="179">
        <v>939644144</v>
      </c>
      <c r="M314" s="179">
        <v>0</v>
      </c>
      <c r="N314" s="179">
        <v>0</v>
      </c>
    </row>
    <row r="315" spans="1:14" s="156" customFormat="1" x14ac:dyDescent="0.25">
      <c r="A315" s="156" t="s">
        <v>546</v>
      </c>
      <c r="B315" s="156" t="s">
        <v>123</v>
      </c>
      <c r="C315" s="156" t="s">
        <v>124</v>
      </c>
      <c r="D315" s="156" t="s">
        <v>541</v>
      </c>
      <c r="E315" s="179">
        <v>9869454182</v>
      </c>
      <c r="F315" s="179">
        <v>13869454182</v>
      </c>
      <c r="G315" s="179">
        <v>11094656639.4</v>
      </c>
      <c r="H315" s="179">
        <v>2791950</v>
      </c>
      <c r="I315" s="179">
        <v>1391175754.2</v>
      </c>
      <c r="J315" s="179">
        <v>25830841.32</v>
      </c>
      <c r="K315" s="179">
        <v>6038617876.21</v>
      </c>
      <c r="L315" s="179">
        <v>5900284463.04</v>
      </c>
      <c r="M315" s="179">
        <v>6411037760.2700005</v>
      </c>
      <c r="N315" s="179">
        <v>3636240217.6700001</v>
      </c>
    </row>
    <row r="316" spans="1:14" s="156" customFormat="1" x14ac:dyDescent="0.25">
      <c r="A316" s="156" t="s">
        <v>546</v>
      </c>
      <c r="B316" s="156" t="s">
        <v>125</v>
      </c>
      <c r="C316" s="156" t="s">
        <v>126</v>
      </c>
      <c r="D316" s="156" t="s">
        <v>541</v>
      </c>
      <c r="E316" s="179">
        <v>3181468559</v>
      </c>
      <c r="F316" s="179">
        <v>7181468559</v>
      </c>
      <c r="G316" s="179">
        <v>6353943668.8999996</v>
      </c>
      <c r="H316" s="179">
        <v>0</v>
      </c>
      <c r="I316" s="179">
        <v>230587310.80000001</v>
      </c>
      <c r="J316" s="179">
        <v>0</v>
      </c>
      <c r="K316" s="179">
        <v>3115938792.4099998</v>
      </c>
      <c r="L316" s="179">
        <v>3044613257.6500001</v>
      </c>
      <c r="M316" s="179">
        <v>3834942455.79</v>
      </c>
      <c r="N316" s="179">
        <v>3007417565.6900001</v>
      </c>
    </row>
    <row r="317" spans="1:14" s="156" customFormat="1" x14ac:dyDescent="0.25">
      <c r="A317" s="156" t="s">
        <v>546</v>
      </c>
      <c r="B317" s="156" t="s">
        <v>306</v>
      </c>
      <c r="C317" s="156" t="s">
        <v>307</v>
      </c>
      <c r="D317" s="156" t="s">
        <v>541</v>
      </c>
      <c r="E317" s="179">
        <v>431740903</v>
      </c>
      <c r="F317" s="179">
        <v>431740903</v>
      </c>
      <c r="G317" s="179">
        <v>315870451.80000001</v>
      </c>
      <c r="H317" s="179">
        <v>0</v>
      </c>
      <c r="I317" s="179">
        <v>3693568</v>
      </c>
      <c r="J317" s="179">
        <v>0</v>
      </c>
      <c r="K317" s="179">
        <v>211948722.06999999</v>
      </c>
      <c r="L317" s="179">
        <v>211416718.09</v>
      </c>
      <c r="M317" s="179">
        <v>216098612.93000001</v>
      </c>
      <c r="N317" s="179">
        <v>100228161.73</v>
      </c>
    </row>
    <row r="318" spans="1:14" s="156" customFormat="1" x14ac:dyDescent="0.25">
      <c r="A318" s="156" t="s">
        <v>546</v>
      </c>
      <c r="B318" s="156" t="s">
        <v>127</v>
      </c>
      <c r="C318" s="156" t="s">
        <v>128</v>
      </c>
      <c r="D318" s="156" t="s">
        <v>541</v>
      </c>
      <c r="E318" s="179">
        <v>719138329</v>
      </c>
      <c r="F318" s="179">
        <v>719138329</v>
      </c>
      <c r="G318" s="179">
        <v>719138328.29999995</v>
      </c>
      <c r="H318" s="179">
        <v>0</v>
      </c>
      <c r="I318" s="179">
        <v>113697658.94</v>
      </c>
      <c r="J318" s="179">
        <v>0</v>
      </c>
      <c r="K318" s="179">
        <v>307295286.08999997</v>
      </c>
      <c r="L318" s="179">
        <v>272164144.31</v>
      </c>
      <c r="M318" s="179">
        <v>298145383.97000003</v>
      </c>
      <c r="N318" s="179">
        <v>298145383.26999998</v>
      </c>
    </row>
    <row r="319" spans="1:14" s="156" customFormat="1" x14ac:dyDescent="0.25">
      <c r="A319" s="156" t="s">
        <v>546</v>
      </c>
      <c r="B319" s="156" t="s">
        <v>322</v>
      </c>
      <c r="C319" s="156" t="s">
        <v>323</v>
      </c>
      <c r="D319" s="156" t="s">
        <v>541</v>
      </c>
      <c r="E319" s="179">
        <v>23472000</v>
      </c>
      <c r="F319" s="179">
        <v>23472000</v>
      </c>
      <c r="G319" s="179">
        <v>23472000</v>
      </c>
      <c r="H319" s="179">
        <v>0</v>
      </c>
      <c r="I319" s="179">
        <v>3475687.79</v>
      </c>
      <c r="J319" s="179">
        <v>0</v>
      </c>
      <c r="K319" s="179">
        <v>5006080.67</v>
      </c>
      <c r="L319" s="179">
        <v>5006080.67</v>
      </c>
      <c r="M319" s="179">
        <v>14990231.539999999</v>
      </c>
      <c r="N319" s="179">
        <v>14990231.539999999</v>
      </c>
    </row>
    <row r="320" spans="1:14" s="156" customFormat="1" x14ac:dyDescent="0.25">
      <c r="A320" s="156" t="s">
        <v>546</v>
      </c>
      <c r="B320" s="156" t="s">
        <v>129</v>
      </c>
      <c r="C320" s="156" t="s">
        <v>130</v>
      </c>
      <c r="D320" s="156" t="s">
        <v>541</v>
      </c>
      <c r="E320" s="179">
        <v>2007117327</v>
      </c>
      <c r="F320" s="179">
        <v>2007117327</v>
      </c>
      <c r="G320" s="179">
        <v>1295462888.8</v>
      </c>
      <c r="H320" s="179">
        <v>0</v>
      </c>
      <c r="I320" s="179">
        <v>109720396.06999999</v>
      </c>
      <c r="J320" s="179">
        <v>0</v>
      </c>
      <c r="K320" s="179">
        <v>387628758.57999998</v>
      </c>
      <c r="L320" s="179">
        <v>351966369.57999998</v>
      </c>
      <c r="M320" s="179">
        <v>1509768172.3499999</v>
      </c>
      <c r="N320" s="179">
        <v>798113734.14999998</v>
      </c>
    </row>
    <row r="321" spans="1:14" s="156" customFormat="1" x14ac:dyDescent="0.25">
      <c r="A321" s="156" t="s">
        <v>546</v>
      </c>
      <c r="B321" s="156" t="s">
        <v>129</v>
      </c>
      <c r="C321" s="156" t="s">
        <v>130</v>
      </c>
      <c r="D321" s="156" t="s">
        <v>543</v>
      </c>
      <c r="E321" s="179">
        <v>0</v>
      </c>
      <c r="F321" s="179">
        <v>4000000000</v>
      </c>
      <c r="G321" s="179">
        <v>4000000000</v>
      </c>
      <c r="H321" s="179">
        <v>0</v>
      </c>
      <c r="I321" s="179">
        <v>0</v>
      </c>
      <c r="J321" s="179">
        <v>0</v>
      </c>
      <c r="K321" s="179">
        <v>2204059945</v>
      </c>
      <c r="L321" s="179">
        <v>2204059945</v>
      </c>
      <c r="M321" s="179">
        <v>1795940055</v>
      </c>
      <c r="N321" s="179">
        <v>1795940055</v>
      </c>
    </row>
    <row r="322" spans="1:14" s="156" customFormat="1" x14ac:dyDescent="0.25">
      <c r="A322" s="156" t="s">
        <v>546</v>
      </c>
      <c r="B322" s="156" t="s">
        <v>131</v>
      </c>
      <c r="C322" s="156" t="s">
        <v>132</v>
      </c>
      <c r="D322" s="156" t="s">
        <v>541</v>
      </c>
      <c r="E322" s="179">
        <v>4328674526</v>
      </c>
      <c r="F322" s="179">
        <v>4329984526</v>
      </c>
      <c r="G322" s="179">
        <v>3546829232.5</v>
      </c>
      <c r="H322" s="179">
        <v>0</v>
      </c>
      <c r="I322" s="179">
        <v>854090196.66999996</v>
      </c>
      <c r="J322" s="179">
        <v>0</v>
      </c>
      <c r="K322" s="179">
        <v>2523956764.8299999</v>
      </c>
      <c r="L322" s="179">
        <v>2471818474.8299999</v>
      </c>
      <c r="M322" s="179">
        <v>951937564.5</v>
      </c>
      <c r="N322" s="179">
        <v>168782271</v>
      </c>
    </row>
    <row r="323" spans="1:14" s="156" customFormat="1" x14ac:dyDescent="0.25">
      <c r="A323" s="156" t="s">
        <v>546</v>
      </c>
      <c r="B323" s="156" t="s">
        <v>133</v>
      </c>
      <c r="C323" s="156" t="s">
        <v>134</v>
      </c>
      <c r="D323" s="156" t="s">
        <v>541</v>
      </c>
      <c r="E323" s="179">
        <v>2503011786</v>
      </c>
      <c r="F323" s="179">
        <v>2503011786</v>
      </c>
      <c r="G323" s="179">
        <v>2117921646.5</v>
      </c>
      <c r="H323" s="179">
        <v>0</v>
      </c>
      <c r="I323" s="179">
        <v>712646464.5</v>
      </c>
      <c r="J323" s="179">
        <v>0</v>
      </c>
      <c r="K323" s="179">
        <v>1405062859</v>
      </c>
      <c r="L323" s="179">
        <v>1404915014</v>
      </c>
      <c r="M323" s="179">
        <v>385302462.5</v>
      </c>
      <c r="N323" s="179">
        <v>212323</v>
      </c>
    </row>
    <row r="324" spans="1:14" s="156" customFormat="1" x14ac:dyDescent="0.25">
      <c r="A324" s="156" t="s">
        <v>546</v>
      </c>
      <c r="B324" s="156" t="s">
        <v>135</v>
      </c>
      <c r="C324" s="156" t="s">
        <v>136</v>
      </c>
      <c r="D324" s="156" t="s">
        <v>541</v>
      </c>
      <c r="E324" s="179">
        <v>973642474</v>
      </c>
      <c r="F324" s="179">
        <v>973642474</v>
      </c>
      <c r="G324" s="179">
        <v>763884570.5</v>
      </c>
      <c r="H324" s="179">
        <v>0</v>
      </c>
      <c r="I324" s="179">
        <v>18999955.440000001</v>
      </c>
      <c r="J324" s="179">
        <v>0</v>
      </c>
      <c r="K324" s="179">
        <v>744458235.05999994</v>
      </c>
      <c r="L324" s="179">
        <v>695056110.05999994</v>
      </c>
      <c r="M324" s="179">
        <v>210184283.5</v>
      </c>
      <c r="N324" s="179">
        <v>426380</v>
      </c>
    </row>
    <row r="325" spans="1:14" s="156" customFormat="1" x14ac:dyDescent="0.25">
      <c r="A325" s="156" t="s">
        <v>546</v>
      </c>
      <c r="B325" s="156" t="s">
        <v>137</v>
      </c>
      <c r="C325" s="156" t="s">
        <v>138</v>
      </c>
      <c r="D325" s="156" t="s">
        <v>541</v>
      </c>
      <c r="E325" s="179">
        <v>3942858</v>
      </c>
      <c r="F325" s="179">
        <v>3942858</v>
      </c>
      <c r="G325" s="179">
        <v>3942857.5</v>
      </c>
      <c r="H325" s="179">
        <v>0</v>
      </c>
      <c r="I325" s="179">
        <v>2568022.5</v>
      </c>
      <c r="J325" s="179">
        <v>0</v>
      </c>
      <c r="K325" s="179">
        <v>935940</v>
      </c>
      <c r="L325" s="179">
        <v>477870</v>
      </c>
      <c r="M325" s="179">
        <v>438895.5</v>
      </c>
      <c r="N325" s="179">
        <v>438895</v>
      </c>
    </row>
    <row r="326" spans="1:14" s="156" customFormat="1" x14ac:dyDescent="0.25">
      <c r="A326" s="156" t="s">
        <v>546</v>
      </c>
      <c r="B326" s="156" t="s">
        <v>139</v>
      </c>
      <c r="C326" s="156" t="s">
        <v>140</v>
      </c>
      <c r="D326" s="156" t="s">
        <v>541</v>
      </c>
      <c r="E326" s="179">
        <v>753229000</v>
      </c>
      <c r="F326" s="179">
        <v>753229000</v>
      </c>
      <c r="G326" s="179">
        <v>564921750</v>
      </c>
      <c r="H326" s="179">
        <v>0</v>
      </c>
      <c r="I326" s="179">
        <v>107457672.31999999</v>
      </c>
      <c r="J326" s="179">
        <v>0</v>
      </c>
      <c r="K326" s="179">
        <v>314177515.92000002</v>
      </c>
      <c r="L326" s="179">
        <v>314177515.92000002</v>
      </c>
      <c r="M326" s="179">
        <v>331593811.75999999</v>
      </c>
      <c r="N326" s="179">
        <v>143286561.75999999</v>
      </c>
    </row>
    <row r="327" spans="1:14" s="156" customFormat="1" x14ac:dyDescent="0.25">
      <c r="A327" s="156" t="s">
        <v>546</v>
      </c>
      <c r="B327" s="156" t="s">
        <v>141</v>
      </c>
      <c r="C327" s="156" t="s">
        <v>142</v>
      </c>
      <c r="D327" s="156" t="s">
        <v>541</v>
      </c>
      <c r="E327" s="179">
        <v>94848408</v>
      </c>
      <c r="F327" s="179">
        <v>96158408</v>
      </c>
      <c r="G327" s="179">
        <v>96158408</v>
      </c>
      <c r="H327" s="179">
        <v>0</v>
      </c>
      <c r="I327" s="179">
        <v>12418081.91</v>
      </c>
      <c r="J327" s="179">
        <v>0</v>
      </c>
      <c r="K327" s="179">
        <v>59322214.850000001</v>
      </c>
      <c r="L327" s="179">
        <v>57191964.850000001</v>
      </c>
      <c r="M327" s="179">
        <v>24418111.239999998</v>
      </c>
      <c r="N327" s="179">
        <v>24418111.239999998</v>
      </c>
    </row>
    <row r="328" spans="1:14" s="156" customFormat="1" x14ac:dyDescent="0.25">
      <c r="A328" s="156" t="s">
        <v>546</v>
      </c>
      <c r="B328" s="156" t="s">
        <v>143</v>
      </c>
      <c r="C328" s="156" t="s">
        <v>144</v>
      </c>
      <c r="D328" s="156" t="s">
        <v>541</v>
      </c>
      <c r="E328" s="179">
        <v>4451091</v>
      </c>
      <c r="F328" s="179">
        <v>3141091</v>
      </c>
      <c r="G328" s="179">
        <v>3141090.75</v>
      </c>
      <c r="H328" s="179">
        <v>0</v>
      </c>
      <c r="I328" s="179">
        <v>926640</v>
      </c>
      <c r="J328" s="179">
        <v>0</v>
      </c>
      <c r="K328" s="179">
        <v>951790</v>
      </c>
      <c r="L328" s="179">
        <v>951790</v>
      </c>
      <c r="M328" s="179">
        <v>1262661</v>
      </c>
      <c r="N328" s="179">
        <v>1262660.75</v>
      </c>
    </row>
    <row r="329" spans="1:14" s="156" customFormat="1" x14ac:dyDescent="0.25">
      <c r="A329" s="156" t="s">
        <v>546</v>
      </c>
      <c r="B329" s="156" t="s">
        <v>145</v>
      </c>
      <c r="C329" s="156" t="s">
        <v>146</v>
      </c>
      <c r="D329" s="156" t="s">
        <v>541</v>
      </c>
      <c r="E329" s="179">
        <v>1831091</v>
      </c>
      <c r="F329" s="179">
        <v>1831091</v>
      </c>
      <c r="G329" s="179">
        <v>1831090.75</v>
      </c>
      <c r="H329" s="179">
        <v>0</v>
      </c>
      <c r="I329" s="179">
        <v>0</v>
      </c>
      <c r="J329" s="179">
        <v>0</v>
      </c>
      <c r="K329" s="179">
        <v>871790</v>
      </c>
      <c r="L329" s="179">
        <v>871790</v>
      </c>
      <c r="M329" s="179">
        <v>959301</v>
      </c>
      <c r="N329" s="179">
        <v>959300.75</v>
      </c>
    </row>
    <row r="330" spans="1:14" s="156" customFormat="1" x14ac:dyDescent="0.25">
      <c r="A330" s="156" t="s">
        <v>546</v>
      </c>
      <c r="B330" s="156" t="s">
        <v>147</v>
      </c>
      <c r="C330" s="156" t="s">
        <v>148</v>
      </c>
      <c r="D330" s="156" t="s">
        <v>541</v>
      </c>
      <c r="E330" s="179">
        <v>2620000</v>
      </c>
      <c r="F330" s="179">
        <v>1310000</v>
      </c>
      <c r="G330" s="179">
        <v>1310000</v>
      </c>
      <c r="H330" s="179">
        <v>0</v>
      </c>
      <c r="I330" s="179">
        <v>926640</v>
      </c>
      <c r="J330" s="179">
        <v>0</v>
      </c>
      <c r="K330" s="179">
        <v>80000</v>
      </c>
      <c r="L330" s="179">
        <v>80000</v>
      </c>
      <c r="M330" s="179">
        <v>303360</v>
      </c>
      <c r="N330" s="179">
        <v>303360</v>
      </c>
    </row>
    <row r="331" spans="1:14" s="156" customFormat="1" x14ac:dyDescent="0.25">
      <c r="A331" s="156" t="s">
        <v>546</v>
      </c>
      <c r="B331" s="156" t="s">
        <v>151</v>
      </c>
      <c r="C331" s="156" t="s">
        <v>152</v>
      </c>
      <c r="D331" s="156" t="s">
        <v>541</v>
      </c>
      <c r="E331" s="179">
        <v>310063679</v>
      </c>
      <c r="F331" s="179">
        <v>304063679</v>
      </c>
      <c r="G331" s="179">
        <v>246033928.68000001</v>
      </c>
      <c r="H331" s="179">
        <v>0</v>
      </c>
      <c r="I331" s="179">
        <v>48257533.759999998</v>
      </c>
      <c r="J331" s="179">
        <v>0</v>
      </c>
      <c r="K331" s="179">
        <v>71482211.989999995</v>
      </c>
      <c r="L331" s="179">
        <v>65619221.990000002</v>
      </c>
      <c r="M331" s="179">
        <v>184323933.25</v>
      </c>
      <c r="N331" s="179">
        <v>126294182.93000001</v>
      </c>
    </row>
    <row r="332" spans="1:14" s="156" customFormat="1" x14ac:dyDescent="0.25">
      <c r="A332" s="156" t="s">
        <v>546</v>
      </c>
      <c r="B332" s="156" t="s">
        <v>359</v>
      </c>
      <c r="C332" s="156" t="s">
        <v>605</v>
      </c>
      <c r="D332" s="156" t="s">
        <v>541</v>
      </c>
      <c r="E332" s="179">
        <v>21381819</v>
      </c>
      <c r="F332" s="179">
        <v>21381819</v>
      </c>
      <c r="G332" s="179">
        <v>21381818.75</v>
      </c>
      <c r="H332" s="179">
        <v>0</v>
      </c>
      <c r="I332" s="179">
        <v>14288264</v>
      </c>
      <c r="J332" s="179">
        <v>0</v>
      </c>
      <c r="K332" s="179">
        <v>7016088</v>
      </c>
      <c r="L332" s="179">
        <v>4166088</v>
      </c>
      <c r="M332" s="179">
        <v>77467</v>
      </c>
      <c r="N332" s="179">
        <v>77466.75</v>
      </c>
    </row>
    <row r="333" spans="1:14" s="156" customFormat="1" x14ac:dyDescent="0.25">
      <c r="A333" s="156" t="s">
        <v>546</v>
      </c>
      <c r="B333" s="156" t="s">
        <v>330</v>
      </c>
      <c r="C333" s="156" t="s">
        <v>604</v>
      </c>
      <c r="D333" s="156" t="s">
        <v>541</v>
      </c>
      <c r="E333" s="179">
        <v>106119000</v>
      </c>
      <c r="F333" s="179">
        <v>106119000</v>
      </c>
      <c r="G333" s="179">
        <v>79589250</v>
      </c>
      <c r="H333" s="179">
        <v>0</v>
      </c>
      <c r="I333" s="179">
        <v>29261837.780000001</v>
      </c>
      <c r="J333" s="179">
        <v>0</v>
      </c>
      <c r="K333" s="179">
        <v>9962425</v>
      </c>
      <c r="L333" s="179">
        <v>7182425</v>
      </c>
      <c r="M333" s="179">
        <v>66894737.219999999</v>
      </c>
      <c r="N333" s="179">
        <v>40364987.219999999</v>
      </c>
    </row>
    <row r="334" spans="1:14" s="156" customFormat="1" x14ac:dyDescent="0.25">
      <c r="A334" s="156" t="s">
        <v>546</v>
      </c>
      <c r="B334" s="156" t="s">
        <v>154</v>
      </c>
      <c r="C334" s="156" t="s">
        <v>155</v>
      </c>
      <c r="D334" s="156" t="s">
        <v>541</v>
      </c>
      <c r="E334" s="179">
        <v>126000000</v>
      </c>
      <c r="F334" s="179">
        <v>120000000</v>
      </c>
      <c r="G334" s="179">
        <v>88500000</v>
      </c>
      <c r="H334" s="179">
        <v>0</v>
      </c>
      <c r="I334" s="179">
        <v>1888001.9</v>
      </c>
      <c r="J334" s="179">
        <v>0</v>
      </c>
      <c r="K334" s="179">
        <v>44935165.090000004</v>
      </c>
      <c r="L334" s="179">
        <v>44935165.090000004</v>
      </c>
      <c r="M334" s="179">
        <v>73176833.010000005</v>
      </c>
      <c r="N334" s="179">
        <v>41676833.009999998</v>
      </c>
    </row>
    <row r="335" spans="1:14" s="156" customFormat="1" x14ac:dyDescent="0.25">
      <c r="A335" s="156" t="s">
        <v>546</v>
      </c>
      <c r="B335" s="156" t="s">
        <v>156</v>
      </c>
      <c r="C335" s="156" t="s">
        <v>157</v>
      </c>
      <c r="D335" s="156" t="s">
        <v>541</v>
      </c>
      <c r="E335" s="179">
        <v>56562860</v>
      </c>
      <c r="F335" s="179">
        <v>56562860</v>
      </c>
      <c r="G335" s="179">
        <v>56562859.93</v>
      </c>
      <c r="H335" s="179">
        <v>0</v>
      </c>
      <c r="I335" s="179">
        <v>2819430.08</v>
      </c>
      <c r="J335" s="179">
        <v>0</v>
      </c>
      <c r="K335" s="179">
        <v>9568533.9000000004</v>
      </c>
      <c r="L335" s="179">
        <v>9335543.9000000004</v>
      </c>
      <c r="M335" s="179">
        <v>44174896.020000003</v>
      </c>
      <c r="N335" s="179">
        <v>44174895.950000003</v>
      </c>
    </row>
    <row r="336" spans="1:14" s="156" customFormat="1" x14ac:dyDescent="0.25">
      <c r="A336" s="156" t="s">
        <v>546</v>
      </c>
      <c r="B336" s="156" t="s">
        <v>158</v>
      </c>
      <c r="C336" s="156" t="s">
        <v>159</v>
      </c>
      <c r="D336" s="156" t="s">
        <v>541</v>
      </c>
      <c r="E336" s="179">
        <v>128523280</v>
      </c>
      <c r="F336" s="179">
        <v>128523280</v>
      </c>
      <c r="G336" s="179">
        <v>98744687.019999996</v>
      </c>
      <c r="H336" s="179">
        <v>612700</v>
      </c>
      <c r="I336" s="179">
        <v>25354160</v>
      </c>
      <c r="J336" s="179">
        <v>0</v>
      </c>
      <c r="K336" s="179">
        <v>49451670</v>
      </c>
      <c r="L336" s="179">
        <v>49263800</v>
      </c>
      <c r="M336" s="179">
        <v>53104750</v>
      </c>
      <c r="N336" s="179">
        <v>23326157.02</v>
      </c>
    </row>
    <row r="337" spans="1:14" s="156" customFormat="1" x14ac:dyDescent="0.25">
      <c r="A337" s="156" t="s">
        <v>546</v>
      </c>
      <c r="B337" s="156" t="s">
        <v>160</v>
      </c>
      <c r="C337" s="156" t="s">
        <v>161</v>
      </c>
      <c r="D337" s="156" t="s">
        <v>541</v>
      </c>
      <c r="E337" s="179">
        <v>4829000</v>
      </c>
      <c r="F337" s="179">
        <v>4829000</v>
      </c>
      <c r="G337" s="179">
        <v>4829000</v>
      </c>
      <c r="H337" s="179">
        <v>0</v>
      </c>
      <c r="I337" s="179">
        <v>1357960</v>
      </c>
      <c r="J337" s="179">
        <v>0</v>
      </c>
      <c r="K337" s="179">
        <v>1576525</v>
      </c>
      <c r="L337" s="179">
        <v>1568705</v>
      </c>
      <c r="M337" s="179">
        <v>1894515</v>
      </c>
      <c r="N337" s="179">
        <v>1894515</v>
      </c>
    </row>
    <row r="338" spans="1:14" s="156" customFormat="1" x14ac:dyDescent="0.25">
      <c r="A338" s="156" t="s">
        <v>546</v>
      </c>
      <c r="B338" s="156" t="s">
        <v>162</v>
      </c>
      <c r="C338" s="156" t="s">
        <v>163</v>
      </c>
      <c r="D338" s="156" t="s">
        <v>541</v>
      </c>
      <c r="E338" s="179">
        <v>119154137</v>
      </c>
      <c r="F338" s="179">
        <v>119154137</v>
      </c>
      <c r="G338" s="179">
        <v>92780651.269999996</v>
      </c>
      <c r="H338" s="179">
        <v>612700</v>
      </c>
      <c r="I338" s="179">
        <v>23996200</v>
      </c>
      <c r="J338" s="179">
        <v>0</v>
      </c>
      <c r="K338" s="179">
        <v>47875145</v>
      </c>
      <c r="L338" s="179">
        <v>47695095</v>
      </c>
      <c r="M338" s="179">
        <v>46670092</v>
      </c>
      <c r="N338" s="179">
        <v>20296606.27</v>
      </c>
    </row>
    <row r="339" spans="1:14" s="156" customFormat="1" x14ac:dyDescent="0.25">
      <c r="A339" s="156" t="s">
        <v>546</v>
      </c>
      <c r="B339" s="156" t="s">
        <v>164</v>
      </c>
      <c r="C339" s="156" t="s">
        <v>165</v>
      </c>
      <c r="D339" s="156" t="s">
        <v>541</v>
      </c>
      <c r="E339" s="179">
        <v>2851000</v>
      </c>
      <c r="F339" s="179">
        <v>2851000</v>
      </c>
      <c r="G339" s="179">
        <v>712750</v>
      </c>
      <c r="H339" s="179">
        <v>0</v>
      </c>
      <c r="I339" s="179">
        <v>0</v>
      </c>
      <c r="J339" s="179">
        <v>0</v>
      </c>
      <c r="K339" s="179">
        <v>0</v>
      </c>
      <c r="L339" s="179">
        <v>0</v>
      </c>
      <c r="M339" s="179">
        <v>2851000</v>
      </c>
      <c r="N339" s="179">
        <v>712750</v>
      </c>
    </row>
    <row r="340" spans="1:14" s="156" customFormat="1" x14ac:dyDescent="0.25">
      <c r="A340" s="156" t="s">
        <v>546</v>
      </c>
      <c r="B340" s="156" t="s">
        <v>166</v>
      </c>
      <c r="C340" s="156" t="s">
        <v>167</v>
      </c>
      <c r="D340" s="156" t="s">
        <v>541</v>
      </c>
      <c r="E340" s="179">
        <v>1689143</v>
      </c>
      <c r="F340" s="179">
        <v>1689143</v>
      </c>
      <c r="G340" s="179">
        <v>422285.75</v>
      </c>
      <c r="H340" s="179">
        <v>0</v>
      </c>
      <c r="I340" s="179">
        <v>0</v>
      </c>
      <c r="J340" s="179">
        <v>0</v>
      </c>
      <c r="K340" s="179">
        <v>0</v>
      </c>
      <c r="L340" s="179">
        <v>0</v>
      </c>
      <c r="M340" s="179">
        <v>1689143</v>
      </c>
      <c r="N340" s="179">
        <v>422285.75</v>
      </c>
    </row>
    <row r="341" spans="1:14" s="156" customFormat="1" x14ac:dyDescent="0.25">
      <c r="A341" s="156" t="s">
        <v>546</v>
      </c>
      <c r="B341" s="156" t="s">
        <v>168</v>
      </c>
      <c r="C341" s="156" t="s">
        <v>169</v>
      </c>
      <c r="D341" s="156" t="s">
        <v>541</v>
      </c>
      <c r="E341" s="179">
        <v>1290997262</v>
      </c>
      <c r="F341" s="179">
        <v>1244459372.29</v>
      </c>
      <c r="G341" s="179">
        <v>247929108.78999999</v>
      </c>
      <c r="H341" s="179">
        <v>0</v>
      </c>
      <c r="I341" s="179">
        <v>127063500.40000001</v>
      </c>
      <c r="J341" s="179">
        <v>0</v>
      </c>
      <c r="K341" s="179">
        <v>112496187.59999999</v>
      </c>
      <c r="L341" s="179">
        <v>112496187.59999999</v>
      </c>
      <c r="M341" s="179">
        <v>1004899684.29</v>
      </c>
      <c r="N341" s="179">
        <v>8369420.79</v>
      </c>
    </row>
    <row r="342" spans="1:14" s="156" customFormat="1" x14ac:dyDescent="0.25">
      <c r="A342" s="156" t="s">
        <v>546</v>
      </c>
      <c r="B342" s="156" t="s">
        <v>170</v>
      </c>
      <c r="C342" s="156" t="s">
        <v>171</v>
      </c>
      <c r="D342" s="156" t="s">
        <v>541</v>
      </c>
      <c r="E342" s="179">
        <v>1290997262</v>
      </c>
      <c r="F342" s="179">
        <v>1244459372.29</v>
      </c>
      <c r="G342" s="179">
        <v>247929108.78999999</v>
      </c>
      <c r="H342" s="179">
        <v>0</v>
      </c>
      <c r="I342" s="179">
        <v>127063500.40000001</v>
      </c>
      <c r="J342" s="179">
        <v>0</v>
      </c>
      <c r="K342" s="179">
        <v>112496187.59999999</v>
      </c>
      <c r="L342" s="179">
        <v>112496187.59999999</v>
      </c>
      <c r="M342" s="179">
        <v>1004899684.29</v>
      </c>
      <c r="N342" s="179">
        <v>8369420.79</v>
      </c>
    </row>
    <row r="343" spans="1:14" s="156" customFormat="1" x14ac:dyDescent="0.25">
      <c r="A343" s="156" t="s">
        <v>546</v>
      </c>
      <c r="B343" s="156" t="s">
        <v>172</v>
      </c>
      <c r="C343" s="156" t="s">
        <v>173</v>
      </c>
      <c r="D343" s="156" t="s">
        <v>541</v>
      </c>
      <c r="E343" s="179">
        <v>1413715</v>
      </c>
      <c r="F343" s="179">
        <v>1413715</v>
      </c>
      <c r="G343" s="179">
        <v>1413714.75</v>
      </c>
      <c r="H343" s="179">
        <v>270000</v>
      </c>
      <c r="I343" s="179">
        <v>0</v>
      </c>
      <c r="J343" s="179">
        <v>0</v>
      </c>
      <c r="K343" s="179">
        <v>0</v>
      </c>
      <c r="L343" s="179">
        <v>0</v>
      </c>
      <c r="M343" s="179">
        <v>1143715</v>
      </c>
      <c r="N343" s="179">
        <v>1143714.75</v>
      </c>
    </row>
    <row r="344" spans="1:14" s="156" customFormat="1" x14ac:dyDescent="0.25">
      <c r="A344" s="156" t="s">
        <v>546</v>
      </c>
      <c r="B344" s="156" t="s">
        <v>309</v>
      </c>
      <c r="C344" s="156" t="s">
        <v>310</v>
      </c>
      <c r="D344" s="156" t="s">
        <v>541</v>
      </c>
      <c r="E344" s="179">
        <v>1413715</v>
      </c>
      <c r="F344" s="179">
        <v>1413715</v>
      </c>
      <c r="G344" s="179">
        <v>1413714.75</v>
      </c>
      <c r="H344" s="179">
        <v>270000</v>
      </c>
      <c r="I344" s="179">
        <v>0</v>
      </c>
      <c r="J344" s="179">
        <v>0</v>
      </c>
      <c r="K344" s="179">
        <v>0</v>
      </c>
      <c r="L344" s="179">
        <v>0</v>
      </c>
      <c r="M344" s="179">
        <v>1143715</v>
      </c>
      <c r="N344" s="179">
        <v>1143714.75</v>
      </c>
    </row>
    <row r="345" spans="1:14" s="156" customFormat="1" x14ac:dyDescent="0.25">
      <c r="A345" s="156" t="s">
        <v>546</v>
      </c>
      <c r="B345" s="156" t="s">
        <v>178</v>
      </c>
      <c r="C345" s="156" t="s">
        <v>179</v>
      </c>
      <c r="D345" s="156" t="s">
        <v>541</v>
      </c>
      <c r="E345" s="179">
        <v>594069615</v>
      </c>
      <c r="F345" s="179">
        <v>600069615</v>
      </c>
      <c r="G345" s="179">
        <v>527483105.55000001</v>
      </c>
      <c r="H345" s="179">
        <v>1909250</v>
      </c>
      <c r="I345" s="179">
        <v>94091851.079999998</v>
      </c>
      <c r="J345" s="179">
        <v>25830841.32</v>
      </c>
      <c r="K345" s="179">
        <v>157904411.46000001</v>
      </c>
      <c r="L345" s="179">
        <v>149085683.05000001</v>
      </c>
      <c r="M345" s="179">
        <v>320333261.13999999</v>
      </c>
      <c r="N345" s="179">
        <v>247746751.69</v>
      </c>
    </row>
    <row r="346" spans="1:14" s="156" customFormat="1" x14ac:dyDescent="0.25">
      <c r="A346" s="156" t="s">
        <v>546</v>
      </c>
      <c r="B346" s="156" t="s">
        <v>180</v>
      </c>
      <c r="C346" s="156" t="s">
        <v>181</v>
      </c>
      <c r="D346" s="156" t="s">
        <v>541</v>
      </c>
      <c r="E346" s="179">
        <v>125656000</v>
      </c>
      <c r="F346" s="179">
        <v>125656000</v>
      </c>
      <c r="G346" s="179">
        <v>62828000</v>
      </c>
      <c r="H346" s="179">
        <v>110000</v>
      </c>
      <c r="I346" s="179">
        <v>0</v>
      </c>
      <c r="J346" s="179">
        <v>0</v>
      </c>
      <c r="K346" s="179">
        <v>13349017</v>
      </c>
      <c r="L346" s="179">
        <v>13349017</v>
      </c>
      <c r="M346" s="179">
        <v>112196983</v>
      </c>
      <c r="N346" s="179">
        <v>49368983</v>
      </c>
    </row>
    <row r="347" spans="1:14" s="156" customFormat="1" x14ac:dyDescent="0.25">
      <c r="A347" s="156" t="s">
        <v>546</v>
      </c>
      <c r="B347" s="156" t="s">
        <v>332</v>
      </c>
      <c r="C347" s="156" t="s">
        <v>333</v>
      </c>
      <c r="D347" s="156" t="s">
        <v>541</v>
      </c>
      <c r="E347" s="179">
        <v>188229817</v>
      </c>
      <c r="F347" s="179">
        <v>188229817</v>
      </c>
      <c r="G347" s="179">
        <v>188229817</v>
      </c>
      <c r="H347" s="179">
        <v>0</v>
      </c>
      <c r="I347" s="179">
        <v>14362336.939999999</v>
      </c>
      <c r="J347" s="179">
        <v>23226841.32</v>
      </c>
      <c r="K347" s="179">
        <v>88948791.480000004</v>
      </c>
      <c r="L347" s="179">
        <v>83071594.379999995</v>
      </c>
      <c r="M347" s="179">
        <v>61691847.259999998</v>
      </c>
      <c r="N347" s="179">
        <v>61691847.259999998</v>
      </c>
    </row>
    <row r="348" spans="1:14" s="156" customFormat="1" x14ac:dyDescent="0.25">
      <c r="A348" s="156" t="s">
        <v>546</v>
      </c>
      <c r="B348" s="156" t="s">
        <v>182</v>
      </c>
      <c r="C348" s="156" t="s">
        <v>183</v>
      </c>
      <c r="D348" s="156" t="s">
        <v>541</v>
      </c>
      <c r="E348" s="179">
        <v>95028648</v>
      </c>
      <c r="F348" s="179">
        <v>95028648</v>
      </c>
      <c r="G348" s="179">
        <v>95028648</v>
      </c>
      <c r="H348" s="179">
        <v>0</v>
      </c>
      <c r="I348" s="179">
        <v>23071896.559999999</v>
      </c>
      <c r="J348" s="179">
        <v>2604000</v>
      </c>
      <c r="K348" s="179">
        <v>27572276.879999999</v>
      </c>
      <c r="L348" s="179">
        <v>25017745.57</v>
      </c>
      <c r="M348" s="179">
        <v>41780474.560000002</v>
      </c>
      <c r="N348" s="179">
        <v>41780474.560000002</v>
      </c>
    </row>
    <row r="349" spans="1:14" s="156" customFormat="1" x14ac:dyDescent="0.25">
      <c r="A349" s="156" t="s">
        <v>546</v>
      </c>
      <c r="B349" s="156" t="s">
        <v>184</v>
      </c>
      <c r="C349" s="156" t="s">
        <v>185</v>
      </c>
      <c r="D349" s="156" t="s">
        <v>541</v>
      </c>
      <c r="E349" s="179">
        <v>6300000</v>
      </c>
      <c r="F349" s="179">
        <v>6300000</v>
      </c>
      <c r="G349" s="179">
        <v>6300000</v>
      </c>
      <c r="H349" s="179">
        <v>1799250</v>
      </c>
      <c r="I349" s="179">
        <v>0</v>
      </c>
      <c r="J349" s="179">
        <v>0</v>
      </c>
      <c r="K349" s="179">
        <v>0</v>
      </c>
      <c r="L349" s="179">
        <v>0</v>
      </c>
      <c r="M349" s="179">
        <v>4500750</v>
      </c>
      <c r="N349" s="179">
        <v>4500750</v>
      </c>
    </row>
    <row r="350" spans="1:14" s="156" customFormat="1" x14ac:dyDescent="0.25">
      <c r="A350" s="156" t="s">
        <v>546</v>
      </c>
      <c r="B350" s="156" t="s">
        <v>186</v>
      </c>
      <c r="C350" s="156" t="s">
        <v>187</v>
      </c>
      <c r="D350" s="156" t="s">
        <v>541</v>
      </c>
      <c r="E350" s="179">
        <v>11141667</v>
      </c>
      <c r="F350" s="179">
        <v>11141667</v>
      </c>
      <c r="G350" s="179">
        <v>11141666.75</v>
      </c>
      <c r="H350" s="179">
        <v>0</v>
      </c>
      <c r="I350" s="179">
        <v>0</v>
      </c>
      <c r="J350" s="179">
        <v>0</v>
      </c>
      <c r="K350" s="179">
        <v>3564000</v>
      </c>
      <c r="L350" s="179">
        <v>3564000</v>
      </c>
      <c r="M350" s="179">
        <v>7577667</v>
      </c>
      <c r="N350" s="179">
        <v>7577666.75</v>
      </c>
    </row>
    <row r="351" spans="1:14" s="156" customFormat="1" x14ac:dyDescent="0.25">
      <c r="A351" s="156" t="s">
        <v>546</v>
      </c>
      <c r="B351" s="156" t="s">
        <v>188</v>
      </c>
      <c r="C351" s="156" t="s">
        <v>189</v>
      </c>
      <c r="D351" s="156" t="s">
        <v>541</v>
      </c>
      <c r="E351" s="179">
        <v>40562000</v>
      </c>
      <c r="F351" s="179">
        <v>40562000</v>
      </c>
      <c r="G351" s="179">
        <v>30803491</v>
      </c>
      <c r="H351" s="179">
        <v>0</v>
      </c>
      <c r="I351" s="179">
        <v>82500</v>
      </c>
      <c r="J351" s="179">
        <v>0</v>
      </c>
      <c r="K351" s="179">
        <v>4519712.9800000004</v>
      </c>
      <c r="L351" s="179">
        <v>4519712.9800000004</v>
      </c>
      <c r="M351" s="179">
        <v>35959787.020000003</v>
      </c>
      <c r="N351" s="179">
        <v>26201278.02</v>
      </c>
    </row>
    <row r="352" spans="1:14" s="156" customFormat="1" x14ac:dyDescent="0.25">
      <c r="A352" s="156" t="s">
        <v>546</v>
      </c>
      <c r="B352" s="156" t="s">
        <v>190</v>
      </c>
      <c r="C352" s="156" t="s">
        <v>191</v>
      </c>
      <c r="D352" s="156" t="s">
        <v>541</v>
      </c>
      <c r="E352" s="179">
        <v>127151483</v>
      </c>
      <c r="F352" s="179">
        <v>133151483</v>
      </c>
      <c r="G352" s="179">
        <v>133151482.8</v>
      </c>
      <c r="H352" s="179">
        <v>0</v>
      </c>
      <c r="I352" s="179">
        <v>56575117.579999998</v>
      </c>
      <c r="J352" s="179">
        <v>0</v>
      </c>
      <c r="K352" s="179">
        <v>19950613.120000001</v>
      </c>
      <c r="L352" s="179">
        <v>19563613.120000001</v>
      </c>
      <c r="M352" s="179">
        <v>56625752.299999997</v>
      </c>
      <c r="N352" s="179">
        <v>56625752.100000001</v>
      </c>
    </row>
    <row r="353" spans="1:14" s="156" customFormat="1" x14ac:dyDescent="0.25">
      <c r="A353" s="156" t="s">
        <v>546</v>
      </c>
      <c r="B353" s="156" t="s">
        <v>192</v>
      </c>
      <c r="C353" s="156" t="s">
        <v>193</v>
      </c>
      <c r="D353" s="156" t="s">
        <v>541</v>
      </c>
      <c r="E353" s="179">
        <v>11126154</v>
      </c>
      <c r="F353" s="179">
        <v>11126154</v>
      </c>
      <c r="G353" s="179">
        <v>11126153.5</v>
      </c>
      <c r="H353" s="179">
        <v>0</v>
      </c>
      <c r="I353" s="179">
        <v>1732219</v>
      </c>
      <c r="J353" s="179">
        <v>0</v>
      </c>
      <c r="K353" s="179">
        <v>78882</v>
      </c>
      <c r="L353" s="179">
        <v>78882</v>
      </c>
      <c r="M353" s="179">
        <v>9315053</v>
      </c>
      <c r="N353" s="179">
        <v>9315052.5</v>
      </c>
    </row>
    <row r="354" spans="1:14" s="156" customFormat="1" x14ac:dyDescent="0.25">
      <c r="A354" s="156" t="s">
        <v>546</v>
      </c>
      <c r="B354" s="156" t="s">
        <v>194</v>
      </c>
      <c r="C354" s="156" t="s">
        <v>195</v>
      </c>
      <c r="D354" s="156" t="s">
        <v>541</v>
      </c>
      <c r="E354" s="179">
        <v>11126154</v>
      </c>
      <c r="F354" s="179">
        <v>11126154</v>
      </c>
      <c r="G354" s="179">
        <v>11126153.5</v>
      </c>
      <c r="H354" s="179">
        <v>0</v>
      </c>
      <c r="I354" s="179">
        <v>1732219</v>
      </c>
      <c r="J354" s="179">
        <v>0</v>
      </c>
      <c r="K354" s="179">
        <v>78882</v>
      </c>
      <c r="L354" s="179">
        <v>78882</v>
      </c>
      <c r="M354" s="179">
        <v>9315053</v>
      </c>
      <c r="N354" s="179">
        <v>9315052.5</v>
      </c>
    </row>
    <row r="355" spans="1:14" s="156" customFormat="1" x14ac:dyDescent="0.25">
      <c r="A355" s="156" t="s">
        <v>546</v>
      </c>
      <c r="B355" s="156" t="s">
        <v>196</v>
      </c>
      <c r="C355" s="156" t="s">
        <v>197</v>
      </c>
      <c r="D355" s="156" t="s">
        <v>541</v>
      </c>
      <c r="E355" s="179">
        <v>18666301</v>
      </c>
      <c r="F355" s="179">
        <v>65204190.710000001</v>
      </c>
      <c r="G355" s="179">
        <v>58011948.960000001</v>
      </c>
      <c r="H355" s="179">
        <v>0</v>
      </c>
      <c r="I355" s="179">
        <v>9072342.4900000002</v>
      </c>
      <c r="J355" s="179">
        <v>0</v>
      </c>
      <c r="K355" s="179">
        <v>6357165.9199999999</v>
      </c>
      <c r="L355" s="179">
        <v>6357165.9199999999</v>
      </c>
      <c r="M355" s="179">
        <v>49774682.299999997</v>
      </c>
      <c r="N355" s="179">
        <v>42582440.549999997</v>
      </c>
    </row>
    <row r="356" spans="1:14" s="156" customFormat="1" x14ac:dyDescent="0.25">
      <c r="A356" s="156" t="s">
        <v>546</v>
      </c>
      <c r="B356" s="156" t="s">
        <v>360</v>
      </c>
      <c r="C356" s="156" t="s">
        <v>361</v>
      </c>
      <c r="D356" s="156" t="s">
        <v>541</v>
      </c>
      <c r="E356" s="179">
        <v>3000000</v>
      </c>
      <c r="F356" s="179">
        <v>3000000</v>
      </c>
      <c r="G356" s="179">
        <v>3000000</v>
      </c>
      <c r="H356" s="179">
        <v>0</v>
      </c>
      <c r="I356" s="179">
        <v>66726.789999999994</v>
      </c>
      <c r="J356" s="179">
        <v>0</v>
      </c>
      <c r="K356" s="179">
        <v>2421563.65</v>
      </c>
      <c r="L356" s="179">
        <v>2421563.65</v>
      </c>
      <c r="M356" s="179">
        <v>511709.56</v>
      </c>
      <c r="N356" s="179">
        <v>511709.56</v>
      </c>
    </row>
    <row r="357" spans="1:14" s="156" customFormat="1" x14ac:dyDescent="0.25">
      <c r="A357" s="156" t="s">
        <v>546</v>
      </c>
      <c r="B357" s="156" t="s">
        <v>334</v>
      </c>
      <c r="C357" s="156" t="s">
        <v>335</v>
      </c>
      <c r="D357" s="156" t="s">
        <v>541</v>
      </c>
      <c r="E357" s="179">
        <v>1275676</v>
      </c>
      <c r="F357" s="179">
        <v>47166460.710000001</v>
      </c>
      <c r="G357" s="179">
        <v>39974219.710000001</v>
      </c>
      <c r="H357" s="179">
        <v>0</v>
      </c>
      <c r="I357" s="179">
        <v>6063952.7000000002</v>
      </c>
      <c r="J357" s="179">
        <v>0</v>
      </c>
      <c r="K357" s="179">
        <v>771847.27</v>
      </c>
      <c r="L357" s="179">
        <v>771847.27</v>
      </c>
      <c r="M357" s="179">
        <v>40330660.740000002</v>
      </c>
      <c r="N357" s="179">
        <v>33138419.739999998</v>
      </c>
    </row>
    <row r="358" spans="1:14" s="156" customFormat="1" x14ac:dyDescent="0.25">
      <c r="A358" s="156" t="s">
        <v>546</v>
      </c>
      <c r="B358" s="156" t="s">
        <v>198</v>
      </c>
      <c r="C358" s="156" t="s">
        <v>199</v>
      </c>
      <c r="D358" s="156" t="s">
        <v>541</v>
      </c>
      <c r="E358" s="179">
        <v>14390625</v>
      </c>
      <c r="F358" s="179">
        <v>15037730</v>
      </c>
      <c r="G358" s="179">
        <v>15037729.25</v>
      </c>
      <c r="H358" s="179">
        <v>0</v>
      </c>
      <c r="I358" s="179">
        <v>2941663</v>
      </c>
      <c r="J358" s="179">
        <v>0</v>
      </c>
      <c r="K358" s="179">
        <v>3163755</v>
      </c>
      <c r="L358" s="179">
        <v>3163755</v>
      </c>
      <c r="M358" s="179">
        <v>8932312</v>
      </c>
      <c r="N358" s="179">
        <v>8932311.25</v>
      </c>
    </row>
    <row r="359" spans="1:14" s="156" customFormat="1" x14ac:dyDescent="0.25">
      <c r="A359" s="156" t="s">
        <v>546</v>
      </c>
      <c r="B359" s="156" t="s">
        <v>200</v>
      </c>
      <c r="C359" s="156" t="s">
        <v>201</v>
      </c>
      <c r="D359" s="156" t="s">
        <v>541</v>
      </c>
      <c r="E359" s="179">
        <v>14015826994</v>
      </c>
      <c r="F359" s="179">
        <v>14015826994</v>
      </c>
      <c r="G359" s="179">
        <v>11010050862.5</v>
      </c>
      <c r="H359" s="179">
        <v>60266791.5</v>
      </c>
      <c r="I359" s="179">
        <v>2165566446.7199998</v>
      </c>
      <c r="J359" s="179">
        <v>248884355.09999999</v>
      </c>
      <c r="K359" s="179">
        <v>6001960791.6899996</v>
      </c>
      <c r="L359" s="179">
        <v>5698000197.9300003</v>
      </c>
      <c r="M359" s="179">
        <v>5539148608.9899998</v>
      </c>
      <c r="N359" s="179">
        <v>2533372477.4899998</v>
      </c>
    </row>
    <row r="360" spans="1:14" s="156" customFormat="1" x14ac:dyDescent="0.25">
      <c r="A360" s="156" t="s">
        <v>546</v>
      </c>
      <c r="B360" s="156" t="s">
        <v>202</v>
      </c>
      <c r="C360" s="156" t="s">
        <v>203</v>
      </c>
      <c r="D360" s="156" t="s">
        <v>541</v>
      </c>
      <c r="E360" s="179">
        <v>777682724</v>
      </c>
      <c r="F360" s="179">
        <v>777682724</v>
      </c>
      <c r="G360" s="179">
        <v>646928543</v>
      </c>
      <c r="H360" s="179">
        <v>6747000</v>
      </c>
      <c r="I360" s="179">
        <v>62717217.359999999</v>
      </c>
      <c r="J360" s="179">
        <v>0</v>
      </c>
      <c r="K360" s="179">
        <v>394405170.74000001</v>
      </c>
      <c r="L360" s="179">
        <v>390109130.74000001</v>
      </c>
      <c r="M360" s="179">
        <v>313813335.89999998</v>
      </c>
      <c r="N360" s="179">
        <v>183059154.90000001</v>
      </c>
    </row>
    <row r="361" spans="1:14" s="156" customFormat="1" x14ac:dyDescent="0.25">
      <c r="A361" s="156" t="s">
        <v>546</v>
      </c>
      <c r="B361" s="156" t="s">
        <v>204</v>
      </c>
      <c r="C361" s="156" t="s">
        <v>205</v>
      </c>
      <c r="D361" s="156" t="s">
        <v>541</v>
      </c>
      <c r="E361" s="179">
        <v>543016724</v>
      </c>
      <c r="F361" s="179">
        <v>543016724</v>
      </c>
      <c r="G361" s="179">
        <v>412262543</v>
      </c>
      <c r="H361" s="179">
        <v>0</v>
      </c>
      <c r="I361" s="179">
        <v>62575470.939999998</v>
      </c>
      <c r="J361" s="179">
        <v>0</v>
      </c>
      <c r="K361" s="179">
        <v>307111254.5</v>
      </c>
      <c r="L361" s="179">
        <v>307111254.5</v>
      </c>
      <c r="M361" s="179">
        <v>173329998.56</v>
      </c>
      <c r="N361" s="179">
        <v>42575817.560000002</v>
      </c>
    </row>
    <row r="362" spans="1:14" s="156" customFormat="1" x14ac:dyDescent="0.25">
      <c r="A362" s="156" t="s">
        <v>546</v>
      </c>
      <c r="B362" s="156" t="s">
        <v>206</v>
      </c>
      <c r="C362" s="156" t="s">
        <v>207</v>
      </c>
      <c r="D362" s="156" t="s">
        <v>541</v>
      </c>
      <c r="E362" s="179">
        <v>195656000</v>
      </c>
      <c r="F362" s="179">
        <v>195656000</v>
      </c>
      <c r="G362" s="179">
        <v>195656000</v>
      </c>
      <c r="H362" s="179">
        <v>6747000</v>
      </c>
      <c r="I362" s="179">
        <v>0</v>
      </c>
      <c r="J362" s="179">
        <v>0</v>
      </c>
      <c r="K362" s="179">
        <v>74248900</v>
      </c>
      <c r="L362" s="179">
        <v>70771800</v>
      </c>
      <c r="M362" s="179">
        <v>114660100</v>
      </c>
      <c r="N362" s="179">
        <v>114660100</v>
      </c>
    </row>
    <row r="363" spans="1:14" s="156" customFormat="1" x14ac:dyDescent="0.25">
      <c r="A363" s="156" t="s">
        <v>546</v>
      </c>
      <c r="B363" s="156" t="s">
        <v>362</v>
      </c>
      <c r="C363" s="156" t="s">
        <v>363</v>
      </c>
      <c r="D363" s="156" t="s">
        <v>541</v>
      </c>
      <c r="E363" s="179">
        <v>2674000</v>
      </c>
      <c r="F363" s="179">
        <v>2674000</v>
      </c>
      <c r="G363" s="179">
        <v>2674000</v>
      </c>
      <c r="H363" s="179">
        <v>0</v>
      </c>
      <c r="I363" s="179">
        <v>141746</v>
      </c>
      <c r="J363" s="179">
        <v>0</v>
      </c>
      <c r="K363" s="179">
        <v>77925</v>
      </c>
      <c r="L363" s="179">
        <v>77925</v>
      </c>
      <c r="M363" s="179">
        <v>2454329</v>
      </c>
      <c r="N363" s="179">
        <v>2454329</v>
      </c>
    </row>
    <row r="364" spans="1:14" s="156" customFormat="1" x14ac:dyDescent="0.25">
      <c r="A364" s="156" t="s">
        <v>546</v>
      </c>
      <c r="B364" s="156" t="s">
        <v>208</v>
      </c>
      <c r="C364" s="156" t="s">
        <v>209</v>
      </c>
      <c r="D364" s="156" t="s">
        <v>541</v>
      </c>
      <c r="E364" s="179">
        <v>30373000</v>
      </c>
      <c r="F364" s="179">
        <v>30373000</v>
      </c>
      <c r="G364" s="179">
        <v>30373000</v>
      </c>
      <c r="H364" s="179">
        <v>0</v>
      </c>
      <c r="I364" s="179">
        <v>0.42</v>
      </c>
      <c r="J364" s="179">
        <v>0</v>
      </c>
      <c r="K364" s="179">
        <v>12967091.24</v>
      </c>
      <c r="L364" s="179">
        <v>12148151.24</v>
      </c>
      <c r="M364" s="179">
        <v>17405908.34</v>
      </c>
      <c r="N364" s="179">
        <v>17405908.34</v>
      </c>
    </row>
    <row r="365" spans="1:14" s="156" customFormat="1" x14ac:dyDescent="0.25">
      <c r="A365" s="156" t="s">
        <v>546</v>
      </c>
      <c r="B365" s="156" t="s">
        <v>210</v>
      </c>
      <c r="C365" s="156" t="s">
        <v>211</v>
      </c>
      <c r="D365" s="156" t="s">
        <v>541</v>
      </c>
      <c r="E365" s="179">
        <v>5963000</v>
      </c>
      <c r="F365" s="179">
        <v>5963000</v>
      </c>
      <c r="G365" s="179">
        <v>5963000</v>
      </c>
      <c r="H365" s="179">
        <v>0</v>
      </c>
      <c r="I365" s="179">
        <v>0</v>
      </c>
      <c r="J365" s="179">
        <v>0</v>
      </c>
      <c r="K365" s="179">
        <v>0</v>
      </c>
      <c r="L365" s="179">
        <v>0</v>
      </c>
      <c r="M365" s="179">
        <v>5963000</v>
      </c>
      <c r="N365" s="179">
        <v>5963000</v>
      </c>
    </row>
    <row r="366" spans="1:14" s="156" customFormat="1" x14ac:dyDescent="0.25">
      <c r="A366" s="156" t="s">
        <v>546</v>
      </c>
      <c r="B366" s="156" t="s">
        <v>212</v>
      </c>
      <c r="C366" s="156" t="s">
        <v>213</v>
      </c>
      <c r="D366" s="156" t="s">
        <v>541</v>
      </c>
      <c r="E366" s="179">
        <v>10984366500</v>
      </c>
      <c r="F366" s="179">
        <v>10984366500</v>
      </c>
      <c r="G366" s="179">
        <v>8241185000</v>
      </c>
      <c r="H366" s="179">
        <v>0</v>
      </c>
      <c r="I366" s="179">
        <v>1566479487.0899999</v>
      </c>
      <c r="J366" s="179">
        <v>233324261.81999999</v>
      </c>
      <c r="K366" s="179">
        <v>4737542853.3199997</v>
      </c>
      <c r="L366" s="179">
        <v>4503613790.5200005</v>
      </c>
      <c r="M366" s="179">
        <v>4447019897.7700005</v>
      </c>
      <c r="N366" s="179">
        <v>1703838397.77</v>
      </c>
    </row>
    <row r="367" spans="1:14" s="156" customFormat="1" x14ac:dyDescent="0.25">
      <c r="A367" s="156" t="s">
        <v>546</v>
      </c>
      <c r="B367" s="156" t="s">
        <v>214</v>
      </c>
      <c r="C367" s="156" t="s">
        <v>215</v>
      </c>
      <c r="D367" s="156" t="s">
        <v>541</v>
      </c>
      <c r="E367" s="179">
        <v>10972726000</v>
      </c>
      <c r="F367" s="179">
        <v>10972726000</v>
      </c>
      <c r="G367" s="179">
        <v>8229544500</v>
      </c>
      <c r="H367" s="179">
        <v>0</v>
      </c>
      <c r="I367" s="179">
        <v>1564251987.0899999</v>
      </c>
      <c r="J367" s="179">
        <v>233324261.81999999</v>
      </c>
      <c r="K367" s="179">
        <v>4733950353.3199997</v>
      </c>
      <c r="L367" s="179">
        <v>4500021290.5200005</v>
      </c>
      <c r="M367" s="179">
        <v>4441199397.7700005</v>
      </c>
      <c r="N367" s="179">
        <v>1698017897.77</v>
      </c>
    </row>
    <row r="368" spans="1:14" s="156" customFormat="1" x14ac:dyDescent="0.25">
      <c r="A368" s="156" t="s">
        <v>546</v>
      </c>
      <c r="B368" s="156" t="s">
        <v>364</v>
      </c>
      <c r="C368" s="156" t="s">
        <v>365</v>
      </c>
      <c r="D368" s="156" t="s">
        <v>541</v>
      </c>
      <c r="E368" s="179">
        <v>11640500</v>
      </c>
      <c r="F368" s="179">
        <v>11640500</v>
      </c>
      <c r="G368" s="179">
        <v>11640500</v>
      </c>
      <c r="H368" s="179">
        <v>0</v>
      </c>
      <c r="I368" s="179">
        <v>2227500</v>
      </c>
      <c r="J368" s="179">
        <v>0</v>
      </c>
      <c r="K368" s="179">
        <v>3592500</v>
      </c>
      <c r="L368" s="179">
        <v>3592500</v>
      </c>
      <c r="M368" s="179">
        <v>5820500</v>
      </c>
      <c r="N368" s="179">
        <v>5820500</v>
      </c>
    </row>
    <row r="369" spans="1:14" s="156" customFormat="1" x14ac:dyDescent="0.25">
      <c r="A369" s="156" t="s">
        <v>546</v>
      </c>
      <c r="B369" s="156" t="s">
        <v>216</v>
      </c>
      <c r="C369" s="156" t="s">
        <v>217</v>
      </c>
      <c r="D369" s="156" t="s">
        <v>541</v>
      </c>
      <c r="E369" s="179">
        <v>446867786</v>
      </c>
      <c r="F369" s="179">
        <v>442289969</v>
      </c>
      <c r="G369" s="179">
        <v>367242785.5</v>
      </c>
      <c r="H369" s="179">
        <v>34117981.5</v>
      </c>
      <c r="I369" s="179">
        <v>19159882.629999999</v>
      </c>
      <c r="J369" s="179">
        <v>1354987.8</v>
      </c>
      <c r="K369" s="179">
        <v>104769216.06</v>
      </c>
      <c r="L369" s="179">
        <v>69699790.129999995</v>
      </c>
      <c r="M369" s="179">
        <v>282887901.00999999</v>
      </c>
      <c r="N369" s="179">
        <v>207840717.50999999</v>
      </c>
    </row>
    <row r="370" spans="1:14" s="156" customFormat="1" x14ac:dyDescent="0.25">
      <c r="A370" s="156" t="s">
        <v>546</v>
      </c>
      <c r="B370" s="156" t="s">
        <v>218</v>
      </c>
      <c r="C370" s="156" t="s">
        <v>219</v>
      </c>
      <c r="D370" s="156" t="s">
        <v>541</v>
      </c>
      <c r="E370" s="179">
        <v>122902000</v>
      </c>
      <c r="F370" s="179">
        <v>122902000</v>
      </c>
      <c r="G370" s="179">
        <v>96261314</v>
      </c>
      <c r="H370" s="179">
        <v>0</v>
      </c>
      <c r="I370" s="179">
        <v>2884724</v>
      </c>
      <c r="J370" s="179">
        <v>0</v>
      </c>
      <c r="K370" s="179">
        <v>8371052.8099999996</v>
      </c>
      <c r="L370" s="179">
        <v>8371052.8099999996</v>
      </c>
      <c r="M370" s="179">
        <v>111646223.19</v>
      </c>
      <c r="N370" s="179">
        <v>85005537.189999998</v>
      </c>
    </row>
    <row r="371" spans="1:14" s="156" customFormat="1" x14ac:dyDescent="0.25">
      <c r="A371" s="156" t="s">
        <v>546</v>
      </c>
      <c r="B371" s="156" t="s">
        <v>336</v>
      </c>
      <c r="C371" s="156" t="s">
        <v>337</v>
      </c>
      <c r="D371" s="156" t="s">
        <v>541</v>
      </c>
      <c r="E371" s="179">
        <v>50168000</v>
      </c>
      <c r="F371" s="179">
        <v>50168000</v>
      </c>
      <c r="G371" s="179">
        <v>37626000</v>
      </c>
      <c r="H371" s="179">
        <v>9998800</v>
      </c>
      <c r="I371" s="179">
        <v>0</v>
      </c>
      <c r="J371" s="179">
        <v>0</v>
      </c>
      <c r="K371" s="179">
        <v>3935643</v>
      </c>
      <c r="L371" s="179">
        <v>3935643</v>
      </c>
      <c r="M371" s="179">
        <v>36233557</v>
      </c>
      <c r="N371" s="179">
        <v>23691557</v>
      </c>
    </row>
    <row r="372" spans="1:14" s="156" customFormat="1" x14ac:dyDescent="0.25">
      <c r="A372" s="156" t="s">
        <v>546</v>
      </c>
      <c r="B372" s="156" t="s">
        <v>338</v>
      </c>
      <c r="C372" s="156" t="s">
        <v>339</v>
      </c>
      <c r="D372" s="156" t="s">
        <v>541</v>
      </c>
      <c r="E372" s="179">
        <v>89195672</v>
      </c>
      <c r="F372" s="179">
        <v>89195672</v>
      </c>
      <c r="G372" s="179">
        <v>72520647</v>
      </c>
      <c r="H372" s="179">
        <v>0</v>
      </c>
      <c r="I372" s="179">
        <v>0</v>
      </c>
      <c r="J372" s="179">
        <v>0</v>
      </c>
      <c r="K372" s="179">
        <v>53066598</v>
      </c>
      <c r="L372" s="179">
        <v>45866598</v>
      </c>
      <c r="M372" s="179">
        <v>36129074</v>
      </c>
      <c r="N372" s="179">
        <v>19454049</v>
      </c>
    </row>
    <row r="373" spans="1:14" s="156" customFormat="1" x14ac:dyDescent="0.25">
      <c r="A373" s="156" t="s">
        <v>546</v>
      </c>
      <c r="B373" s="156" t="s">
        <v>220</v>
      </c>
      <c r="C373" s="156" t="s">
        <v>221</v>
      </c>
      <c r="D373" s="156" t="s">
        <v>541</v>
      </c>
      <c r="E373" s="179">
        <v>90316000</v>
      </c>
      <c r="F373" s="179">
        <v>90316000</v>
      </c>
      <c r="G373" s="179">
        <v>90316000</v>
      </c>
      <c r="H373" s="179">
        <v>21245381.5</v>
      </c>
      <c r="I373" s="179">
        <v>16275158.630000001</v>
      </c>
      <c r="J373" s="179">
        <v>1048491</v>
      </c>
      <c r="K373" s="179">
        <v>23280813.280000001</v>
      </c>
      <c r="L373" s="179">
        <v>11321108.539999999</v>
      </c>
      <c r="M373" s="179">
        <v>28466155.59</v>
      </c>
      <c r="N373" s="179">
        <v>28466155.59</v>
      </c>
    </row>
    <row r="374" spans="1:14" s="156" customFormat="1" x14ac:dyDescent="0.25">
      <c r="A374" s="156" t="s">
        <v>546</v>
      </c>
      <c r="B374" s="156" t="s">
        <v>222</v>
      </c>
      <c r="C374" s="156" t="s">
        <v>223</v>
      </c>
      <c r="D374" s="156" t="s">
        <v>541</v>
      </c>
      <c r="E374" s="179">
        <v>7059000</v>
      </c>
      <c r="F374" s="179">
        <v>2481183</v>
      </c>
      <c r="G374" s="179">
        <v>2481183</v>
      </c>
      <c r="H374" s="179">
        <v>2291500</v>
      </c>
      <c r="I374" s="179">
        <v>0</v>
      </c>
      <c r="J374" s="179">
        <v>0</v>
      </c>
      <c r="K374" s="179">
        <v>185000</v>
      </c>
      <c r="L374" s="179">
        <v>185000</v>
      </c>
      <c r="M374" s="179">
        <v>4683</v>
      </c>
      <c r="N374" s="179">
        <v>4683</v>
      </c>
    </row>
    <row r="375" spans="1:14" s="156" customFormat="1" x14ac:dyDescent="0.25">
      <c r="A375" s="156" t="s">
        <v>546</v>
      </c>
      <c r="B375" s="156" t="s">
        <v>224</v>
      </c>
      <c r="C375" s="156" t="s">
        <v>225</v>
      </c>
      <c r="D375" s="156" t="s">
        <v>541</v>
      </c>
      <c r="E375" s="179">
        <v>61279000</v>
      </c>
      <c r="F375" s="179">
        <v>61279000</v>
      </c>
      <c r="G375" s="179">
        <v>42089528</v>
      </c>
      <c r="H375" s="179">
        <v>582300</v>
      </c>
      <c r="I375" s="179">
        <v>0</v>
      </c>
      <c r="J375" s="179">
        <v>306496.8</v>
      </c>
      <c r="K375" s="179">
        <v>15930108.970000001</v>
      </c>
      <c r="L375" s="179">
        <v>20387.78</v>
      </c>
      <c r="M375" s="179">
        <v>44460094.229999997</v>
      </c>
      <c r="N375" s="179">
        <v>25270622.23</v>
      </c>
    </row>
    <row r="376" spans="1:14" s="156" customFormat="1" x14ac:dyDescent="0.25">
      <c r="A376" s="156" t="s">
        <v>546</v>
      </c>
      <c r="B376" s="156" t="s">
        <v>226</v>
      </c>
      <c r="C376" s="156" t="s">
        <v>227</v>
      </c>
      <c r="D376" s="156" t="s">
        <v>541</v>
      </c>
      <c r="E376" s="179">
        <v>25948114</v>
      </c>
      <c r="F376" s="179">
        <v>25948114</v>
      </c>
      <c r="G376" s="179">
        <v>25948113.5</v>
      </c>
      <c r="H376" s="179">
        <v>0</v>
      </c>
      <c r="I376" s="179">
        <v>0</v>
      </c>
      <c r="J376" s="179">
        <v>0</v>
      </c>
      <c r="K376" s="179">
        <v>0</v>
      </c>
      <c r="L376" s="179">
        <v>0</v>
      </c>
      <c r="M376" s="179">
        <v>25948114</v>
      </c>
      <c r="N376" s="179">
        <v>25948113.5</v>
      </c>
    </row>
    <row r="377" spans="1:14" s="156" customFormat="1" x14ac:dyDescent="0.25">
      <c r="A377" s="156" t="s">
        <v>546</v>
      </c>
      <c r="B377" s="156" t="s">
        <v>228</v>
      </c>
      <c r="C377" s="156" t="s">
        <v>229</v>
      </c>
      <c r="D377" s="156" t="s">
        <v>541</v>
      </c>
      <c r="E377" s="179">
        <v>150560000</v>
      </c>
      <c r="F377" s="179">
        <v>150560000</v>
      </c>
      <c r="G377" s="179">
        <v>138306860</v>
      </c>
      <c r="H377" s="179">
        <v>6470740</v>
      </c>
      <c r="I377" s="179">
        <v>34961262.590000004</v>
      </c>
      <c r="J377" s="179">
        <v>3973475</v>
      </c>
      <c r="K377" s="179">
        <v>56447352.420000002</v>
      </c>
      <c r="L377" s="179">
        <v>54616249.390000001</v>
      </c>
      <c r="M377" s="179">
        <v>48707169.990000002</v>
      </c>
      <c r="N377" s="179">
        <v>36454029.990000002</v>
      </c>
    </row>
    <row r="378" spans="1:14" s="156" customFormat="1" x14ac:dyDescent="0.25">
      <c r="A378" s="156" t="s">
        <v>546</v>
      </c>
      <c r="B378" s="156" t="s">
        <v>230</v>
      </c>
      <c r="C378" s="156" t="s">
        <v>231</v>
      </c>
      <c r="D378" s="156" t="s">
        <v>541</v>
      </c>
      <c r="E378" s="179">
        <v>53615000</v>
      </c>
      <c r="F378" s="179">
        <v>53615000</v>
      </c>
      <c r="G378" s="179">
        <v>41361860</v>
      </c>
      <c r="H378" s="179">
        <v>0</v>
      </c>
      <c r="I378" s="179">
        <v>42000</v>
      </c>
      <c r="J378" s="179">
        <v>0</v>
      </c>
      <c r="K378" s="179">
        <v>16813580</v>
      </c>
      <c r="L378" s="179">
        <v>16813580</v>
      </c>
      <c r="M378" s="179">
        <v>36759420</v>
      </c>
      <c r="N378" s="179">
        <v>24506280</v>
      </c>
    </row>
    <row r="379" spans="1:14" s="156" customFormat="1" x14ac:dyDescent="0.25">
      <c r="A379" s="156" t="s">
        <v>546</v>
      </c>
      <c r="B379" s="156" t="s">
        <v>232</v>
      </c>
      <c r="C379" s="156" t="s">
        <v>233</v>
      </c>
      <c r="D379" s="156" t="s">
        <v>541</v>
      </c>
      <c r="E379" s="179">
        <v>96945000</v>
      </c>
      <c r="F379" s="179">
        <v>96945000</v>
      </c>
      <c r="G379" s="179">
        <v>96945000</v>
      </c>
      <c r="H379" s="179">
        <v>6470740</v>
      </c>
      <c r="I379" s="179">
        <v>34919262.590000004</v>
      </c>
      <c r="J379" s="179">
        <v>3973475</v>
      </c>
      <c r="K379" s="179">
        <v>39633772.420000002</v>
      </c>
      <c r="L379" s="179">
        <v>37802669.390000001</v>
      </c>
      <c r="M379" s="179">
        <v>11947749.99</v>
      </c>
      <c r="N379" s="179">
        <v>11947749.99</v>
      </c>
    </row>
    <row r="380" spans="1:14" s="156" customFormat="1" x14ac:dyDescent="0.25">
      <c r="A380" s="156" t="s">
        <v>546</v>
      </c>
      <c r="B380" s="156" t="s">
        <v>609</v>
      </c>
      <c r="C380" s="156" t="s">
        <v>610</v>
      </c>
      <c r="D380" s="156" t="s">
        <v>541</v>
      </c>
      <c r="E380" s="179">
        <v>0</v>
      </c>
      <c r="F380" s="179">
        <v>4577817</v>
      </c>
      <c r="G380" s="179">
        <v>4577817</v>
      </c>
      <c r="H380" s="179">
        <v>0</v>
      </c>
      <c r="I380" s="179">
        <v>0</v>
      </c>
      <c r="J380" s="179">
        <v>0</v>
      </c>
      <c r="K380" s="179">
        <v>0</v>
      </c>
      <c r="L380" s="179">
        <v>0</v>
      </c>
      <c r="M380" s="179">
        <v>4577817</v>
      </c>
      <c r="N380" s="179">
        <v>4577817</v>
      </c>
    </row>
    <row r="381" spans="1:14" s="156" customFormat="1" x14ac:dyDescent="0.25">
      <c r="A381" s="156" t="s">
        <v>546</v>
      </c>
      <c r="B381" s="156" t="s">
        <v>611</v>
      </c>
      <c r="C381" s="156" t="s">
        <v>612</v>
      </c>
      <c r="D381" s="156" t="s">
        <v>541</v>
      </c>
      <c r="E381" s="179">
        <v>0</v>
      </c>
      <c r="F381" s="179">
        <v>4577817</v>
      </c>
      <c r="G381" s="179">
        <v>4577817</v>
      </c>
      <c r="H381" s="179">
        <v>0</v>
      </c>
      <c r="I381" s="179">
        <v>0</v>
      </c>
      <c r="J381" s="179">
        <v>0</v>
      </c>
      <c r="K381" s="179">
        <v>0</v>
      </c>
      <c r="L381" s="179">
        <v>0</v>
      </c>
      <c r="M381" s="179">
        <v>4577817</v>
      </c>
      <c r="N381" s="179">
        <v>4577817</v>
      </c>
    </row>
    <row r="382" spans="1:14" s="156" customFormat="1" x14ac:dyDescent="0.25">
      <c r="A382" s="156" t="s">
        <v>546</v>
      </c>
      <c r="B382" s="156" t="s">
        <v>234</v>
      </c>
      <c r="C382" s="156" t="s">
        <v>601</v>
      </c>
      <c r="D382" s="156" t="s">
        <v>541</v>
      </c>
      <c r="E382" s="179">
        <v>1656349984</v>
      </c>
      <c r="F382" s="179">
        <v>1656349984</v>
      </c>
      <c r="G382" s="179">
        <v>1611809857</v>
      </c>
      <c r="H382" s="179">
        <v>12931070</v>
      </c>
      <c r="I382" s="179">
        <v>482248597.05000001</v>
      </c>
      <c r="J382" s="179">
        <v>10231630.48</v>
      </c>
      <c r="K382" s="179">
        <v>708796199.14999998</v>
      </c>
      <c r="L382" s="179">
        <v>679961237.14999998</v>
      </c>
      <c r="M382" s="179">
        <v>442142487.31999999</v>
      </c>
      <c r="N382" s="179">
        <v>397602360.31999999</v>
      </c>
    </row>
    <row r="383" spans="1:14" s="156" customFormat="1" x14ac:dyDescent="0.25">
      <c r="A383" s="156" t="s">
        <v>546</v>
      </c>
      <c r="B383" s="156" t="s">
        <v>235</v>
      </c>
      <c r="C383" s="156" t="s">
        <v>236</v>
      </c>
      <c r="D383" s="156" t="s">
        <v>541</v>
      </c>
      <c r="E383" s="179">
        <v>34070136</v>
      </c>
      <c r="F383" s="179">
        <v>34070136</v>
      </c>
      <c r="G383" s="179">
        <v>25552602</v>
      </c>
      <c r="H383" s="179">
        <v>0</v>
      </c>
      <c r="I383" s="179">
        <v>100800</v>
      </c>
      <c r="J383" s="179">
        <v>0</v>
      </c>
      <c r="K383" s="179">
        <v>715487</v>
      </c>
      <c r="L383" s="179">
        <v>715487</v>
      </c>
      <c r="M383" s="179">
        <v>33253849</v>
      </c>
      <c r="N383" s="179">
        <v>24736315</v>
      </c>
    </row>
    <row r="384" spans="1:14" s="156" customFormat="1" x14ac:dyDescent="0.25">
      <c r="A384" s="156" t="s">
        <v>546</v>
      </c>
      <c r="B384" s="156" t="s">
        <v>237</v>
      </c>
      <c r="C384" s="156" t="s">
        <v>238</v>
      </c>
      <c r="D384" s="156" t="s">
        <v>541</v>
      </c>
      <c r="E384" s="179">
        <v>65363019</v>
      </c>
      <c r="F384" s="179">
        <v>65363019</v>
      </c>
      <c r="G384" s="179">
        <v>52522263.75</v>
      </c>
      <c r="H384" s="179">
        <v>0</v>
      </c>
      <c r="I384" s="179">
        <v>107123.71</v>
      </c>
      <c r="J384" s="179">
        <v>55630.48</v>
      </c>
      <c r="K384" s="179">
        <v>5277259.2699999996</v>
      </c>
      <c r="L384" s="179">
        <v>5277259.2699999996</v>
      </c>
      <c r="M384" s="179">
        <v>59923005.539999999</v>
      </c>
      <c r="N384" s="179">
        <v>47082250.289999999</v>
      </c>
    </row>
    <row r="385" spans="1:14" s="156" customFormat="1" x14ac:dyDescent="0.25">
      <c r="A385" s="156" t="s">
        <v>546</v>
      </c>
      <c r="B385" s="156" t="s">
        <v>239</v>
      </c>
      <c r="C385" s="156" t="s">
        <v>240</v>
      </c>
      <c r="D385" s="156" t="s">
        <v>541</v>
      </c>
      <c r="E385" s="179">
        <v>146259000</v>
      </c>
      <c r="F385" s="179">
        <v>146259000</v>
      </c>
      <c r="G385" s="179">
        <v>146259000</v>
      </c>
      <c r="H385" s="179">
        <v>928800</v>
      </c>
      <c r="I385" s="179">
        <v>47031823.119999997</v>
      </c>
      <c r="J385" s="179">
        <v>10176000</v>
      </c>
      <c r="K385" s="179">
        <v>13166148.220000001</v>
      </c>
      <c r="L385" s="179">
        <v>10062468.220000001</v>
      </c>
      <c r="M385" s="179">
        <v>74956228.659999996</v>
      </c>
      <c r="N385" s="179">
        <v>74956228.659999996</v>
      </c>
    </row>
    <row r="386" spans="1:14" s="156" customFormat="1" x14ac:dyDescent="0.25">
      <c r="A386" s="156" t="s">
        <v>546</v>
      </c>
      <c r="B386" s="156" t="s">
        <v>241</v>
      </c>
      <c r="C386" s="156" t="s">
        <v>242</v>
      </c>
      <c r="D386" s="156" t="s">
        <v>541</v>
      </c>
      <c r="E386" s="179">
        <v>643150000</v>
      </c>
      <c r="F386" s="179">
        <v>643150000</v>
      </c>
      <c r="G386" s="179">
        <v>643150000</v>
      </c>
      <c r="H386" s="179">
        <v>1169000</v>
      </c>
      <c r="I386" s="179">
        <v>275700807.70999998</v>
      </c>
      <c r="J386" s="179">
        <v>0</v>
      </c>
      <c r="K386" s="179">
        <v>301580993.99000001</v>
      </c>
      <c r="L386" s="179">
        <v>301580993.99000001</v>
      </c>
      <c r="M386" s="179">
        <v>64699198.299999997</v>
      </c>
      <c r="N386" s="179">
        <v>64699198.299999997</v>
      </c>
    </row>
    <row r="387" spans="1:14" s="156" customFormat="1" x14ac:dyDescent="0.25">
      <c r="A387" s="156" t="s">
        <v>546</v>
      </c>
      <c r="B387" s="156" t="s">
        <v>243</v>
      </c>
      <c r="C387" s="156" t="s">
        <v>244</v>
      </c>
      <c r="D387" s="156" t="s">
        <v>541</v>
      </c>
      <c r="E387" s="179">
        <v>302355000</v>
      </c>
      <c r="F387" s="179">
        <v>302355000</v>
      </c>
      <c r="G387" s="179">
        <v>302355000</v>
      </c>
      <c r="H387" s="179">
        <v>0</v>
      </c>
      <c r="I387" s="179">
        <v>87989385.299999997</v>
      </c>
      <c r="J387" s="179">
        <v>0</v>
      </c>
      <c r="K387" s="179">
        <v>144455735.50999999</v>
      </c>
      <c r="L387" s="179">
        <v>118724453.51000001</v>
      </c>
      <c r="M387" s="179">
        <v>69909879.189999998</v>
      </c>
      <c r="N387" s="179">
        <v>69909879.189999998</v>
      </c>
    </row>
    <row r="388" spans="1:14" s="156" customFormat="1" x14ac:dyDescent="0.25">
      <c r="A388" s="156" t="s">
        <v>546</v>
      </c>
      <c r="B388" s="156" t="s">
        <v>245</v>
      </c>
      <c r="C388" s="156" t="s">
        <v>246</v>
      </c>
      <c r="D388" s="156" t="s">
        <v>541</v>
      </c>
      <c r="E388" s="179">
        <v>182921000</v>
      </c>
      <c r="F388" s="179">
        <v>182921000</v>
      </c>
      <c r="G388" s="179">
        <v>182921000</v>
      </c>
      <c r="H388" s="179">
        <v>10303770</v>
      </c>
      <c r="I388" s="179">
        <v>26945634.989999998</v>
      </c>
      <c r="J388" s="179">
        <v>0</v>
      </c>
      <c r="K388" s="179">
        <v>132984463.25</v>
      </c>
      <c r="L388" s="179">
        <v>132984463.25</v>
      </c>
      <c r="M388" s="179">
        <v>12687131.76</v>
      </c>
      <c r="N388" s="179">
        <v>12687131.76</v>
      </c>
    </row>
    <row r="389" spans="1:14" s="156" customFormat="1" x14ac:dyDescent="0.25">
      <c r="A389" s="156" t="s">
        <v>546</v>
      </c>
      <c r="B389" s="156" t="s">
        <v>247</v>
      </c>
      <c r="C389" s="156" t="s">
        <v>248</v>
      </c>
      <c r="D389" s="156" t="s">
        <v>541</v>
      </c>
      <c r="E389" s="179">
        <v>92727347</v>
      </c>
      <c r="F389" s="179">
        <v>92727347</v>
      </c>
      <c r="G389" s="179">
        <v>69545509.75</v>
      </c>
      <c r="H389" s="179">
        <v>0</v>
      </c>
      <c r="I389" s="179">
        <v>17137098.280000001</v>
      </c>
      <c r="J389" s="179">
        <v>0</v>
      </c>
      <c r="K389" s="179">
        <v>16868478.489999998</v>
      </c>
      <c r="L389" s="179">
        <v>16868478.489999998</v>
      </c>
      <c r="M389" s="179">
        <v>58721770.229999997</v>
      </c>
      <c r="N389" s="179">
        <v>35539932.979999997</v>
      </c>
    </row>
    <row r="390" spans="1:14" s="156" customFormat="1" x14ac:dyDescent="0.25">
      <c r="A390" s="156" t="s">
        <v>546</v>
      </c>
      <c r="B390" s="156" t="s">
        <v>249</v>
      </c>
      <c r="C390" s="156" t="s">
        <v>250</v>
      </c>
      <c r="D390" s="156" t="s">
        <v>541</v>
      </c>
      <c r="E390" s="179">
        <v>189504482</v>
      </c>
      <c r="F390" s="179">
        <v>189504482</v>
      </c>
      <c r="G390" s="179">
        <v>189504481.5</v>
      </c>
      <c r="H390" s="179">
        <v>529500</v>
      </c>
      <c r="I390" s="179">
        <v>27235923.940000001</v>
      </c>
      <c r="J390" s="179">
        <v>0</v>
      </c>
      <c r="K390" s="179">
        <v>93747633.420000002</v>
      </c>
      <c r="L390" s="179">
        <v>93747633.420000002</v>
      </c>
      <c r="M390" s="179">
        <v>67991424.640000001</v>
      </c>
      <c r="N390" s="179">
        <v>67991424.140000001</v>
      </c>
    </row>
    <row r="391" spans="1:14" s="156" customFormat="1" x14ac:dyDescent="0.25">
      <c r="A391" s="156" t="s">
        <v>546</v>
      </c>
      <c r="B391" s="156" t="s">
        <v>279</v>
      </c>
      <c r="C391" s="156" t="s">
        <v>280</v>
      </c>
      <c r="D391" s="156" t="s">
        <v>541</v>
      </c>
      <c r="E391" s="179">
        <v>883769579</v>
      </c>
      <c r="F391" s="179">
        <v>2629734727</v>
      </c>
      <c r="G391" s="179">
        <v>1611520504.75</v>
      </c>
      <c r="H391" s="179">
        <v>136902457.09999999</v>
      </c>
      <c r="I391" s="179">
        <v>137640122.09999999</v>
      </c>
      <c r="J391" s="179">
        <v>45768000</v>
      </c>
      <c r="K391" s="179">
        <v>753103991.26999998</v>
      </c>
      <c r="L391" s="179">
        <v>738297652.63</v>
      </c>
      <c r="M391" s="179">
        <v>1556320156.53</v>
      </c>
      <c r="N391" s="179">
        <v>538105934.27999997</v>
      </c>
    </row>
    <row r="392" spans="1:14" s="156" customFormat="1" x14ac:dyDescent="0.25">
      <c r="A392" s="156" t="s">
        <v>546</v>
      </c>
      <c r="B392" s="156" t="s">
        <v>281</v>
      </c>
      <c r="C392" s="156" t="s">
        <v>282</v>
      </c>
      <c r="D392" s="156" t="s">
        <v>541</v>
      </c>
      <c r="E392" s="179">
        <v>667187579</v>
      </c>
      <c r="F392" s="179">
        <v>667187579</v>
      </c>
      <c r="G392" s="179">
        <v>667187578.75</v>
      </c>
      <c r="H392" s="179">
        <v>136902457.09999999</v>
      </c>
      <c r="I392" s="179">
        <v>126972801.54000001</v>
      </c>
      <c r="J392" s="179">
        <v>45768000</v>
      </c>
      <c r="K392" s="179">
        <v>128614931.86</v>
      </c>
      <c r="L392" s="179">
        <v>128614931.86</v>
      </c>
      <c r="M392" s="179">
        <v>228929388.5</v>
      </c>
      <c r="N392" s="179">
        <v>228929388.25</v>
      </c>
    </row>
    <row r="393" spans="1:14" s="156" customFormat="1" x14ac:dyDescent="0.25">
      <c r="A393" s="156" t="s">
        <v>546</v>
      </c>
      <c r="B393" s="156" t="s">
        <v>285</v>
      </c>
      <c r="C393" s="156" t="s">
        <v>286</v>
      </c>
      <c r="D393" s="156" t="s">
        <v>541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9">
        <v>0</v>
      </c>
      <c r="K393" s="179">
        <v>0</v>
      </c>
      <c r="L393" s="179">
        <v>0</v>
      </c>
      <c r="M393" s="179">
        <v>0</v>
      </c>
      <c r="N393" s="179">
        <v>0</v>
      </c>
    </row>
    <row r="394" spans="1:14" s="156" customFormat="1" x14ac:dyDescent="0.25">
      <c r="A394" s="156" t="s">
        <v>546</v>
      </c>
      <c r="B394" s="156" t="s">
        <v>287</v>
      </c>
      <c r="C394" s="156" t="s">
        <v>288</v>
      </c>
      <c r="D394" s="156" t="s">
        <v>541</v>
      </c>
      <c r="E394" s="179">
        <v>0</v>
      </c>
      <c r="F394" s="179">
        <v>0</v>
      </c>
      <c r="G394" s="179">
        <v>0</v>
      </c>
      <c r="H394" s="179">
        <v>0</v>
      </c>
      <c r="I394" s="179">
        <v>0</v>
      </c>
      <c r="J394" s="179">
        <v>0</v>
      </c>
      <c r="K394" s="179">
        <v>0</v>
      </c>
      <c r="L394" s="179">
        <v>0</v>
      </c>
      <c r="M394" s="179">
        <v>0</v>
      </c>
      <c r="N394" s="179">
        <v>0</v>
      </c>
    </row>
    <row r="395" spans="1:14" s="156" customFormat="1" x14ac:dyDescent="0.25">
      <c r="A395" s="156" t="s">
        <v>546</v>
      </c>
      <c r="B395" s="156" t="s">
        <v>283</v>
      </c>
      <c r="C395" s="156" t="s">
        <v>284</v>
      </c>
      <c r="D395" s="156" t="s">
        <v>543</v>
      </c>
      <c r="E395" s="179">
        <v>33062000</v>
      </c>
      <c r="F395" s="179">
        <v>19951724</v>
      </c>
      <c r="G395" s="179">
        <v>19951724</v>
      </c>
      <c r="H395" s="179">
        <v>8296467.0999999996</v>
      </c>
      <c r="I395" s="179">
        <v>0</v>
      </c>
      <c r="J395" s="179">
        <v>0</v>
      </c>
      <c r="K395" s="179">
        <v>0</v>
      </c>
      <c r="L395" s="179">
        <v>0</v>
      </c>
      <c r="M395" s="179">
        <v>11655256.9</v>
      </c>
      <c r="N395" s="179">
        <v>11655256.9</v>
      </c>
    </row>
    <row r="396" spans="1:14" s="156" customFormat="1" x14ac:dyDescent="0.25">
      <c r="A396" s="156" t="s">
        <v>546</v>
      </c>
      <c r="B396" s="156" t="s">
        <v>398</v>
      </c>
      <c r="C396" s="156" t="s">
        <v>501</v>
      </c>
      <c r="D396" s="156" t="s">
        <v>543</v>
      </c>
      <c r="E396" s="179">
        <v>72100000</v>
      </c>
      <c r="F396" s="179">
        <v>72100000</v>
      </c>
      <c r="G396" s="179">
        <v>72100000</v>
      </c>
      <c r="H396" s="179">
        <v>0</v>
      </c>
      <c r="I396" s="179">
        <v>0</v>
      </c>
      <c r="J396" s="179">
        <v>0</v>
      </c>
      <c r="K396" s="179">
        <v>16883370</v>
      </c>
      <c r="L396" s="179">
        <v>16883370</v>
      </c>
      <c r="M396" s="179">
        <v>55216630</v>
      </c>
      <c r="N396" s="179">
        <v>55216630</v>
      </c>
    </row>
    <row r="397" spans="1:14" s="156" customFormat="1" x14ac:dyDescent="0.25">
      <c r="A397" s="156" t="s">
        <v>546</v>
      </c>
      <c r="B397" s="156" t="s">
        <v>285</v>
      </c>
      <c r="C397" s="156" t="s">
        <v>286</v>
      </c>
      <c r="D397" s="156" t="s">
        <v>543</v>
      </c>
      <c r="E397" s="179">
        <v>147248000</v>
      </c>
      <c r="F397" s="179">
        <v>141523000</v>
      </c>
      <c r="G397" s="179">
        <v>141523000</v>
      </c>
      <c r="H397" s="179">
        <v>650000</v>
      </c>
      <c r="I397" s="179">
        <v>85844244.590000004</v>
      </c>
      <c r="J397" s="179">
        <v>0</v>
      </c>
      <c r="K397" s="179">
        <v>7645100</v>
      </c>
      <c r="L397" s="179">
        <v>7645100</v>
      </c>
      <c r="M397" s="179">
        <v>47383655.409999996</v>
      </c>
      <c r="N397" s="179">
        <v>47383655.409999996</v>
      </c>
    </row>
    <row r="398" spans="1:14" s="156" customFormat="1" x14ac:dyDescent="0.25">
      <c r="A398" s="156" t="s">
        <v>546</v>
      </c>
      <c r="B398" s="156" t="s">
        <v>287</v>
      </c>
      <c r="C398" s="156" t="s">
        <v>288</v>
      </c>
      <c r="D398" s="156" t="s">
        <v>543</v>
      </c>
      <c r="E398" s="179">
        <v>69415579</v>
      </c>
      <c r="F398" s="179">
        <v>88250855</v>
      </c>
      <c r="G398" s="179">
        <v>88250854.75</v>
      </c>
      <c r="H398" s="179">
        <v>0</v>
      </c>
      <c r="I398" s="179">
        <v>1091800</v>
      </c>
      <c r="J398" s="179">
        <v>0</v>
      </c>
      <c r="K398" s="179">
        <v>14204254</v>
      </c>
      <c r="L398" s="179">
        <v>14204254</v>
      </c>
      <c r="M398" s="179">
        <v>72954801</v>
      </c>
      <c r="N398" s="179">
        <v>72954800.75</v>
      </c>
    </row>
    <row r="399" spans="1:14" s="156" customFormat="1" x14ac:dyDescent="0.25">
      <c r="A399" s="156" t="s">
        <v>546</v>
      </c>
      <c r="B399" s="156" t="s">
        <v>289</v>
      </c>
      <c r="C399" s="156" t="s">
        <v>290</v>
      </c>
      <c r="D399" s="156" t="s">
        <v>543</v>
      </c>
      <c r="E399" s="179">
        <v>21137000</v>
      </c>
      <c r="F399" s="179">
        <v>21137000</v>
      </c>
      <c r="G399" s="179">
        <v>21137000</v>
      </c>
      <c r="H399" s="179">
        <v>0</v>
      </c>
      <c r="I399" s="179">
        <v>0</v>
      </c>
      <c r="J399" s="179">
        <v>0</v>
      </c>
      <c r="K399" s="179">
        <v>13982594.789999999</v>
      </c>
      <c r="L399" s="179">
        <v>13982594.789999999</v>
      </c>
      <c r="M399" s="179">
        <v>7154405.21</v>
      </c>
      <c r="N399" s="179">
        <v>7154405.21</v>
      </c>
    </row>
    <row r="400" spans="1:14" s="156" customFormat="1" x14ac:dyDescent="0.25">
      <c r="A400" s="156" t="s">
        <v>546</v>
      </c>
      <c r="B400" s="156" t="s">
        <v>291</v>
      </c>
      <c r="C400" s="156" t="s">
        <v>292</v>
      </c>
      <c r="D400" s="156" t="s">
        <v>543</v>
      </c>
      <c r="E400" s="179">
        <v>29458000</v>
      </c>
      <c r="F400" s="179">
        <v>29458000</v>
      </c>
      <c r="G400" s="179">
        <v>29458000</v>
      </c>
      <c r="H400" s="179">
        <v>13109310</v>
      </c>
      <c r="I400" s="179">
        <v>0</v>
      </c>
      <c r="J400" s="179">
        <v>0</v>
      </c>
      <c r="K400" s="179">
        <v>16265225.01</v>
      </c>
      <c r="L400" s="179">
        <v>16265225.01</v>
      </c>
      <c r="M400" s="179">
        <v>83464.990000000005</v>
      </c>
      <c r="N400" s="179">
        <v>83464.990000000005</v>
      </c>
    </row>
    <row r="401" spans="1:14" s="156" customFormat="1" x14ac:dyDescent="0.25">
      <c r="A401" s="156" t="s">
        <v>546</v>
      </c>
      <c r="B401" s="156" t="s">
        <v>293</v>
      </c>
      <c r="C401" s="156" t="s">
        <v>294</v>
      </c>
      <c r="D401" s="156" t="s">
        <v>543</v>
      </c>
      <c r="E401" s="179">
        <v>5405000</v>
      </c>
      <c r="F401" s="179">
        <v>5405000</v>
      </c>
      <c r="G401" s="179">
        <v>5405000</v>
      </c>
      <c r="H401" s="179">
        <v>0</v>
      </c>
      <c r="I401" s="179">
        <v>0</v>
      </c>
      <c r="J401" s="179">
        <v>0</v>
      </c>
      <c r="K401" s="179">
        <v>3981450</v>
      </c>
      <c r="L401" s="179">
        <v>3981450</v>
      </c>
      <c r="M401" s="179">
        <v>1423550</v>
      </c>
      <c r="N401" s="179">
        <v>1423550</v>
      </c>
    </row>
    <row r="402" spans="1:14" s="156" customFormat="1" x14ac:dyDescent="0.25">
      <c r="A402" s="156" t="s">
        <v>546</v>
      </c>
      <c r="B402" s="156" t="s">
        <v>295</v>
      </c>
      <c r="C402" s="156" t="s">
        <v>296</v>
      </c>
      <c r="D402" s="156" t="s">
        <v>543</v>
      </c>
      <c r="E402" s="179">
        <v>289362000</v>
      </c>
      <c r="F402" s="179">
        <v>289362000</v>
      </c>
      <c r="G402" s="179">
        <v>289362000</v>
      </c>
      <c r="H402" s="179">
        <v>114846680</v>
      </c>
      <c r="I402" s="179">
        <v>40036756.950000003</v>
      </c>
      <c r="J402" s="179">
        <v>45768000</v>
      </c>
      <c r="K402" s="179">
        <v>55652938.060000002</v>
      </c>
      <c r="L402" s="179">
        <v>55652938.060000002</v>
      </c>
      <c r="M402" s="179">
        <v>33057624.989999998</v>
      </c>
      <c r="N402" s="179">
        <v>33057624.989999998</v>
      </c>
    </row>
    <row r="403" spans="1:14" s="156" customFormat="1" x14ac:dyDescent="0.25">
      <c r="A403" s="156" t="s">
        <v>546</v>
      </c>
      <c r="B403" s="156" t="s">
        <v>340</v>
      </c>
      <c r="C403" s="156" t="s">
        <v>341</v>
      </c>
      <c r="D403" s="156" t="s">
        <v>541</v>
      </c>
      <c r="E403" s="179">
        <v>208494000</v>
      </c>
      <c r="F403" s="179">
        <v>208494000</v>
      </c>
      <c r="G403" s="179">
        <v>208494000</v>
      </c>
      <c r="H403" s="179">
        <v>0</v>
      </c>
      <c r="I403" s="179">
        <v>2490015.69</v>
      </c>
      <c r="J403" s="179">
        <v>0</v>
      </c>
      <c r="K403" s="179">
        <v>3472139.2</v>
      </c>
      <c r="L403" s="179">
        <v>3472139.2</v>
      </c>
      <c r="M403" s="179">
        <v>202531845.11000001</v>
      </c>
      <c r="N403" s="179">
        <v>202531845.11000001</v>
      </c>
    </row>
    <row r="404" spans="1:14" s="156" customFormat="1" x14ac:dyDescent="0.25">
      <c r="A404" s="156" t="s">
        <v>546</v>
      </c>
      <c r="B404" s="156" t="s">
        <v>342</v>
      </c>
      <c r="C404" s="156" t="s">
        <v>343</v>
      </c>
      <c r="D404" s="156" t="s">
        <v>541</v>
      </c>
      <c r="E404" s="179">
        <v>0</v>
      </c>
      <c r="F404" s="179">
        <v>0</v>
      </c>
      <c r="G404" s="179">
        <v>0</v>
      </c>
      <c r="H404" s="179">
        <v>0</v>
      </c>
      <c r="I404" s="179">
        <v>0</v>
      </c>
      <c r="J404" s="179">
        <v>0</v>
      </c>
      <c r="K404" s="179">
        <v>0</v>
      </c>
      <c r="L404" s="179">
        <v>0</v>
      </c>
      <c r="M404" s="179">
        <v>0</v>
      </c>
      <c r="N404" s="179">
        <v>0</v>
      </c>
    </row>
    <row r="405" spans="1:14" s="156" customFormat="1" x14ac:dyDescent="0.25">
      <c r="A405" s="156" t="s">
        <v>546</v>
      </c>
      <c r="B405" s="156" t="s">
        <v>342</v>
      </c>
      <c r="C405" s="156" t="s">
        <v>343</v>
      </c>
      <c r="D405" s="156" t="s">
        <v>543</v>
      </c>
      <c r="E405" s="179">
        <v>208494000</v>
      </c>
      <c r="F405" s="179">
        <v>208494000</v>
      </c>
      <c r="G405" s="179">
        <v>208494000</v>
      </c>
      <c r="H405" s="179">
        <v>0</v>
      </c>
      <c r="I405" s="179">
        <v>2490015.69</v>
      </c>
      <c r="J405" s="179">
        <v>0</v>
      </c>
      <c r="K405" s="179">
        <v>3472139.2</v>
      </c>
      <c r="L405" s="179">
        <v>3472139.2</v>
      </c>
      <c r="M405" s="179">
        <v>202531845.11000001</v>
      </c>
      <c r="N405" s="179">
        <v>202531845.11000001</v>
      </c>
    </row>
    <row r="406" spans="1:14" s="156" customFormat="1" x14ac:dyDescent="0.25">
      <c r="A406" s="156" t="s">
        <v>546</v>
      </c>
      <c r="B406" s="156" t="s">
        <v>297</v>
      </c>
      <c r="C406" s="156" t="s">
        <v>298</v>
      </c>
      <c r="D406" s="156" t="s">
        <v>543</v>
      </c>
      <c r="E406" s="179">
        <v>8088000</v>
      </c>
      <c r="F406" s="179">
        <v>1754053148</v>
      </c>
      <c r="G406" s="179">
        <v>735838926</v>
      </c>
      <c r="H406" s="179">
        <v>0</v>
      </c>
      <c r="I406" s="179">
        <v>8177304.8700000001</v>
      </c>
      <c r="J406" s="179">
        <v>0</v>
      </c>
      <c r="K406" s="179">
        <v>621016920.21000004</v>
      </c>
      <c r="L406" s="179">
        <v>606210581.57000005</v>
      </c>
      <c r="M406" s="179">
        <v>1124858922.9200001</v>
      </c>
      <c r="N406" s="179">
        <v>106644700.92</v>
      </c>
    </row>
    <row r="407" spans="1:14" s="156" customFormat="1" x14ac:dyDescent="0.25">
      <c r="A407" s="156" t="s">
        <v>546</v>
      </c>
      <c r="B407" s="156" t="s">
        <v>299</v>
      </c>
      <c r="C407" s="156" t="s">
        <v>300</v>
      </c>
      <c r="D407" s="156" t="s">
        <v>543</v>
      </c>
      <c r="E407" s="179">
        <v>0</v>
      </c>
      <c r="F407" s="179">
        <v>1745965148</v>
      </c>
      <c r="G407" s="179">
        <v>727750926</v>
      </c>
      <c r="H407" s="179">
        <v>0</v>
      </c>
      <c r="I407" s="179">
        <v>8177304.8700000001</v>
      </c>
      <c r="J407" s="179">
        <v>0</v>
      </c>
      <c r="K407" s="179">
        <v>618994921.21000004</v>
      </c>
      <c r="L407" s="179">
        <v>604188582.57000005</v>
      </c>
      <c r="M407" s="179">
        <v>1118792921.9200001</v>
      </c>
      <c r="N407" s="179">
        <v>100578699.92</v>
      </c>
    </row>
    <row r="408" spans="1:14" s="156" customFormat="1" x14ac:dyDescent="0.25">
      <c r="A408" s="156" t="s">
        <v>546</v>
      </c>
      <c r="B408" s="156" t="s">
        <v>366</v>
      </c>
      <c r="C408" s="156" t="s">
        <v>367</v>
      </c>
      <c r="D408" s="156" t="s">
        <v>543</v>
      </c>
      <c r="E408" s="179">
        <v>8088000</v>
      </c>
      <c r="F408" s="179">
        <v>8088000</v>
      </c>
      <c r="G408" s="179">
        <v>8088000</v>
      </c>
      <c r="H408" s="179">
        <v>0</v>
      </c>
      <c r="I408" s="179">
        <v>0</v>
      </c>
      <c r="J408" s="179">
        <v>0</v>
      </c>
      <c r="K408" s="179">
        <v>2021999</v>
      </c>
      <c r="L408" s="179">
        <v>2021999</v>
      </c>
      <c r="M408" s="179">
        <v>6066001</v>
      </c>
      <c r="N408" s="179">
        <v>6066001</v>
      </c>
    </row>
    <row r="409" spans="1:14" s="156" customFormat="1" x14ac:dyDescent="0.25">
      <c r="A409" s="156" t="s">
        <v>546</v>
      </c>
      <c r="B409" s="156" t="s">
        <v>251</v>
      </c>
      <c r="C409" s="156" t="s">
        <v>252</v>
      </c>
      <c r="D409" s="156" t="s">
        <v>541</v>
      </c>
      <c r="E409" s="179">
        <v>11597046000</v>
      </c>
      <c r="F409" s="179">
        <v>11597046000</v>
      </c>
      <c r="G409" s="179">
        <v>11048816660.25</v>
      </c>
      <c r="H409" s="179">
        <v>0</v>
      </c>
      <c r="I409" s="179">
        <v>9422982922.3099995</v>
      </c>
      <c r="J409" s="179">
        <v>0</v>
      </c>
      <c r="K409" s="179">
        <v>1526895705.3900001</v>
      </c>
      <c r="L409" s="179">
        <v>1481895705.3900001</v>
      </c>
      <c r="M409" s="179">
        <v>647167372.29999995</v>
      </c>
      <c r="N409" s="179">
        <v>98938032.549999997</v>
      </c>
    </row>
    <row r="410" spans="1:14" s="156" customFormat="1" x14ac:dyDescent="0.25">
      <c r="A410" s="156" t="s">
        <v>546</v>
      </c>
      <c r="B410" s="156" t="s">
        <v>253</v>
      </c>
      <c r="C410" s="156" t="s">
        <v>254</v>
      </c>
      <c r="D410" s="156" t="s">
        <v>541</v>
      </c>
      <c r="E410" s="179">
        <v>9955805000</v>
      </c>
      <c r="F410" s="179">
        <v>9915805000</v>
      </c>
      <c r="G410" s="179">
        <v>9875805000</v>
      </c>
      <c r="H410" s="179">
        <v>0</v>
      </c>
      <c r="I410" s="179">
        <v>9409116786</v>
      </c>
      <c r="J410" s="179">
        <v>0</v>
      </c>
      <c r="K410" s="179">
        <v>466688214</v>
      </c>
      <c r="L410" s="179">
        <v>466688214</v>
      </c>
      <c r="M410" s="179">
        <v>40000000</v>
      </c>
      <c r="N410" s="179">
        <v>0</v>
      </c>
    </row>
    <row r="411" spans="1:14" s="156" customFormat="1" x14ac:dyDescent="0.25">
      <c r="A411" s="156" t="s">
        <v>546</v>
      </c>
      <c r="B411" s="156" t="s">
        <v>368</v>
      </c>
      <c r="C411" s="156" t="s">
        <v>369</v>
      </c>
      <c r="D411" s="156" t="s">
        <v>541</v>
      </c>
      <c r="E411" s="179">
        <v>80000000</v>
      </c>
      <c r="F411" s="179">
        <v>40000000</v>
      </c>
      <c r="G411" s="179">
        <v>0</v>
      </c>
      <c r="H411" s="179">
        <v>0</v>
      </c>
      <c r="I411" s="179">
        <v>0</v>
      </c>
      <c r="J411" s="179">
        <v>0</v>
      </c>
      <c r="K411" s="179">
        <v>0</v>
      </c>
      <c r="L411" s="179">
        <v>0</v>
      </c>
      <c r="M411" s="179">
        <v>40000000</v>
      </c>
      <c r="N411" s="179">
        <v>0</v>
      </c>
    </row>
    <row r="412" spans="1:14" s="156" customFormat="1" x14ac:dyDescent="0.25">
      <c r="A412" s="156" t="s">
        <v>546</v>
      </c>
      <c r="B412" s="156" t="s">
        <v>370</v>
      </c>
      <c r="C412" s="156" t="s">
        <v>602</v>
      </c>
      <c r="D412" s="156" t="s">
        <v>541</v>
      </c>
      <c r="E412" s="179">
        <v>673849000</v>
      </c>
      <c r="F412" s="179">
        <v>673849000</v>
      </c>
      <c r="G412" s="179">
        <v>673849000</v>
      </c>
      <c r="H412" s="179">
        <v>0</v>
      </c>
      <c r="I412" s="179">
        <v>285464177</v>
      </c>
      <c r="J412" s="179">
        <v>0</v>
      </c>
      <c r="K412" s="179">
        <v>388384823</v>
      </c>
      <c r="L412" s="179">
        <v>388384823</v>
      </c>
      <c r="M412" s="179">
        <v>0</v>
      </c>
      <c r="N412" s="179">
        <v>0</v>
      </c>
    </row>
    <row r="413" spans="1:14" s="156" customFormat="1" x14ac:dyDescent="0.25">
      <c r="A413" s="156" t="s">
        <v>546</v>
      </c>
      <c r="B413" s="156" t="s">
        <v>371</v>
      </c>
      <c r="C413" s="156" t="s">
        <v>603</v>
      </c>
      <c r="D413" s="156" t="s">
        <v>541</v>
      </c>
      <c r="E413" s="179">
        <v>135856000</v>
      </c>
      <c r="F413" s="179">
        <v>135856000</v>
      </c>
      <c r="G413" s="179">
        <v>135856000</v>
      </c>
      <c r="H413" s="179">
        <v>0</v>
      </c>
      <c r="I413" s="179">
        <v>57552609</v>
      </c>
      <c r="J413" s="179">
        <v>0</v>
      </c>
      <c r="K413" s="179">
        <v>78303391</v>
      </c>
      <c r="L413" s="179">
        <v>78303391</v>
      </c>
      <c r="M413" s="179">
        <v>0</v>
      </c>
      <c r="N413" s="179">
        <v>0</v>
      </c>
    </row>
    <row r="414" spans="1:14" s="156" customFormat="1" x14ac:dyDescent="0.25">
      <c r="A414" s="156" t="s">
        <v>546</v>
      </c>
      <c r="B414" s="156" t="s">
        <v>606</v>
      </c>
      <c r="C414" s="156" t="s">
        <v>608</v>
      </c>
      <c r="D414" s="156" t="s">
        <v>543</v>
      </c>
      <c r="E414" s="179">
        <v>9066100000</v>
      </c>
      <c r="F414" s="179">
        <v>9066100000</v>
      </c>
      <c r="G414" s="179">
        <v>9066100000</v>
      </c>
      <c r="H414" s="179">
        <v>0</v>
      </c>
      <c r="I414" s="179">
        <v>9066100000</v>
      </c>
      <c r="J414" s="179">
        <v>0</v>
      </c>
      <c r="K414" s="179">
        <v>0</v>
      </c>
      <c r="L414" s="179">
        <v>0</v>
      </c>
      <c r="M414" s="179">
        <v>0</v>
      </c>
      <c r="N414" s="179">
        <v>0</v>
      </c>
    </row>
    <row r="415" spans="1:14" s="156" customFormat="1" x14ac:dyDescent="0.25">
      <c r="A415" s="156" t="s">
        <v>546</v>
      </c>
      <c r="B415" s="156" t="s">
        <v>372</v>
      </c>
      <c r="C415" s="156" t="s">
        <v>373</v>
      </c>
      <c r="D415" s="156" t="s">
        <v>541</v>
      </c>
      <c r="E415" s="179">
        <v>550000000</v>
      </c>
      <c r="F415" s="179">
        <v>550000000</v>
      </c>
      <c r="G415" s="179">
        <v>315000000</v>
      </c>
      <c r="H415" s="179">
        <v>0</v>
      </c>
      <c r="I415" s="179">
        <v>0</v>
      </c>
      <c r="J415" s="179">
        <v>0</v>
      </c>
      <c r="K415" s="179">
        <v>315000000</v>
      </c>
      <c r="L415" s="179">
        <v>270000000</v>
      </c>
      <c r="M415" s="179">
        <v>235000000</v>
      </c>
      <c r="N415" s="179">
        <v>0</v>
      </c>
    </row>
    <row r="416" spans="1:14" s="156" customFormat="1" x14ac:dyDescent="0.25">
      <c r="A416" s="156" t="s">
        <v>546</v>
      </c>
      <c r="B416" s="156" t="s">
        <v>374</v>
      </c>
      <c r="C416" s="156" t="s">
        <v>375</v>
      </c>
      <c r="D416" s="156" t="s">
        <v>541</v>
      </c>
      <c r="E416" s="179">
        <v>550000000</v>
      </c>
      <c r="F416" s="179">
        <v>550000000</v>
      </c>
      <c r="G416" s="179">
        <v>315000000</v>
      </c>
      <c r="H416" s="179">
        <v>0</v>
      </c>
      <c r="I416" s="179">
        <v>0</v>
      </c>
      <c r="J416" s="179">
        <v>0</v>
      </c>
      <c r="K416" s="179">
        <v>315000000</v>
      </c>
      <c r="L416" s="179">
        <v>270000000</v>
      </c>
      <c r="M416" s="179">
        <v>235000000</v>
      </c>
      <c r="N416" s="179">
        <v>0</v>
      </c>
    </row>
    <row r="417" spans="1:14" s="156" customFormat="1" x14ac:dyDescent="0.25">
      <c r="A417" s="156" t="s">
        <v>546</v>
      </c>
      <c r="B417" s="156" t="s">
        <v>261</v>
      </c>
      <c r="C417" s="156" t="s">
        <v>262</v>
      </c>
      <c r="D417" s="156" t="s">
        <v>541</v>
      </c>
      <c r="E417" s="179">
        <v>1002889000</v>
      </c>
      <c r="F417" s="179">
        <v>1002889000</v>
      </c>
      <c r="G417" s="179">
        <v>741335660.25</v>
      </c>
      <c r="H417" s="179">
        <v>0</v>
      </c>
      <c r="I417" s="179">
        <v>611835.76</v>
      </c>
      <c r="J417" s="179">
        <v>0</v>
      </c>
      <c r="K417" s="179">
        <v>668461791.94000006</v>
      </c>
      <c r="L417" s="179">
        <v>668461791.94000006</v>
      </c>
      <c r="M417" s="179">
        <v>333815372.30000001</v>
      </c>
      <c r="N417" s="179">
        <v>72262032.549999997</v>
      </c>
    </row>
    <row r="418" spans="1:14" s="156" customFormat="1" x14ac:dyDescent="0.25">
      <c r="A418" s="156" t="s">
        <v>546</v>
      </c>
      <c r="B418" s="156" t="s">
        <v>263</v>
      </c>
      <c r="C418" s="156" t="s">
        <v>264</v>
      </c>
      <c r="D418" s="156" t="s">
        <v>541</v>
      </c>
      <c r="E418" s="179">
        <v>657462000</v>
      </c>
      <c r="F418" s="179">
        <v>657462000</v>
      </c>
      <c r="G418" s="179">
        <v>459216115</v>
      </c>
      <c r="H418" s="179">
        <v>0</v>
      </c>
      <c r="I418" s="179">
        <v>611835.76</v>
      </c>
      <c r="J418" s="179">
        <v>0</v>
      </c>
      <c r="K418" s="179">
        <v>458604279.24000001</v>
      </c>
      <c r="L418" s="179">
        <v>458604279.24000001</v>
      </c>
      <c r="M418" s="179">
        <v>198245885</v>
      </c>
      <c r="N418" s="179">
        <v>0</v>
      </c>
    </row>
    <row r="419" spans="1:14" s="156" customFormat="1" x14ac:dyDescent="0.25">
      <c r="A419" s="156" t="s">
        <v>546</v>
      </c>
      <c r="B419" s="156" t="s">
        <v>265</v>
      </c>
      <c r="C419" s="156" t="s">
        <v>266</v>
      </c>
      <c r="D419" s="156" t="s">
        <v>541</v>
      </c>
      <c r="E419" s="179">
        <v>345427000</v>
      </c>
      <c r="F419" s="179">
        <v>345427000</v>
      </c>
      <c r="G419" s="179">
        <v>282119545.25</v>
      </c>
      <c r="H419" s="179">
        <v>0</v>
      </c>
      <c r="I419" s="179">
        <v>0</v>
      </c>
      <c r="J419" s="179">
        <v>0</v>
      </c>
      <c r="K419" s="179">
        <v>209857512.69999999</v>
      </c>
      <c r="L419" s="179">
        <v>209857512.69999999</v>
      </c>
      <c r="M419" s="179">
        <v>135569487.30000001</v>
      </c>
      <c r="N419" s="179">
        <v>72262032.549999997</v>
      </c>
    </row>
    <row r="420" spans="1:14" s="156" customFormat="1" x14ac:dyDescent="0.25">
      <c r="A420" s="156" t="s">
        <v>546</v>
      </c>
      <c r="B420" s="156" t="s">
        <v>267</v>
      </c>
      <c r="C420" s="156" t="s">
        <v>268</v>
      </c>
      <c r="D420" s="156" t="s">
        <v>541</v>
      </c>
      <c r="E420" s="179">
        <v>88352000</v>
      </c>
      <c r="F420" s="179">
        <v>128352000</v>
      </c>
      <c r="G420" s="179">
        <v>116676000</v>
      </c>
      <c r="H420" s="179">
        <v>0</v>
      </c>
      <c r="I420" s="179">
        <v>13254300.550000001</v>
      </c>
      <c r="J420" s="179">
        <v>0</v>
      </c>
      <c r="K420" s="179">
        <v>76745699.450000003</v>
      </c>
      <c r="L420" s="179">
        <v>76745699.450000003</v>
      </c>
      <c r="M420" s="179">
        <v>38352000</v>
      </c>
      <c r="N420" s="179">
        <v>26676000</v>
      </c>
    </row>
    <row r="421" spans="1:14" s="156" customFormat="1" x14ac:dyDescent="0.25">
      <c r="A421" s="156" t="s">
        <v>546</v>
      </c>
      <c r="B421" s="156" t="s">
        <v>269</v>
      </c>
      <c r="C421" s="156" t="s">
        <v>270</v>
      </c>
      <c r="D421" s="156" t="s">
        <v>541</v>
      </c>
      <c r="E421" s="179">
        <v>65000000</v>
      </c>
      <c r="F421" s="179">
        <v>105000000</v>
      </c>
      <c r="G421" s="179">
        <v>105000000</v>
      </c>
      <c r="H421" s="179">
        <v>0</v>
      </c>
      <c r="I421" s="179">
        <v>8762771.3900000006</v>
      </c>
      <c r="J421" s="179">
        <v>0</v>
      </c>
      <c r="K421" s="179">
        <v>76237228.609999999</v>
      </c>
      <c r="L421" s="179">
        <v>76237228.609999999</v>
      </c>
      <c r="M421" s="179">
        <v>20000000</v>
      </c>
      <c r="N421" s="179">
        <v>20000000</v>
      </c>
    </row>
    <row r="422" spans="1:14" s="156" customFormat="1" x14ac:dyDescent="0.25">
      <c r="A422" s="156" t="s">
        <v>546</v>
      </c>
      <c r="B422" s="156" t="s">
        <v>271</v>
      </c>
      <c r="C422" s="156" t="s">
        <v>272</v>
      </c>
      <c r="D422" s="156" t="s">
        <v>541</v>
      </c>
      <c r="E422" s="179">
        <v>23352000</v>
      </c>
      <c r="F422" s="179">
        <v>23352000</v>
      </c>
      <c r="G422" s="179">
        <v>11676000</v>
      </c>
      <c r="H422" s="179">
        <v>0</v>
      </c>
      <c r="I422" s="179">
        <v>4491529.16</v>
      </c>
      <c r="J422" s="179">
        <v>0</v>
      </c>
      <c r="K422" s="179">
        <v>508470.84</v>
      </c>
      <c r="L422" s="179">
        <v>508470.84</v>
      </c>
      <c r="M422" s="179">
        <v>18352000</v>
      </c>
      <c r="N422" s="179">
        <v>6676000</v>
      </c>
    </row>
    <row r="423" spans="1:14" s="156" customFormat="1" x14ac:dyDescent="0.25">
      <c r="A423" s="156" t="s">
        <v>546</v>
      </c>
      <c r="B423" s="156" t="s">
        <v>376</v>
      </c>
      <c r="C423" s="156" t="s">
        <v>377</v>
      </c>
      <c r="D423" s="156" t="s">
        <v>543</v>
      </c>
      <c r="E423" s="179">
        <v>573100000</v>
      </c>
      <c r="F423" s="179">
        <v>827134852</v>
      </c>
      <c r="G423" s="179">
        <v>422017020</v>
      </c>
      <c r="H423" s="179">
        <v>0</v>
      </c>
      <c r="I423" s="179">
        <v>0</v>
      </c>
      <c r="J423" s="179">
        <v>0</v>
      </c>
      <c r="K423" s="179">
        <v>0</v>
      </c>
      <c r="L423" s="179">
        <v>0</v>
      </c>
      <c r="M423" s="179">
        <v>827134852</v>
      </c>
      <c r="N423" s="179">
        <v>422017020</v>
      </c>
    </row>
    <row r="424" spans="1:14" s="156" customFormat="1" x14ac:dyDescent="0.25">
      <c r="A424" s="156" t="s">
        <v>546</v>
      </c>
      <c r="B424" s="156" t="s">
        <v>378</v>
      </c>
      <c r="C424" s="156" t="s">
        <v>379</v>
      </c>
      <c r="D424" s="156" t="s">
        <v>543</v>
      </c>
      <c r="E424" s="179">
        <v>573100000</v>
      </c>
      <c r="F424" s="179">
        <v>827134852</v>
      </c>
      <c r="G424" s="179">
        <v>422017020</v>
      </c>
      <c r="H424" s="179">
        <v>0</v>
      </c>
      <c r="I424" s="179">
        <v>0</v>
      </c>
      <c r="J424" s="179">
        <v>0</v>
      </c>
      <c r="K424" s="179">
        <v>0</v>
      </c>
      <c r="L424" s="179">
        <v>0</v>
      </c>
      <c r="M424" s="179">
        <v>827134852</v>
      </c>
      <c r="N424" s="179">
        <v>422017020</v>
      </c>
    </row>
    <row r="425" spans="1:14" s="156" customFormat="1" x14ac:dyDescent="0.25">
      <c r="A425" s="156" t="s">
        <v>546</v>
      </c>
      <c r="B425" s="156" t="s">
        <v>380</v>
      </c>
      <c r="C425" s="156" t="s">
        <v>381</v>
      </c>
      <c r="D425" s="156" t="s">
        <v>543</v>
      </c>
      <c r="E425" s="179">
        <v>573100000</v>
      </c>
      <c r="F425" s="179">
        <v>827134852</v>
      </c>
      <c r="G425" s="179">
        <v>422017020</v>
      </c>
      <c r="H425" s="179">
        <v>0</v>
      </c>
      <c r="I425" s="179">
        <v>0</v>
      </c>
      <c r="J425" s="179">
        <v>0</v>
      </c>
      <c r="K425" s="179">
        <v>0</v>
      </c>
      <c r="L425" s="179">
        <v>0</v>
      </c>
      <c r="M425" s="179">
        <v>827134852</v>
      </c>
      <c r="N425" s="179">
        <v>422017020</v>
      </c>
    </row>
    <row r="426" spans="1:14" s="156" customFormat="1" x14ac:dyDescent="0.25">
      <c r="A426" s="156">
        <v>214784</v>
      </c>
      <c r="B426" s="156" t="s">
        <v>587</v>
      </c>
      <c r="C426" s="156" t="s">
        <v>587</v>
      </c>
      <c r="D426" s="156" t="s">
        <v>541</v>
      </c>
      <c r="E426" s="179">
        <v>13837611334</v>
      </c>
      <c r="F426" s="179">
        <v>13837611334</v>
      </c>
      <c r="G426" s="179">
        <v>13751959037</v>
      </c>
      <c r="H426" s="179">
        <v>0</v>
      </c>
      <c r="I426" s="179">
        <v>1126371379.74</v>
      </c>
      <c r="J426" s="179">
        <v>0</v>
      </c>
      <c r="K426" s="179">
        <v>7209451464.1099997</v>
      </c>
      <c r="L426" s="179">
        <v>7209451464.1099997</v>
      </c>
      <c r="M426" s="179">
        <v>5501788490.1499996</v>
      </c>
      <c r="N426" s="179">
        <v>5416136193.1499996</v>
      </c>
    </row>
    <row r="427" spans="1:14" s="156" customFormat="1" x14ac:dyDescent="0.25">
      <c r="A427" s="156" t="s">
        <v>547</v>
      </c>
      <c r="B427" s="156" t="s">
        <v>92</v>
      </c>
      <c r="C427" s="156" t="s">
        <v>93</v>
      </c>
      <c r="D427" s="156" t="s">
        <v>541</v>
      </c>
      <c r="E427" s="179">
        <v>13313316000</v>
      </c>
      <c r="F427" s="179">
        <v>13313316000</v>
      </c>
      <c r="G427" s="179">
        <v>13313316000</v>
      </c>
      <c r="H427" s="179">
        <v>0</v>
      </c>
      <c r="I427" s="179">
        <v>953998478.50999999</v>
      </c>
      <c r="J427" s="179">
        <v>0</v>
      </c>
      <c r="K427" s="179">
        <v>6972803128.5500002</v>
      </c>
      <c r="L427" s="179">
        <v>6972803128.5500002</v>
      </c>
      <c r="M427" s="179">
        <v>5386514392.9399996</v>
      </c>
      <c r="N427" s="179">
        <v>5386514392.9399996</v>
      </c>
    </row>
    <row r="428" spans="1:14" s="156" customFormat="1" x14ac:dyDescent="0.25">
      <c r="A428" s="156" t="s">
        <v>547</v>
      </c>
      <c r="B428" s="156" t="s">
        <v>94</v>
      </c>
      <c r="C428" s="156" t="s">
        <v>95</v>
      </c>
      <c r="D428" s="156" t="s">
        <v>541</v>
      </c>
      <c r="E428" s="179">
        <v>4473382000</v>
      </c>
      <c r="F428" s="179">
        <v>4473382000</v>
      </c>
      <c r="G428" s="179">
        <v>4473382000</v>
      </c>
      <c r="H428" s="179">
        <v>0</v>
      </c>
      <c r="I428" s="179">
        <v>180140</v>
      </c>
      <c r="J428" s="179">
        <v>0</v>
      </c>
      <c r="K428" s="179">
        <v>2331652354.9899998</v>
      </c>
      <c r="L428" s="179">
        <v>2331652354.9899998</v>
      </c>
      <c r="M428" s="179">
        <v>2141549505.01</v>
      </c>
      <c r="N428" s="179">
        <v>2141549505.01</v>
      </c>
    </row>
    <row r="429" spans="1:14" s="156" customFormat="1" x14ac:dyDescent="0.25">
      <c r="A429" s="156" t="s">
        <v>547</v>
      </c>
      <c r="B429" s="156" t="s">
        <v>96</v>
      </c>
      <c r="C429" s="156" t="s">
        <v>97</v>
      </c>
      <c r="D429" s="156" t="s">
        <v>541</v>
      </c>
      <c r="E429" s="179">
        <v>4473382000</v>
      </c>
      <c r="F429" s="179">
        <v>4473382000</v>
      </c>
      <c r="G429" s="179">
        <v>4473382000</v>
      </c>
      <c r="H429" s="179">
        <v>0</v>
      </c>
      <c r="I429" s="179">
        <v>180140</v>
      </c>
      <c r="J429" s="179">
        <v>0</v>
      </c>
      <c r="K429" s="179">
        <v>2331652354.9899998</v>
      </c>
      <c r="L429" s="179">
        <v>2331652354.9899998</v>
      </c>
      <c r="M429" s="179">
        <v>2141549505.01</v>
      </c>
      <c r="N429" s="179">
        <v>2141549505.01</v>
      </c>
    </row>
    <row r="430" spans="1:14" s="156" customFormat="1" x14ac:dyDescent="0.25">
      <c r="A430" s="156" t="s">
        <v>547</v>
      </c>
      <c r="B430" s="156" t="s">
        <v>102</v>
      </c>
      <c r="C430" s="156" t="s">
        <v>103</v>
      </c>
      <c r="D430" s="156" t="s">
        <v>541</v>
      </c>
      <c r="E430" s="179">
        <v>6745487000</v>
      </c>
      <c r="F430" s="179">
        <v>6745487000</v>
      </c>
      <c r="G430" s="179">
        <v>6745487000</v>
      </c>
      <c r="H430" s="179">
        <v>0</v>
      </c>
      <c r="I430" s="179">
        <v>220373</v>
      </c>
      <c r="J430" s="179">
        <v>0</v>
      </c>
      <c r="K430" s="179">
        <v>3500301739.0700002</v>
      </c>
      <c r="L430" s="179">
        <v>3500301739.0700002</v>
      </c>
      <c r="M430" s="179">
        <v>3244964887.9299998</v>
      </c>
      <c r="N430" s="179">
        <v>3244964887.9299998</v>
      </c>
    </row>
    <row r="431" spans="1:14" s="156" customFormat="1" x14ac:dyDescent="0.25">
      <c r="A431" s="156" t="s">
        <v>547</v>
      </c>
      <c r="B431" s="156" t="s">
        <v>104</v>
      </c>
      <c r="C431" s="156" t="s">
        <v>105</v>
      </c>
      <c r="D431" s="156" t="s">
        <v>541</v>
      </c>
      <c r="E431" s="179">
        <v>1460185000</v>
      </c>
      <c r="F431" s="179">
        <v>1460185000</v>
      </c>
      <c r="G431" s="179">
        <v>1460185000</v>
      </c>
      <c r="H431" s="179">
        <v>0</v>
      </c>
      <c r="I431" s="179">
        <v>121296</v>
      </c>
      <c r="J431" s="179">
        <v>0</v>
      </c>
      <c r="K431" s="179">
        <v>755269394.59000003</v>
      </c>
      <c r="L431" s="179">
        <v>755269394.59000003</v>
      </c>
      <c r="M431" s="179">
        <v>704794309.40999997</v>
      </c>
      <c r="N431" s="179">
        <v>704794309.40999997</v>
      </c>
    </row>
    <row r="432" spans="1:14" s="156" customFormat="1" x14ac:dyDescent="0.25">
      <c r="A432" s="156" t="s">
        <v>547</v>
      </c>
      <c r="B432" s="156" t="s">
        <v>106</v>
      </c>
      <c r="C432" s="156" t="s">
        <v>107</v>
      </c>
      <c r="D432" s="156" t="s">
        <v>541</v>
      </c>
      <c r="E432" s="179">
        <v>2519609000</v>
      </c>
      <c r="F432" s="179">
        <v>2519609000</v>
      </c>
      <c r="G432" s="179">
        <v>2519609000</v>
      </c>
      <c r="H432" s="179">
        <v>0</v>
      </c>
      <c r="I432" s="179">
        <v>54042</v>
      </c>
      <c r="J432" s="179">
        <v>0</v>
      </c>
      <c r="K432" s="179">
        <v>1356758793.6800001</v>
      </c>
      <c r="L432" s="179">
        <v>1356758793.6800001</v>
      </c>
      <c r="M432" s="179">
        <v>1162796164.3199999</v>
      </c>
      <c r="N432" s="179">
        <v>1162796164.3199999</v>
      </c>
    </row>
    <row r="433" spans="1:14" s="156" customFormat="1" x14ac:dyDescent="0.25">
      <c r="A433" s="156" t="s">
        <v>547</v>
      </c>
      <c r="B433" s="156" t="s">
        <v>108</v>
      </c>
      <c r="C433" s="156" t="s">
        <v>109</v>
      </c>
      <c r="D433" s="156" t="s">
        <v>541</v>
      </c>
      <c r="E433" s="179">
        <v>738904000</v>
      </c>
      <c r="F433" s="179">
        <v>738904000</v>
      </c>
      <c r="G433" s="179">
        <v>738904000</v>
      </c>
      <c r="H433" s="179">
        <v>0</v>
      </c>
      <c r="I433" s="179">
        <v>0</v>
      </c>
      <c r="J433" s="179">
        <v>0</v>
      </c>
      <c r="K433" s="179">
        <v>737019487.25</v>
      </c>
      <c r="L433" s="179">
        <v>737019487.25</v>
      </c>
      <c r="M433" s="179">
        <v>1884512.75</v>
      </c>
      <c r="N433" s="179">
        <v>1884512.75</v>
      </c>
    </row>
    <row r="434" spans="1:14" s="156" customFormat="1" x14ac:dyDescent="0.25">
      <c r="A434" s="156" t="s">
        <v>547</v>
      </c>
      <c r="B434" s="156" t="s">
        <v>110</v>
      </c>
      <c r="C434" s="156" t="s">
        <v>111</v>
      </c>
      <c r="D434" s="156" t="s">
        <v>541</v>
      </c>
      <c r="E434" s="179">
        <v>1196454000</v>
      </c>
      <c r="F434" s="179">
        <v>1196454000</v>
      </c>
      <c r="G434" s="179">
        <v>1196454000</v>
      </c>
      <c r="H434" s="179">
        <v>0</v>
      </c>
      <c r="I434" s="179">
        <v>45035</v>
      </c>
      <c r="J434" s="179">
        <v>0</v>
      </c>
      <c r="K434" s="179">
        <v>651036990.62</v>
      </c>
      <c r="L434" s="179">
        <v>651036990.62</v>
      </c>
      <c r="M434" s="179">
        <v>545371974.38</v>
      </c>
      <c r="N434" s="179">
        <v>545371974.38</v>
      </c>
    </row>
    <row r="435" spans="1:14" s="156" customFormat="1" x14ac:dyDescent="0.25">
      <c r="A435" s="156" t="s">
        <v>547</v>
      </c>
      <c r="B435" s="156" t="s">
        <v>112</v>
      </c>
      <c r="C435" s="156" t="s">
        <v>113</v>
      </c>
      <c r="D435" s="156" t="s">
        <v>543</v>
      </c>
      <c r="E435" s="179">
        <v>830335000</v>
      </c>
      <c r="F435" s="179">
        <v>830335000</v>
      </c>
      <c r="G435" s="179">
        <v>830335000</v>
      </c>
      <c r="H435" s="179">
        <v>0</v>
      </c>
      <c r="I435" s="179">
        <v>0</v>
      </c>
      <c r="J435" s="179">
        <v>0</v>
      </c>
      <c r="K435" s="179">
        <v>217072.93</v>
      </c>
      <c r="L435" s="179">
        <v>217072.93</v>
      </c>
      <c r="M435" s="179">
        <v>830117927.07000005</v>
      </c>
      <c r="N435" s="179">
        <v>830117927.07000005</v>
      </c>
    </row>
    <row r="436" spans="1:14" s="156" customFormat="1" x14ac:dyDescent="0.25">
      <c r="A436" s="156" t="s">
        <v>547</v>
      </c>
      <c r="B436" s="156" t="s">
        <v>114</v>
      </c>
      <c r="C436" s="156" t="s">
        <v>115</v>
      </c>
      <c r="D436" s="156" t="s">
        <v>541</v>
      </c>
      <c r="E436" s="179">
        <v>1012881000</v>
      </c>
      <c r="F436" s="179">
        <v>1012881000</v>
      </c>
      <c r="G436" s="179">
        <v>1012881000</v>
      </c>
      <c r="H436" s="179">
        <v>0</v>
      </c>
      <c r="I436" s="179">
        <v>442664322</v>
      </c>
      <c r="J436" s="179">
        <v>0</v>
      </c>
      <c r="K436" s="179">
        <v>570216678</v>
      </c>
      <c r="L436" s="179">
        <v>570216678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382</v>
      </c>
      <c r="C437" s="156" t="s">
        <v>597</v>
      </c>
      <c r="D437" s="156" t="s">
        <v>541</v>
      </c>
      <c r="E437" s="179">
        <v>960939000</v>
      </c>
      <c r="F437" s="179">
        <v>960939000</v>
      </c>
      <c r="G437" s="179">
        <v>960939000</v>
      </c>
      <c r="H437" s="179">
        <v>0</v>
      </c>
      <c r="I437" s="179">
        <v>419963348</v>
      </c>
      <c r="J437" s="179">
        <v>0</v>
      </c>
      <c r="K437" s="179">
        <v>540975652</v>
      </c>
      <c r="L437" s="179">
        <v>540975652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383</v>
      </c>
      <c r="C438" s="156" t="s">
        <v>583</v>
      </c>
      <c r="D438" s="156" t="s">
        <v>541</v>
      </c>
      <c r="E438" s="179">
        <v>51942000</v>
      </c>
      <c r="F438" s="179">
        <v>51942000</v>
      </c>
      <c r="G438" s="179">
        <v>51942000</v>
      </c>
      <c r="H438" s="179">
        <v>0</v>
      </c>
      <c r="I438" s="179">
        <v>22700974</v>
      </c>
      <c r="J438" s="179">
        <v>0</v>
      </c>
      <c r="K438" s="179">
        <v>29241026</v>
      </c>
      <c r="L438" s="179">
        <v>29241026</v>
      </c>
      <c r="M438" s="179">
        <v>0</v>
      </c>
      <c r="N438" s="179">
        <v>0</v>
      </c>
    </row>
    <row r="439" spans="1:14" s="156" customFormat="1" x14ac:dyDescent="0.25">
      <c r="A439" s="156" t="s">
        <v>547</v>
      </c>
      <c r="B439" s="156" t="s">
        <v>118</v>
      </c>
      <c r="C439" s="156" t="s">
        <v>119</v>
      </c>
      <c r="D439" s="156" t="s">
        <v>541</v>
      </c>
      <c r="E439" s="179">
        <v>1081566000</v>
      </c>
      <c r="F439" s="179">
        <v>1081566000</v>
      </c>
      <c r="G439" s="179">
        <v>1081566000</v>
      </c>
      <c r="H439" s="179">
        <v>0</v>
      </c>
      <c r="I439" s="179">
        <v>510933643.50999999</v>
      </c>
      <c r="J439" s="179">
        <v>0</v>
      </c>
      <c r="K439" s="179">
        <v>570632356.49000001</v>
      </c>
      <c r="L439" s="179">
        <v>570632356.49000001</v>
      </c>
      <c r="M439" s="179">
        <v>0</v>
      </c>
      <c r="N439" s="179">
        <v>0</v>
      </c>
    </row>
    <row r="440" spans="1:14" s="156" customFormat="1" x14ac:dyDescent="0.25">
      <c r="A440" s="156" t="s">
        <v>547</v>
      </c>
      <c r="B440" s="156" t="s">
        <v>384</v>
      </c>
      <c r="C440" s="156" t="s">
        <v>598</v>
      </c>
      <c r="D440" s="156" t="s">
        <v>541</v>
      </c>
      <c r="E440" s="179">
        <v>527737000</v>
      </c>
      <c r="F440" s="179">
        <v>527737000</v>
      </c>
      <c r="G440" s="179">
        <v>527737000</v>
      </c>
      <c r="H440" s="179">
        <v>0</v>
      </c>
      <c r="I440" s="179">
        <v>271850199</v>
      </c>
      <c r="J440" s="179">
        <v>0</v>
      </c>
      <c r="K440" s="179">
        <v>255886801</v>
      </c>
      <c r="L440" s="179">
        <v>255886801</v>
      </c>
      <c r="M440" s="179">
        <v>0</v>
      </c>
      <c r="N440" s="179">
        <v>0</v>
      </c>
    </row>
    <row r="441" spans="1:14" s="156" customFormat="1" x14ac:dyDescent="0.25">
      <c r="A441" s="156" t="s">
        <v>547</v>
      </c>
      <c r="B441" s="156" t="s">
        <v>385</v>
      </c>
      <c r="C441" s="156" t="s">
        <v>599</v>
      </c>
      <c r="D441" s="156" t="s">
        <v>541</v>
      </c>
      <c r="E441" s="179">
        <v>155828000</v>
      </c>
      <c r="F441" s="179">
        <v>155828000</v>
      </c>
      <c r="G441" s="179">
        <v>155828000</v>
      </c>
      <c r="H441" s="179">
        <v>0</v>
      </c>
      <c r="I441" s="179">
        <v>68104838</v>
      </c>
      <c r="J441" s="179">
        <v>0</v>
      </c>
      <c r="K441" s="179">
        <v>87723162</v>
      </c>
      <c r="L441" s="179">
        <v>87723162</v>
      </c>
      <c r="M441" s="179">
        <v>0</v>
      </c>
      <c r="N441" s="179">
        <v>0</v>
      </c>
    </row>
    <row r="442" spans="1:14" s="156" customFormat="1" x14ac:dyDescent="0.25">
      <c r="A442" s="156" t="s">
        <v>547</v>
      </c>
      <c r="B442" s="156" t="s">
        <v>386</v>
      </c>
      <c r="C442" s="156" t="s">
        <v>600</v>
      </c>
      <c r="D442" s="156" t="s">
        <v>541</v>
      </c>
      <c r="E442" s="179">
        <v>311656000</v>
      </c>
      <c r="F442" s="179">
        <v>311656000</v>
      </c>
      <c r="G442" s="179">
        <v>311656000</v>
      </c>
      <c r="H442" s="179">
        <v>0</v>
      </c>
      <c r="I442" s="179">
        <v>136209780</v>
      </c>
      <c r="J442" s="179">
        <v>0</v>
      </c>
      <c r="K442" s="179">
        <v>175446220</v>
      </c>
      <c r="L442" s="179">
        <v>175446220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387</v>
      </c>
      <c r="C443" s="156" t="s">
        <v>388</v>
      </c>
      <c r="D443" s="156" t="s">
        <v>541</v>
      </c>
      <c r="E443" s="179">
        <v>86345000</v>
      </c>
      <c r="F443" s="179">
        <v>86345000</v>
      </c>
      <c r="G443" s="179">
        <v>86345000</v>
      </c>
      <c r="H443" s="179">
        <v>0</v>
      </c>
      <c r="I443" s="179">
        <v>34768826.509999998</v>
      </c>
      <c r="J443" s="179">
        <v>0</v>
      </c>
      <c r="K443" s="179">
        <v>51576173.490000002</v>
      </c>
      <c r="L443" s="179">
        <v>51576173.490000002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123</v>
      </c>
      <c r="C444" s="156" t="s">
        <v>124</v>
      </c>
      <c r="D444" s="156" t="s">
        <v>541</v>
      </c>
      <c r="E444" s="179">
        <v>31730334</v>
      </c>
      <c r="F444" s="179">
        <v>31730334</v>
      </c>
      <c r="G444" s="179">
        <v>31730334</v>
      </c>
      <c r="H444" s="179">
        <v>0</v>
      </c>
      <c r="I444" s="179">
        <v>31730334</v>
      </c>
      <c r="J444" s="179">
        <v>0</v>
      </c>
      <c r="K444" s="179">
        <v>0</v>
      </c>
      <c r="L444" s="179">
        <v>0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168</v>
      </c>
      <c r="C445" s="156" t="s">
        <v>169</v>
      </c>
      <c r="D445" s="156" t="s">
        <v>541</v>
      </c>
      <c r="E445" s="179">
        <v>31730334</v>
      </c>
      <c r="F445" s="179">
        <v>31730334</v>
      </c>
      <c r="G445" s="179">
        <v>31730334</v>
      </c>
      <c r="H445" s="179">
        <v>0</v>
      </c>
      <c r="I445" s="179">
        <v>31730334</v>
      </c>
      <c r="J445" s="179">
        <v>0</v>
      </c>
      <c r="K445" s="179">
        <v>0</v>
      </c>
      <c r="L445" s="179">
        <v>0</v>
      </c>
      <c r="M445" s="179">
        <v>0</v>
      </c>
      <c r="N445" s="179">
        <v>0</v>
      </c>
    </row>
    <row r="446" spans="1:14" s="156" customFormat="1" x14ac:dyDescent="0.25">
      <c r="A446" s="156" t="s">
        <v>547</v>
      </c>
      <c r="B446" s="156" t="s">
        <v>170</v>
      </c>
      <c r="C446" s="156" t="s">
        <v>171</v>
      </c>
      <c r="D446" s="156" t="s">
        <v>541</v>
      </c>
      <c r="E446" s="179">
        <v>31730334</v>
      </c>
      <c r="F446" s="179">
        <v>31730334</v>
      </c>
      <c r="G446" s="179">
        <v>31730334</v>
      </c>
      <c r="H446" s="179">
        <v>0</v>
      </c>
      <c r="I446" s="179">
        <v>31730334</v>
      </c>
      <c r="J446" s="179">
        <v>0</v>
      </c>
      <c r="K446" s="179">
        <v>0</v>
      </c>
      <c r="L446" s="179">
        <v>0</v>
      </c>
      <c r="M446" s="179">
        <v>0</v>
      </c>
      <c r="N446" s="179">
        <v>0</v>
      </c>
    </row>
    <row r="447" spans="1:14" s="156" customFormat="1" x14ac:dyDescent="0.25">
      <c r="A447" s="156" t="s">
        <v>547</v>
      </c>
      <c r="B447" s="156" t="s">
        <v>251</v>
      </c>
      <c r="C447" s="156" t="s">
        <v>252</v>
      </c>
      <c r="D447" s="156" t="s">
        <v>541</v>
      </c>
      <c r="E447" s="179">
        <v>492565000</v>
      </c>
      <c r="F447" s="179">
        <v>492565000</v>
      </c>
      <c r="G447" s="179">
        <v>406912703</v>
      </c>
      <c r="H447" s="179">
        <v>0</v>
      </c>
      <c r="I447" s="179">
        <v>140642567.22999999</v>
      </c>
      <c r="J447" s="179">
        <v>0</v>
      </c>
      <c r="K447" s="179">
        <v>236648335.56</v>
      </c>
      <c r="L447" s="179">
        <v>236648335.56</v>
      </c>
      <c r="M447" s="179">
        <v>115274097.20999999</v>
      </c>
      <c r="N447" s="179">
        <v>29621800.210000001</v>
      </c>
    </row>
    <row r="448" spans="1:14" s="156" customFormat="1" x14ac:dyDescent="0.25">
      <c r="A448" s="156" t="s">
        <v>547</v>
      </c>
      <c r="B448" s="156" t="s">
        <v>253</v>
      </c>
      <c r="C448" s="156" t="s">
        <v>254</v>
      </c>
      <c r="D448" s="156" t="s">
        <v>541</v>
      </c>
      <c r="E448" s="179">
        <v>154788000</v>
      </c>
      <c r="F448" s="179">
        <v>154788000</v>
      </c>
      <c r="G448" s="179">
        <v>154788000</v>
      </c>
      <c r="H448" s="179">
        <v>0</v>
      </c>
      <c r="I448" s="179">
        <v>77442033.390000001</v>
      </c>
      <c r="J448" s="179">
        <v>0</v>
      </c>
      <c r="K448" s="179">
        <v>77345966.609999999</v>
      </c>
      <c r="L448" s="179">
        <v>77345966.609999999</v>
      </c>
      <c r="M448" s="179">
        <v>0</v>
      </c>
      <c r="N448" s="179">
        <v>0</v>
      </c>
    </row>
    <row r="449" spans="1:14" s="156" customFormat="1" x14ac:dyDescent="0.25">
      <c r="A449" s="156" t="s">
        <v>547</v>
      </c>
      <c r="B449" s="156" t="s">
        <v>389</v>
      </c>
      <c r="C449" s="156" t="s">
        <v>602</v>
      </c>
      <c r="D449" s="156" t="s">
        <v>541</v>
      </c>
      <c r="E449" s="179">
        <v>128817000</v>
      </c>
      <c r="F449" s="179">
        <v>128817000</v>
      </c>
      <c r="G449" s="179">
        <v>128817000</v>
      </c>
      <c r="H449" s="179">
        <v>0</v>
      </c>
      <c r="I449" s="179">
        <v>66091622.240000002</v>
      </c>
      <c r="J449" s="179">
        <v>0</v>
      </c>
      <c r="K449" s="179">
        <v>62725377.759999998</v>
      </c>
      <c r="L449" s="179">
        <v>62725377.759999998</v>
      </c>
      <c r="M449" s="179">
        <v>0</v>
      </c>
      <c r="N449" s="179">
        <v>0</v>
      </c>
    </row>
    <row r="450" spans="1:14" s="156" customFormat="1" x14ac:dyDescent="0.25">
      <c r="A450" s="156" t="s">
        <v>547</v>
      </c>
      <c r="B450" s="156" t="s">
        <v>390</v>
      </c>
      <c r="C450" s="156" t="s">
        <v>603</v>
      </c>
      <c r="D450" s="156" t="s">
        <v>541</v>
      </c>
      <c r="E450" s="179">
        <v>25971000</v>
      </c>
      <c r="F450" s="179">
        <v>25971000</v>
      </c>
      <c r="G450" s="179">
        <v>25971000</v>
      </c>
      <c r="H450" s="179">
        <v>0</v>
      </c>
      <c r="I450" s="179">
        <v>11350411.15</v>
      </c>
      <c r="J450" s="179">
        <v>0</v>
      </c>
      <c r="K450" s="179">
        <v>14620588.85</v>
      </c>
      <c r="L450" s="179">
        <v>14620588.85</v>
      </c>
      <c r="M450" s="179">
        <v>0</v>
      </c>
      <c r="N450" s="179">
        <v>0</v>
      </c>
    </row>
    <row r="451" spans="1:14" s="156" customFormat="1" x14ac:dyDescent="0.25">
      <c r="A451" s="156" t="s">
        <v>547</v>
      </c>
      <c r="B451" s="156" t="s">
        <v>261</v>
      </c>
      <c r="C451" s="156" t="s">
        <v>262</v>
      </c>
      <c r="D451" s="156" t="s">
        <v>541</v>
      </c>
      <c r="E451" s="179">
        <v>312777000</v>
      </c>
      <c r="F451" s="179">
        <v>307777000</v>
      </c>
      <c r="G451" s="179">
        <v>222124703</v>
      </c>
      <c r="H451" s="179">
        <v>0</v>
      </c>
      <c r="I451" s="179">
        <v>56976948.450000003</v>
      </c>
      <c r="J451" s="179">
        <v>0</v>
      </c>
      <c r="K451" s="179">
        <v>135525954.34</v>
      </c>
      <c r="L451" s="179">
        <v>135525954.34</v>
      </c>
      <c r="M451" s="179">
        <v>115274097.20999999</v>
      </c>
      <c r="N451" s="179">
        <v>29621800.210000001</v>
      </c>
    </row>
    <row r="452" spans="1:14" x14ac:dyDescent="0.25">
      <c r="A452" s="156" t="s">
        <v>547</v>
      </c>
      <c r="B452" s="156" t="s">
        <v>263</v>
      </c>
      <c r="C452" s="156" t="s">
        <v>264</v>
      </c>
      <c r="D452" s="156" t="s">
        <v>541</v>
      </c>
      <c r="E452" s="179">
        <v>239389000</v>
      </c>
      <c r="F452" s="179">
        <v>239389000</v>
      </c>
      <c r="G452" s="179">
        <v>165359168</v>
      </c>
      <c r="H452" s="179">
        <v>0</v>
      </c>
      <c r="I452" s="179">
        <v>56876820.450000003</v>
      </c>
      <c r="J452" s="179">
        <v>0</v>
      </c>
      <c r="K452" s="179">
        <v>108482345.55</v>
      </c>
      <c r="L452" s="179">
        <v>108482345.55</v>
      </c>
      <c r="M452" s="179">
        <v>74029834</v>
      </c>
      <c r="N452" s="179">
        <v>2</v>
      </c>
    </row>
    <row r="453" spans="1:14" x14ac:dyDescent="0.25">
      <c r="A453" s="156" t="s">
        <v>547</v>
      </c>
      <c r="B453" s="156" t="s">
        <v>265</v>
      </c>
      <c r="C453" s="156" t="s">
        <v>266</v>
      </c>
      <c r="D453" s="156" t="s">
        <v>541</v>
      </c>
      <c r="E453" s="179">
        <v>73388000</v>
      </c>
      <c r="F453" s="179">
        <v>68388000</v>
      </c>
      <c r="G453" s="179">
        <v>56765535</v>
      </c>
      <c r="H453" s="179">
        <v>0</v>
      </c>
      <c r="I453" s="179">
        <v>100128</v>
      </c>
      <c r="J453" s="179">
        <v>0</v>
      </c>
      <c r="K453" s="179">
        <v>27043608.789999999</v>
      </c>
      <c r="L453" s="179">
        <v>27043608.789999999</v>
      </c>
      <c r="M453" s="179">
        <v>41244263.210000001</v>
      </c>
      <c r="N453" s="179">
        <v>29621798.210000001</v>
      </c>
    </row>
    <row r="454" spans="1:14" x14ac:dyDescent="0.25">
      <c r="A454" s="156" t="s">
        <v>547</v>
      </c>
      <c r="B454" s="156" t="s">
        <v>267</v>
      </c>
      <c r="C454" s="156" t="s">
        <v>268</v>
      </c>
      <c r="D454" s="156" t="s">
        <v>541</v>
      </c>
      <c r="E454" s="179">
        <v>25000000</v>
      </c>
      <c r="F454" s="179">
        <v>30000000</v>
      </c>
      <c r="G454" s="179">
        <v>30000000</v>
      </c>
      <c r="H454" s="179">
        <v>0</v>
      </c>
      <c r="I454" s="179">
        <v>6223585.3899999997</v>
      </c>
      <c r="J454" s="179">
        <v>0</v>
      </c>
      <c r="K454" s="179">
        <v>23776414.609999999</v>
      </c>
      <c r="L454" s="179">
        <v>23776414.609999999</v>
      </c>
      <c r="M454" s="179">
        <v>0</v>
      </c>
      <c r="N454" s="179">
        <v>0</v>
      </c>
    </row>
    <row r="455" spans="1:14" s="156" customFormat="1" x14ac:dyDescent="0.25">
      <c r="A455" s="156" t="s">
        <v>547</v>
      </c>
      <c r="B455" s="156" t="s">
        <v>269</v>
      </c>
      <c r="C455" s="156" t="s">
        <v>270</v>
      </c>
      <c r="D455" s="156" t="s">
        <v>541</v>
      </c>
      <c r="E455" s="179">
        <v>10000000</v>
      </c>
      <c r="F455" s="179">
        <v>10000000</v>
      </c>
      <c r="G455" s="179">
        <v>10000000</v>
      </c>
      <c r="H455" s="179">
        <v>0</v>
      </c>
      <c r="I455" s="179">
        <v>335433.57</v>
      </c>
      <c r="J455" s="179">
        <v>0</v>
      </c>
      <c r="K455" s="179">
        <v>9664566.4299999997</v>
      </c>
      <c r="L455" s="179">
        <v>9664566.4299999997</v>
      </c>
      <c r="M455" s="179">
        <v>0</v>
      </c>
      <c r="N455" s="179">
        <v>0</v>
      </c>
    </row>
    <row r="456" spans="1:14" x14ac:dyDescent="0.25">
      <c r="A456" s="156" t="s">
        <v>547</v>
      </c>
      <c r="B456" s="156" t="s">
        <v>271</v>
      </c>
      <c r="C456" s="156" t="s">
        <v>272</v>
      </c>
      <c r="D456" s="156" t="s">
        <v>541</v>
      </c>
      <c r="E456" s="179">
        <v>15000000</v>
      </c>
      <c r="F456" s="179">
        <v>20000000</v>
      </c>
      <c r="G456" s="179">
        <v>20000000</v>
      </c>
      <c r="H456" s="179">
        <v>0</v>
      </c>
      <c r="I456" s="179">
        <v>5888151.8200000003</v>
      </c>
      <c r="J456" s="179">
        <v>0</v>
      </c>
      <c r="K456" s="179">
        <v>14111848.18</v>
      </c>
      <c r="L456" s="179">
        <v>14111848.18</v>
      </c>
      <c r="M456" s="179">
        <v>0</v>
      </c>
      <c r="N456" s="179">
        <v>0</v>
      </c>
    </row>
    <row r="457" spans="1:14" x14ac:dyDescent="0.25">
      <c r="A457" s="180" t="s">
        <v>587</v>
      </c>
      <c r="B457" s="180" t="s">
        <v>587</v>
      </c>
      <c r="C457" s="180" t="s">
        <v>587</v>
      </c>
      <c r="D457" s="180" t="s">
        <v>587</v>
      </c>
      <c r="E457" s="181">
        <v>675435665000</v>
      </c>
      <c r="F457" s="181">
        <v>705435665000</v>
      </c>
      <c r="G457" s="181">
        <v>663061734803.75</v>
      </c>
      <c r="H457" s="181">
        <v>1170817411.8499999</v>
      </c>
      <c r="I457" s="181">
        <v>100035139295.05</v>
      </c>
      <c r="J457" s="181">
        <v>1779322530.55</v>
      </c>
      <c r="K457" s="181">
        <v>321653098971.25</v>
      </c>
      <c r="L457" s="181">
        <v>319051811669.65002</v>
      </c>
      <c r="M457" s="181">
        <v>280797286791.29999</v>
      </c>
      <c r="N457" s="181">
        <v>238423356595.04999</v>
      </c>
    </row>
  </sheetData>
  <conditionalFormatting sqref="K2:K451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U790"/>
  <sheetViews>
    <sheetView topLeftCell="B16" zoomScale="84" zoomScaleNormal="84" workbookViewId="0">
      <selection activeCell="C7" sqref="C7"/>
    </sheetView>
  </sheetViews>
  <sheetFormatPr baseColWidth="10" defaultRowHeight="15" x14ac:dyDescent="0.25"/>
  <cols>
    <col min="1" max="1" width="7.28515625" hidden="1" customWidth="1"/>
    <col min="2" max="2" width="37.85546875" bestFit="1" customWidth="1"/>
    <col min="3" max="3" width="21" bestFit="1" customWidth="1"/>
    <col min="4" max="4" width="23.140625" bestFit="1" customWidth="1"/>
    <col min="5" max="5" width="17.140625" bestFit="1" customWidth="1"/>
    <col min="6" max="6" width="18.28515625" bestFit="1" customWidth="1"/>
    <col min="7" max="7" width="16" bestFit="1" customWidth="1"/>
    <col min="8" max="8" width="19.7109375" bestFit="1" customWidth="1"/>
    <col min="9" max="9" width="14.7109375" bestFit="1" customWidth="1"/>
    <col min="10" max="10" width="18.28515625" bestFit="1" customWidth="1"/>
    <col min="11" max="11" width="9.28515625" bestFit="1" customWidth="1"/>
    <col min="12" max="12" width="28.140625" bestFit="1" customWidth="1"/>
    <col min="13" max="13" width="28.42578125" bestFit="1" customWidth="1"/>
    <col min="14" max="14" width="17.42578125" bestFit="1" customWidth="1"/>
  </cols>
  <sheetData>
    <row r="1" spans="1:21" ht="15.75" x14ac:dyDescent="0.25">
      <c r="B1" s="279" t="s">
        <v>57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36"/>
      <c r="P1" s="36"/>
      <c r="Q1" s="36"/>
      <c r="R1" s="36"/>
      <c r="S1" s="36"/>
      <c r="T1" s="36"/>
      <c r="U1" s="37"/>
    </row>
    <row r="2" spans="1:21" ht="15" customHeight="1" x14ac:dyDescent="0.25">
      <c r="B2" s="279" t="str">
        <f>+Estado!A4</f>
        <v xml:space="preserve">AL 31 DE DICIEMBRE 2019        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21" ht="15" customHeight="1" x14ac:dyDescent="0.25">
      <c r="B3" s="279" t="s">
        <v>55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38"/>
      <c r="P3" s="38"/>
      <c r="Q3" s="38"/>
      <c r="R3" s="38"/>
      <c r="S3" s="38"/>
      <c r="T3" s="38"/>
      <c r="U3" s="39"/>
    </row>
    <row r="5" spans="1:21" ht="17.25" hidden="1" x14ac:dyDescent="0.25">
      <c r="B5" s="288" t="s">
        <v>0</v>
      </c>
      <c r="C5" s="288" t="s">
        <v>1</v>
      </c>
      <c r="D5" s="288" t="s">
        <v>2</v>
      </c>
      <c r="E5" s="288" t="s">
        <v>3</v>
      </c>
      <c r="F5" s="141" t="s">
        <v>4</v>
      </c>
      <c r="G5" s="141"/>
      <c r="H5" s="141"/>
      <c r="I5" s="114"/>
      <c r="J5" s="143"/>
      <c r="K5" s="143"/>
      <c r="L5" s="288" t="s">
        <v>6</v>
      </c>
      <c r="M5" s="288" t="s">
        <v>7</v>
      </c>
      <c r="N5" s="288" t="s">
        <v>8</v>
      </c>
    </row>
    <row r="6" spans="1:21" ht="34.5" x14ac:dyDescent="0.25">
      <c r="B6" s="288"/>
      <c r="C6" s="288"/>
      <c r="D6" s="288"/>
      <c r="E6" s="288"/>
      <c r="F6" s="114" t="s">
        <v>43</v>
      </c>
      <c r="G6" s="114" t="s">
        <v>31</v>
      </c>
      <c r="H6" s="114" t="s">
        <v>33</v>
      </c>
      <c r="I6" s="114" t="s">
        <v>555</v>
      </c>
      <c r="J6" s="143" t="s">
        <v>570</v>
      </c>
      <c r="K6" s="143" t="s">
        <v>571</v>
      </c>
      <c r="L6" s="288"/>
      <c r="M6" s="288"/>
      <c r="N6" s="288"/>
    </row>
    <row r="7" spans="1:21" ht="16.5" x14ac:dyDescent="0.25">
      <c r="A7" s="116" t="str">
        <f>+Estado!A11</f>
        <v>E-0</v>
      </c>
      <c r="B7" s="117" t="s">
        <v>9</v>
      </c>
      <c r="C7" s="16">
        <f>SUMIF(Estado!$A$9:$A$371,$A7,Estado!$C$9:$C$371)</f>
        <v>93001065494</v>
      </c>
      <c r="D7" s="16">
        <f>SUMIF(Estado!$A$9:$A$371,$A7,Estado!$D$9:$D$371)</f>
        <v>92993551160</v>
      </c>
      <c r="E7" s="16">
        <f>SUMIF(Estado!$A$9:$A$371,$A7,Estado!$E$9:$E$371)</f>
        <v>0</v>
      </c>
      <c r="F7" s="16">
        <f>SUMIF(Estado!$A$9:$A$371,$A7,Estado!$G$9:$G$371)</f>
        <v>0</v>
      </c>
      <c r="G7" s="16">
        <f>SUMIF(Estado!$A$9:$A$371,$A7,Estado!$I$9:$I$371)</f>
        <v>0</v>
      </c>
      <c r="H7" s="16">
        <f>SUMIF(Estado!$A$9:$A$371,$A7,Estado!$K$9:$K$371)</f>
        <v>88405349792.529999</v>
      </c>
      <c r="I7" s="31">
        <f t="shared" ref="I7:I14" si="0">+H7/C7</f>
        <v>0.95058426828704989</v>
      </c>
      <c r="J7" s="16">
        <f>+F7+H7</f>
        <v>88405349792.529999</v>
      </c>
      <c r="K7" s="31">
        <f>+J7/C7</f>
        <v>0.95058426828704989</v>
      </c>
      <c r="L7" s="16">
        <f>SUMIF(Estado!$A$9:$A$371,$A7,Estado!$O$9:$O$371)</f>
        <v>4595715701.4699993</v>
      </c>
      <c r="M7" s="18">
        <f t="shared" ref="M7:M14" si="1">SUM(F7:H7)/C7</f>
        <v>0.95058426828704989</v>
      </c>
      <c r="N7" s="31">
        <f t="shared" ref="N7:N14" si="2">+L7/C7</f>
        <v>4.9415731712950037E-2</v>
      </c>
    </row>
    <row r="8" spans="1:21" ht="16.5" x14ac:dyDescent="0.25">
      <c r="A8" s="116" t="str">
        <f>+Estado!A62</f>
        <v>E-1</v>
      </c>
      <c r="B8" s="117" t="s">
        <v>10</v>
      </c>
      <c r="C8" s="16">
        <f>SUMIF(Estado!$A$9:$A$371,$A8,Estado!$C$9:$C$371)</f>
        <v>18447657734</v>
      </c>
      <c r="D8" s="16">
        <f>SUMIF(Estado!$A$9:$A$371,$A8,Estado!$D$9:$D$371)</f>
        <v>18442857734</v>
      </c>
      <c r="E8" s="16">
        <f>SUMIF(Estado!$A$9:$A$371,$A8,Estado!$E$9:$E$371)</f>
        <v>0</v>
      </c>
      <c r="F8" s="16">
        <f>SUMIF(Estado!$A$9:$A$371,$A8,Estado!$G$9:$G$371)</f>
        <v>0</v>
      </c>
      <c r="G8" s="16">
        <f>SUMIF(Estado!$A$9:$A$371,$A8,Estado!$I$9:$I$371)</f>
        <v>0</v>
      </c>
      <c r="H8" s="16">
        <f>SUMIF(Estado!$A$9:$A$371,$A8,Estado!$K$9:$K$371)</f>
        <v>16055373084.190001</v>
      </c>
      <c r="I8" s="31">
        <f t="shared" si="0"/>
        <v>0.87032041225478218</v>
      </c>
      <c r="J8" s="16">
        <f t="shared" ref="J8:J12" si="3">+F8+H8</f>
        <v>16055373084.190001</v>
      </c>
      <c r="K8" s="31">
        <f t="shared" ref="K8:K14" si="4">+J8/C8</f>
        <v>0.87032041225478218</v>
      </c>
      <c r="L8" s="16">
        <f>SUMIF(Estado!$A$9:$A$371,$A8,Estado!$O$9:$O$371)</f>
        <v>2392284649.8099999</v>
      </c>
      <c r="M8" s="18">
        <f t="shared" si="1"/>
        <v>0.87032041225478218</v>
      </c>
      <c r="N8" s="31">
        <f t="shared" si="2"/>
        <v>0.12967958774521787</v>
      </c>
    </row>
    <row r="9" spans="1:21" ht="16.5" x14ac:dyDescent="0.25">
      <c r="A9" s="116" t="str">
        <f>+Estado!A116</f>
        <v>E-2</v>
      </c>
      <c r="B9" s="117" t="s">
        <v>556</v>
      </c>
      <c r="C9" s="16">
        <f>SUMIF(Estado!$A$9:$A$371,$A9,Estado!$C$9:$C$371)</f>
        <v>14210989756</v>
      </c>
      <c r="D9" s="16">
        <f>SUMIF(Estado!$A$9:$A$371,$A9,Estado!$D$9:$D$371)</f>
        <v>14210989756</v>
      </c>
      <c r="E9" s="16">
        <f>SUMIF(Estado!$A$9:$A$371,$A9,Estado!$E$9:$E$371)</f>
        <v>0</v>
      </c>
      <c r="F9" s="16">
        <f>SUMIF(Estado!$A$9:$A$371,$A9,Estado!$G$9:$G$371)</f>
        <v>0</v>
      </c>
      <c r="G9" s="16">
        <f>SUMIF(Estado!$A$9:$A$371,$A9,Estado!$I$9:$I$371)</f>
        <v>0</v>
      </c>
      <c r="H9" s="16">
        <f>SUMIF(Estado!$A$9:$A$371,$A9,Estado!$K$9:$K$371)</f>
        <v>12787585774.42</v>
      </c>
      <c r="I9" s="31">
        <f t="shared" si="0"/>
        <v>0.89983780116518441</v>
      </c>
      <c r="J9" s="16">
        <f t="shared" si="3"/>
        <v>12787585774.42</v>
      </c>
      <c r="K9" s="31">
        <f t="shared" si="4"/>
        <v>0.89983780116518441</v>
      </c>
      <c r="L9" s="16">
        <f>SUMIF(Estado!$A$9:$A$371,$A9,Estado!$O$9:$O$371)</f>
        <v>1423403981.5800002</v>
      </c>
      <c r="M9" s="18">
        <f t="shared" si="1"/>
        <v>0.89983780116518441</v>
      </c>
      <c r="N9" s="31">
        <f t="shared" si="2"/>
        <v>0.10016219883481564</v>
      </c>
    </row>
    <row r="10" spans="1:21" ht="16.5" x14ac:dyDescent="0.25">
      <c r="A10" s="116" t="str">
        <f>+Estado!A148</f>
        <v>E-5</v>
      </c>
      <c r="B10" s="117" t="s">
        <v>12</v>
      </c>
      <c r="C10" s="16">
        <f>SUMIF(Estado!$A$9:$A$371,$A10,Estado!$C$9:$C$371)</f>
        <v>1954944685</v>
      </c>
      <c r="D10" s="16">
        <f>SUMIF(Estado!$A$9:$A$371,$A10,Estado!$D$9:$D$371)</f>
        <v>1954944685</v>
      </c>
      <c r="E10" s="16">
        <f>SUMIF(Estado!$A$9:$A$371,$A10,Estado!$E$9:$E$371)</f>
        <v>0</v>
      </c>
      <c r="F10" s="16">
        <f>SUMIF(Estado!$A$9:$A$371,$A10,Estado!$G$9:$G$371)</f>
        <v>0</v>
      </c>
      <c r="G10" s="16">
        <f>SUMIF(Estado!$A$9:$A$371,$A10,Estado!$I$9:$I$371)</f>
        <v>0</v>
      </c>
      <c r="H10" s="16">
        <f>SUMIF(Estado!$A$9:$A$371,$A10,Estado!$K$9:$K$371)</f>
        <v>1418559473.8900001</v>
      </c>
      <c r="I10" s="31">
        <f t="shared" si="0"/>
        <v>0.72562639995617073</v>
      </c>
      <c r="J10" s="16">
        <f t="shared" si="3"/>
        <v>1418559473.8900001</v>
      </c>
      <c r="K10" s="31">
        <f t="shared" si="4"/>
        <v>0.72562639995617073</v>
      </c>
      <c r="L10" s="16">
        <f>SUMIF(Estado!$A$9:$A$371,$A10,Estado!$O$9:$O$371)</f>
        <v>536385211.11000001</v>
      </c>
      <c r="M10" s="18">
        <f t="shared" si="1"/>
        <v>0.72562639995617073</v>
      </c>
      <c r="N10" s="31">
        <f t="shared" si="2"/>
        <v>0.27437360004382938</v>
      </c>
    </row>
    <row r="11" spans="1:21" ht="16.5" x14ac:dyDescent="0.25">
      <c r="A11" s="116" t="str">
        <f>+Estado!A163</f>
        <v>E-6</v>
      </c>
      <c r="B11" s="117" t="s">
        <v>13</v>
      </c>
      <c r="C11" s="16">
        <f>SUMIF(Estado!$A$9:$A$371,$A11,Estado!$C$9:$C$371)</f>
        <v>13557931872</v>
      </c>
      <c r="D11" s="16">
        <f>SUMIF(Estado!$A$9:$A$371,$A11,Estado!$D$9:$D$371)</f>
        <v>13557401367</v>
      </c>
      <c r="E11" s="16">
        <f>SUMIF(Estado!$A$9:$A$371,$A11,Estado!$E$9:$E$371)</f>
        <v>0</v>
      </c>
      <c r="F11" s="16">
        <f>SUMIF(Estado!$A$9:$A$371,$A11,Estado!$G$9:$G$371)</f>
        <v>0</v>
      </c>
      <c r="G11" s="16">
        <f>SUMIF(Estado!$A$9:$A$371,$A11,Estado!$I$9:$I$371)</f>
        <v>0</v>
      </c>
      <c r="H11" s="16">
        <f>SUMIF(Estado!$A$9:$A$371,$A11,Estado!$K$9:$K$371)</f>
        <v>13240377282.469999</v>
      </c>
      <c r="I11" s="31">
        <f t="shared" si="0"/>
        <v>0.97657794768936568</v>
      </c>
      <c r="J11" s="16">
        <f t="shared" si="3"/>
        <v>13240377282.469999</v>
      </c>
      <c r="K11" s="31">
        <f t="shared" si="4"/>
        <v>0.97657794768936568</v>
      </c>
      <c r="L11" s="16">
        <f>SUMIF(Estado!$A$9:$A$371,$A11,Estado!$O$9:$O$371)</f>
        <v>317554589.53000003</v>
      </c>
      <c r="M11" s="18">
        <f t="shared" si="1"/>
        <v>0.97657794768936568</v>
      </c>
      <c r="N11" s="31">
        <f t="shared" si="2"/>
        <v>2.3422052310634302E-2</v>
      </c>
    </row>
    <row r="12" spans="1:21" ht="16.5" x14ac:dyDescent="0.25">
      <c r="A12" t="str">
        <f>+Estado!A195</f>
        <v>E-7</v>
      </c>
      <c r="B12" s="117" t="s">
        <v>14</v>
      </c>
      <c r="C12" s="16">
        <f>SUMIF(Estado!$A$9:$A$371,$A12,Estado!$C$9:$C$371)</f>
        <v>1938815591.4200001</v>
      </c>
      <c r="D12" s="16">
        <f>SUMIF(Estado!$A$9:$A$371,$A12,Estado!$D$9:$D$371)</f>
        <v>1938815591.4200001</v>
      </c>
      <c r="E12" s="16">
        <f>SUMIF(Estado!$A$9:$A$371,$A12,Estado!$E$9:$E$371)</f>
        <v>0</v>
      </c>
      <c r="F12" s="16">
        <f>SUMIF(Estado!$A$9:$A$371,$A12,Estado!$G$9:$G$371)</f>
        <v>93466512.689999998</v>
      </c>
      <c r="G12" s="16">
        <f>SUMIF(Estado!$A$9:$A$371,$A12,Estado!$I$9:$I$371)</f>
        <v>0</v>
      </c>
      <c r="H12" s="16">
        <f>SUMIF(Estado!$A$9:$A$371,$A12,Estado!$K$9:$K$371)</f>
        <v>1845349074</v>
      </c>
      <c r="I12" s="31">
        <f t="shared" si="0"/>
        <v>0.95179195080046541</v>
      </c>
      <c r="J12" s="16">
        <f t="shared" si="3"/>
        <v>1938815586.6900001</v>
      </c>
      <c r="K12" s="31">
        <f t="shared" si="4"/>
        <v>0.99999999756036617</v>
      </c>
      <c r="L12" s="16">
        <f>SUMIF(Estado!$A$9:$A$371,$A12,Estado!$O$9:$O$371)</f>
        <v>4.7300000000000004</v>
      </c>
      <c r="M12" s="18">
        <f t="shared" si="1"/>
        <v>0.99999999756036617</v>
      </c>
      <c r="N12" s="31">
        <f t="shared" si="2"/>
        <v>2.4396337748324584E-9</v>
      </c>
    </row>
    <row r="13" spans="1:21" ht="16.5" x14ac:dyDescent="0.25">
      <c r="A13" t="str">
        <f>+Estado!A200</f>
        <v>E-9</v>
      </c>
      <c r="B13" s="117" t="s">
        <v>579</v>
      </c>
      <c r="C13" s="16">
        <f>SUMIF(Estado!$A$9:$A$371,$A13,Estado!$C$9:$C$371)</f>
        <v>0</v>
      </c>
      <c r="D13" s="16">
        <f>SUMIF(Estado!$A$9:$A$371,$A13,Estado!$D$9:$D$371)</f>
        <v>0</v>
      </c>
      <c r="E13" s="16">
        <f>SUMIF(Estado!$A$9:$A$371,$A13,Estado!$E$9:$E$371)</f>
        <v>0</v>
      </c>
      <c r="F13" s="16">
        <f>SUMIF(Estado!$A$9:$A$371,$A13,Estado!$G$9:$G$371)</f>
        <v>0</v>
      </c>
      <c r="G13" s="16">
        <f>SUMIF(Estado!$A$9:$A$371,$A13,Estado!$I$9:$I$371)</f>
        <v>0</v>
      </c>
      <c r="H13" s="16">
        <f>SUMIF(Estado!$A$9:$A$371,$A13,Estado!$K$9:$K$371)</f>
        <v>0</v>
      </c>
      <c r="I13" s="31" t="e">
        <f>+H13/C13</f>
        <v>#DIV/0!</v>
      </c>
      <c r="J13" s="16">
        <f t="shared" ref="J13" si="5">+F13+H13</f>
        <v>0</v>
      </c>
      <c r="K13" s="31" t="e">
        <f t="shared" ref="K13" si="6">+J13/C13</f>
        <v>#DIV/0!</v>
      </c>
      <c r="L13" s="16">
        <f>SUMIF(Estado!$A$9:$A$371,$A13,Estado!$O$9:$O$371)</f>
        <v>0</v>
      </c>
      <c r="M13" s="18" t="e">
        <f>SUM(F13:H13)/C13</f>
        <v>#DIV/0!</v>
      </c>
      <c r="N13" s="31" t="e">
        <f t="shared" ref="N13" si="7">+L13/C13</f>
        <v>#DIV/0!</v>
      </c>
    </row>
    <row r="14" spans="1:21" ht="17.25" x14ac:dyDescent="0.25">
      <c r="B14" s="118" t="s">
        <v>15</v>
      </c>
      <c r="C14" s="119">
        <f t="shared" ref="C14:H14" si="8">SUM(C7:C13)</f>
        <v>143111405132.42001</v>
      </c>
      <c r="D14" s="119">
        <f t="shared" si="8"/>
        <v>143098560293.42001</v>
      </c>
      <c r="E14" s="119">
        <f t="shared" si="8"/>
        <v>0</v>
      </c>
      <c r="F14" s="119">
        <f t="shared" si="8"/>
        <v>93466512.689999998</v>
      </c>
      <c r="G14" s="119">
        <f t="shared" si="8"/>
        <v>0</v>
      </c>
      <c r="H14" s="119">
        <f t="shared" si="8"/>
        <v>133752594481.5</v>
      </c>
      <c r="I14" s="243">
        <f t="shared" si="0"/>
        <v>0.93460471831535463</v>
      </c>
      <c r="J14" s="119">
        <f>SUM(J7:J13)</f>
        <v>133846060994.19</v>
      </c>
      <c r="K14" s="142">
        <f t="shared" si="4"/>
        <v>0.93525782148769454</v>
      </c>
      <c r="L14" s="119">
        <f>SUM(L7:L13)</f>
        <v>9265344138.2299995</v>
      </c>
      <c r="M14" s="243">
        <f t="shared" si="1"/>
        <v>0.93525782148769454</v>
      </c>
      <c r="N14" s="243">
        <f t="shared" si="2"/>
        <v>6.4742178512305432E-2</v>
      </c>
    </row>
    <row r="15" spans="1:21" ht="16.5" x14ac:dyDescent="0.25">
      <c r="B15" s="4"/>
      <c r="C15" s="20">
        <f>+C14-Estado!C203</f>
        <v>0</v>
      </c>
      <c r="D15" s="20">
        <f>+D14-Estado!D203</f>
        <v>0</v>
      </c>
      <c r="E15" s="20">
        <f>+E14-Estado!E203</f>
        <v>0</v>
      </c>
      <c r="F15" s="20">
        <f>+F14-Estado!G10</f>
        <v>0</v>
      </c>
      <c r="G15" s="20">
        <f>+G14-Estado!I10</f>
        <v>0</v>
      </c>
      <c r="H15" s="20">
        <f>+H14-Estado!K10</f>
        <v>0</v>
      </c>
      <c r="I15" s="20"/>
      <c r="J15" s="20"/>
      <c r="K15" s="20"/>
      <c r="L15" s="20">
        <f>+C14-F14-H14-E14-G14-L14</f>
        <v>0</v>
      </c>
      <c r="M15" s="5"/>
      <c r="N15" s="5"/>
    </row>
    <row r="16" spans="1:21" ht="16.5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17"/>
      <c r="M16" s="4"/>
      <c r="N16" s="4"/>
    </row>
    <row r="17" spans="2:15" ht="51" hidden="1" customHeight="1" thickBot="1" x14ac:dyDescent="0.3">
      <c r="B17" s="289" t="s">
        <v>16</v>
      </c>
      <c r="C17" s="289" t="s">
        <v>1</v>
      </c>
      <c r="D17" s="289" t="s">
        <v>2</v>
      </c>
      <c r="E17" s="289" t="s">
        <v>3</v>
      </c>
      <c r="F17" s="291" t="s">
        <v>4</v>
      </c>
      <c r="G17" s="292"/>
      <c r="H17" s="293"/>
      <c r="I17" s="150"/>
      <c r="J17" s="150"/>
      <c r="K17" s="150"/>
      <c r="L17" s="289" t="s">
        <v>6</v>
      </c>
      <c r="M17" s="289" t="s">
        <v>7</v>
      </c>
      <c r="N17" s="289" t="s">
        <v>8</v>
      </c>
    </row>
    <row r="18" spans="2:15" ht="34.5" x14ac:dyDescent="0.25">
      <c r="B18" s="290"/>
      <c r="C18" s="290"/>
      <c r="D18" s="290"/>
      <c r="E18" s="290"/>
      <c r="F18" s="150" t="s">
        <v>43</v>
      </c>
      <c r="G18" s="150" t="s">
        <v>31</v>
      </c>
      <c r="H18" s="150" t="s">
        <v>33</v>
      </c>
      <c r="I18" s="150" t="s">
        <v>555</v>
      </c>
      <c r="J18" s="150" t="s">
        <v>570</v>
      </c>
      <c r="K18" s="150" t="s">
        <v>571</v>
      </c>
      <c r="L18" s="290"/>
      <c r="M18" s="290"/>
      <c r="N18" s="290"/>
    </row>
    <row r="19" spans="2:15" ht="16.5" x14ac:dyDescent="0.25">
      <c r="B19" s="120" t="s">
        <v>17</v>
      </c>
      <c r="C19" s="16">
        <f>+C7+Estado!C186</f>
        <v>93484295029</v>
      </c>
      <c r="D19" s="16">
        <f>+D7+Estado!D186</f>
        <v>93476780695</v>
      </c>
      <c r="E19" s="16">
        <f>+E7+Estado!E186</f>
        <v>0</v>
      </c>
      <c r="F19" s="16">
        <f>+F7+Estado!G186</f>
        <v>0</v>
      </c>
      <c r="G19" s="16">
        <f>+G7+Estado!I186</f>
        <v>0</v>
      </c>
      <c r="H19" s="16">
        <f>+H7+Estado!K186</f>
        <v>88866778917.020004</v>
      </c>
      <c r="I19" s="151">
        <f t="shared" ref="I19:I25" si="9">+H19/C19</f>
        <v>0.9506065044342733</v>
      </c>
      <c r="J19" s="16">
        <f t="shared" ref="J19:J23" si="10">+F19+H19</f>
        <v>88866778917.020004</v>
      </c>
      <c r="K19" s="31">
        <f t="shared" ref="K19:K25" si="11">+J19/C19</f>
        <v>0.9506065044342733</v>
      </c>
      <c r="L19" s="16">
        <f>+L7+Estado!O186</f>
        <v>4617516111.9799995</v>
      </c>
      <c r="M19" s="18">
        <f t="shared" ref="M19:M25" si="12">SUM(F19:H19)/C19</f>
        <v>0.9506065044342733</v>
      </c>
      <c r="N19" s="151">
        <f t="shared" ref="N19:N25" si="13">+L19/C19</f>
        <v>4.9393495565726718E-2</v>
      </c>
      <c r="O19" s="125">
        <f>+F19/C19</f>
        <v>0</v>
      </c>
    </row>
    <row r="20" spans="2:15" ht="16.5" x14ac:dyDescent="0.25">
      <c r="B20" s="120" t="s">
        <v>18</v>
      </c>
      <c r="C20" s="16">
        <f>+C8+C9</f>
        <v>32658647490</v>
      </c>
      <c r="D20" s="16">
        <f t="shared" ref="D20:L20" si="14">+D8+D9</f>
        <v>32653847490</v>
      </c>
      <c r="E20" s="16">
        <f t="shared" si="14"/>
        <v>0</v>
      </c>
      <c r="F20" s="16">
        <f t="shared" si="14"/>
        <v>0</v>
      </c>
      <c r="G20" s="16">
        <f t="shared" si="14"/>
        <v>0</v>
      </c>
      <c r="H20" s="16">
        <f t="shared" si="14"/>
        <v>28842958858.610001</v>
      </c>
      <c r="I20" s="151">
        <f t="shared" si="9"/>
        <v>0.88316452380465682</v>
      </c>
      <c r="J20" s="16">
        <f t="shared" si="10"/>
        <v>28842958858.610001</v>
      </c>
      <c r="K20" s="31">
        <f t="shared" si="11"/>
        <v>0.88316452380465682</v>
      </c>
      <c r="L20" s="16">
        <f t="shared" si="14"/>
        <v>3815688631.3900003</v>
      </c>
      <c r="M20" s="18">
        <f t="shared" si="12"/>
        <v>0.88316452380465682</v>
      </c>
      <c r="N20" s="151">
        <f t="shared" si="13"/>
        <v>0.11683547619534321</v>
      </c>
    </row>
    <row r="21" spans="2:15" ht="16.5" x14ac:dyDescent="0.25">
      <c r="B21" s="120" t="s">
        <v>19</v>
      </c>
      <c r="C21" s="16">
        <f>+C10</f>
        <v>1954944685</v>
      </c>
      <c r="D21" s="16">
        <f t="shared" ref="D21:L21" si="15">+D10</f>
        <v>1954944685</v>
      </c>
      <c r="E21" s="16">
        <f t="shared" si="15"/>
        <v>0</v>
      </c>
      <c r="F21" s="16">
        <f t="shared" si="15"/>
        <v>0</v>
      </c>
      <c r="G21" s="16">
        <f t="shared" si="15"/>
        <v>0</v>
      </c>
      <c r="H21" s="16">
        <f t="shared" si="15"/>
        <v>1418559473.8900001</v>
      </c>
      <c r="I21" s="151">
        <f t="shared" si="9"/>
        <v>0.72562639995617073</v>
      </c>
      <c r="J21" s="16">
        <f t="shared" si="10"/>
        <v>1418559473.8900001</v>
      </c>
      <c r="K21" s="31">
        <f t="shared" si="11"/>
        <v>0.72562639995617073</v>
      </c>
      <c r="L21" s="16">
        <f t="shared" si="15"/>
        <v>536385211.11000001</v>
      </c>
      <c r="M21" s="18">
        <f t="shared" si="12"/>
        <v>0.72562639995617073</v>
      </c>
      <c r="N21" s="151">
        <f t="shared" si="13"/>
        <v>0.27437360004382938</v>
      </c>
    </row>
    <row r="22" spans="2:15" ht="16.5" x14ac:dyDescent="0.25">
      <c r="B22" s="120" t="s">
        <v>20</v>
      </c>
      <c r="C22" s="16">
        <f>+C11-Estado!C186</f>
        <v>13074702337</v>
      </c>
      <c r="D22" s="16">
        <f>+D11-Estado!D186</f>
        <v>13074171832</v>
      </c>
      <c r="E22" s="16">
        <f>+E11-Estado!E186</f>
        <v>0</v>
      </c>
      <c r="F22" s="16">
        <f>+F11-Estado!G186</f>
        <v>0</v>
      </c>
      <c r="G22" s="16">
        <f>+G11-Estado!I186</f>
        <v>0</v>
      </c>
      <c r="H22" s="16">
        <f>+H11-Estado!K186</f>
        <v>12778948157.98</v>
      </c>
      <c r="I22" s="151">
        <f t="shared" si="9"/>
        <v>0.97737966254244668</v>
      </c>
      <c r="J22" s="16">
        <f t="shared" si="10"/>
        <v>12778948157.98</v>
      </c>
      <c r="K22" s="31">
        <f t="shared" si="11"/>
        <v>0.97737966254244668</v>
      </c>
      <c r="L22" s="16">
        <f>+L11-Estado!O186</f>
        <v>295754179.02000004</v>
      </c>
      <c r="M22" s="18">
        <f t="shared" si="12"/>
        <v>0.97737966254244668</v>
      </c>
      <c r="N22" s="151">
        <f t="shared" si="13"/>
        <v>2.2620337457553243E-2</v>
      </c>
    </row>
    <row r="23" spans="2:15" ht="16.5" x14ac:dyDescent="0.25">
      <c r="B23" s="120" t="s">
        <v>21</v>
      </c>
      <c r="C23" s="16">
        <f>+C12</f>
        <v>1938815591.4200001</v>
      </c>
      <c r="D23" s="16">
        <f t="shared" ref="D23:L23" si="16">+D12</f>
        <v>1938815591.4200001</v>
      </c>
      <c r="E23" s="16">
        <f t="shared" si="16"/>
        <v>0</v>
      </c>
      <c r="F23" s="16">
        <f t="shared" si="16"/>
        <v>93466512.689999998</v>
      </c>
      <c r="G23" s="16">
        <f t="shared" si="16"/>
        <v>0</v>
      </c>
      <c r="H23" s="16">
        <f t="shared" si="16"/>
        <v>1845349074</v>
      </c>
      <c r="I23" s="151">
        <f t="shared" si="9"/>
        <v>0.95179195080046541</v>
      </c>
      <c r="J23" s="16">
        <f t="shared" si="10"/>
        <v>1938815586.6900001</v>
      </c>
      <c r="K23" s="31">
        <f t="shared" si="11"/>
        <v>0.99999999756036617</v>
      </c>
      <c r="L23" s="16">
        <f t="shared" si="16"/>
        <v>4.7300000000000004</v>
      </c>
      <c r="M23" s="18">
        <f t="shared" si="12"/>
        <v>0.99999999756036617</v>
      </c>
      <c r="N23" s="151">
        <f t="shared" si="13"/>
        <v>2.4396337748324584E-9</v>
      </c>
    </row>
    <row r="24" spans="2:15" ht="16.5" x14ac:dyDescent="0.25">
      <c r="B24" s="120" t="s">
        <v>580</v>
      </c>
      <c r="C24" s="16">
        <f>+C13</f>
        <v>0</v>
      </c>
      <c r="D24" s="16">
        <f t="shared" ref="D24:L24" si="17">+D13</f>
        <v>0</v>
      </c>
      <c r="E24" s="16">
        <f t="shared" si="17"/>
        <v>0</v>
      </c>
      <c r="F24" s="16">
        <f t="shared" si="17"/>
        <v>0</v>
      </c>
      <c r="G24" s="16">
        <f t="shared" si="17"/>
        <v>0</v>
      </c>
      <c r="H24" s="16">
        <f t="shared" si="17"/>
        <v>0</v>
      </c>
      <c r="I24" s="151" t="e">
        <f t="shared" si="9"/>
        <v>#DIV/0!</v>
      </c>
      <c r="J24" s="16">
        <f t="shared" si="17"/>
        <v>0</v>
      </c>
      <c r="K24" s="31" t="e">
        <f t="shared" si="11"/>
        <v>#DIV/0!</v>
      </c>
      <c r="L24" s="16">
        <f t="shared" si="17"/>
        <v>0</v>
      </c>
      <c r="M24" s="18" t="e">
        <f t="shared" ref="M24" si="18">SUM(F24:H24)/C24</f>
        <v>#DIV/0!</v>
      </c>
      <c r="N24" s="151" t="e">
        <f t="shared" ref="N24" si="19">+L24/C24</f>
        <v>#DIV/0!</v>
      </c>
    </row>
    <row r="25" spans="2:15" ht="17.25" x14ac:dyDescent="0.25">
      <c r="B25" s="118" t="s">
        <v>15</v>
      </c>
      <c r="C25" s="119">
        <f t="shared" ref="C25:H25" si="20">SUM(C19:C24)</f>
        <v>143111405132.42001</v>
      </c>
      <c r="D25" s="119">
        <f t="shared" si="20"/>
        <v>143098560293.42001</v>
      </c>
      <c r="E25" s="119">
        <f t="shared" si="20"/>
        <v>0</v>
      </c>
      <c r="F25" s="119">
        <f>SUM(F19:F24)</f>
        <v>93466512.689999998</v>
      </c>
      <c r="G25" s="119">
        <f t="shared" si="20"/>
        <v>0</v>
      </c>
      <c r="H25" s="119">
        <f t="shared" si="20"/>
        <v>133752594481.5</v>
      </c>
      <c r="I25" s="243">
        <f t="shared" si="9"/>
        <v>0.93460471831535463</v>
      </c>
      <c r="J25" s="119">
        <f>SUM(J19:J24)</f>
        <v>133846060994.19</v>
      </c>
      <c r="K25" s="142">
        <f t="shared" si="11"/>
        <v>0.93525782148769454</v>
      </c>
      <c r="L25" s="119">
        <f>SUM(L19:L24)</f>
        <v>9265344138.2299995</v>
      </c>
      <c r="M25" s="243">
        <f t="shared" si="12"/>
        <v>0.93525782148769454</v>
      </c>
      <c r="N25" s="243">
        <f t="shared" si="13"/>
        <v>6.4742178512305432E-2</v>
      </c>
    </row>
    <row r="27" spans="2:15" x14ac:dyDescent="0.25">
      <c r="B27" s="125">
        <f>+C23/C25</f>
        <v>1.3547596640715164E-2</v>
      </c>
      <c r="L27" s="125">
        <f>+L23/L25</f>
        <v>5.1050451331682466E-10</v>
      </c>
    </row>
    <row r="28" spans="2:15" x14ac:dyDescent="0.25">
      <c r="N28" s="48"/>
    </row>
    <row r="29" spans="2:15" x14ac:dyDescent="0.25">
      <c r="L29" s="33">
        <f>+E25+F25+G25+H25</f>
        <v>133846060994.19</v>
      </c>
    </row>
    <row r="30" spans="2:15" x14ac:dyDescent="0.25">
      <c r="L30" s="125">
        <f>+L29/C25</f>
        <v>0.93525782148769454</v>
      </c>
    </row>
    <row r="32" spans="2:15" x14ac:dyDescent="0.25">
      <c r="L32" s="125">
        <f>+L25/C25</f>
        <v>6.4742178512305432E-2</v>
      </c>
    </row>
    <row r="790" spans="3:3" x14ac:dyDescent="0.25">
      <c r="C790">
        <v>8500000068</v>
      </c>
    </row>
  </sheetData>
  <mergeCells count="18">
    <mergeCell ref="L5:L6"/>
    <mergeCell ref="M5:M6"/>
    <mergeCell ref="B1:N1"/>
    <mergeCell ref="B2:N2"/>
    <mergeCell ref="B3:N3"/>
    <mergeCell ref="N5:N6"/>
    <mergeCell ref="M17:M18"/>
    <mergeCell ref="N17:N18"/>
    <mergeCell ref="F17:H17"/>
    <mergeCell ref="B5:B6"/>
    <mergeCell ref="C5:C6"/>
    <mergeCell ref="D5:D6"/>
    <mergeCell ref="B17:B18"/>
    <mergeCell ref="C17:C18"/>
    <mergeCell ref="D17:D18"/>
    <mergeCell ref="E17:E18"/>
    <mergeCell ref="L17:L18"/>
    <mergeCell ref="E5:E6"/>
  </mergeCells>
  <pageMargins left="0.7" right="0.7" top="0.75" bottom="0.75" header="0.3" footer="0.3"/>
  <pageSetup orientation="portrait" verticalDpi="599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54BB-C2E4-4FF3-BCCC-2865A1B4A4A5}">
  <dimension ref="A1:N457"/>
  <sheetViews>
    <sheetView topLeftCell="D1" workbookViewId="0">
      <pane ySplit="600" topLeftCell="A400" activePane="bottomLeft"/>
      <selection pane="bottomLeft" activeCell="K104" sqref="K104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74.140625" customWidth="1"/>
    <col min="4" max="4" width="6.5703125" bestFit="1" customWidth="1"/>
    <col min="5" max="5" width="18.7109375" bestFit="1" customWidth="1"/>
    <col min="6" max="6" width="18.5703125" bestFit="1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126570163980.75</v>
      </c>
      <c r="H2" s="179">
        <v>155039859.97999999</v>
      </c>
      <c r="I2" s="179">
        <v>13104571416.23</v>
      </c>
      <c r="J2" s="179">
        <v>413587339.02999997</v>
      </c>
      <c r="K2" s="179">
        <v>56939013539.5</v>
      </c>
      <c r="L2" s="179">
        <v>56496238612.129997</v>
      </c>
      <c r="M2" s="179">
        <v>70474920845.259995</v>
      </c>
      <c r="N2" s="179">
        <v>55957951826.010002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2243822736</v>
      </c>
      <c r="H3" s="179">
        <v>1471090</v>
      </c>
      <c r="I3" s="179">
        <v>199710878.00999999</v>
      </c>
      <c r="J3" s="179">
        <v>2915877.79</v>
      </c>
      <c r="K3" s="179">
        <v>1038308271.0700001</v>
      </c>
      <c r="L3" s="179">
        <v>1033479868.0700001</v>
      </c>
      <c r="M3" s="179">
        <v>1277043110.1300001</v>
      </c>
      <c r="N3" s="179">
        <v>1001416619.13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1364477635</v>
      </c>
      <c r="G4" s="179">
        <v>1364477635</v>
      </c>
      <c r="H4" s="179">
        <v>0</v>
      </c>
      <c r="I4" s="179">
        <v>119218175</v>
      </c>
      <c r="J4" s="179">
        <v>0</v>
      </c>
      <c r="K4" s="179">
        <v>552035173.19000006</v>
      </c>
      <c r="L4" s="179">
        <v>552035173.19000006</v>
      </c>
      <c r="M4" s="179">
        <v>693224286.80999994</v>
      </c>
      <c r="N4" s="179">
        <v>693224286.80999994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513555100</v>
      </c>
      <c r="G5" s="179">
        <v>513555100</v>
      </c>
      <c r="H5" s="179">
        <v>0</v>
      </c>
      <c r="I5" s="179">
        <v>0</v>
      </c>
      <c r="J5" s="179">
        <v>0</v>
      </c>
      <c r="K5" s="179">
        <v>220835425.19999999</v>
      </c>
      <c r="L5" s="179">
        <v>220835425.19999999</v>
      </c>
      <c r="M5" s="179">
        <v>292719674.80000001</v>
      </c>
      <c r="N5" s="179">
        <v>292719674.80000001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513555100</v>
      </c>
      <c r="G6" s="179">
        <v>513555100</v>
      </c>
      <c r="H6" s="179">
        <v>0</v>
      </c>
      <c r="I6" s="179">
        <v>0</v>
      </c>
      <c r="J6" s="179">
        <v>0</v>
      </c>
      <c r="K6" s="179">
        <v>220835425.19999999</v>
      </c>
      <c r="L6" s="179">
        <v>220835425.19999999</v>
      </c>
      <c r="M6" s="179">
        <v>292719674.80000001</v>
      </c>
      <c r="N6" s="179">
        <v>292719674.80000001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640941535</v>
      </c>
      <c r="G7" s="179">
        <v>640941535</v>
      </c>
      <c r="H7" s="179">
        <v>0</v>
      </c>
      <c r="I7" s="179">
        <v>0</v>
      </c>
      <c r="J7" s="179">
        <v>0</v>
      </c>
      <c r="K7" s="179">
        <v>240436922.99000001</v>
      </c>
      <c r="L7" s="179">
        <v>240436922.99000001</v>
      </c>
      <c r="M7" s="179">
        <v>400504612.00999999</v>
      </c>
      <c r="N7" s="179">
        <v>400504612.00999999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137710900</v>
      </c>
      <c r="G8" s="179">
        <v>137710900</v>
      </c>
      <c r="H8" s="179">
        <v>0</v>
      </c>
      <c r="I8" s="179">
        <v>0</v>
      </c>
      <c r="J8" s="179">
        <v>0</v>
      </c>
      <c r="K8" s="179">
        <v>47455779.630000003</v>
      </c>
      <c r="L8" s="179">
        <v>47455779.630000003</v>
      </c>
      <c r="M8" s="179">
        <v>90255120.370000005</v>
      </c>
      <c r="N8" s="179">
        <v>90255120.370000005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282135635</v>
      </c>
      <c r="G9" s="179">
        <v>282135635</v>
      </c>
      <c r="H9" s="179">
        <v>0</v>
      </c>
      <c r="I9" s="179">
        <v>0</v>
      </c>
      <c r="J9" s="179">
        <v>0</v>
      </c>
      <c r="K9" s="179">
        <v>100616921.14</v>
      </c>
      <c r="L9" s="179">
        <v>100616921.14</v>
      </c>
      <c r="M9" s="179">
        <v>181518713.86000001</v>
      </c>
      <c r="N9" s="179">
        <v>181518713.86000001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74682002.099999994</v>
      </c>
      <c r="L10" s="179">
        <v>74682002.099999994</v>
      </c>
      <c r="M10" s="179">
        <v>9198997.9000000004</v>
      </c>
      <c r="N10" s="179">
        <v>9198997.9000000004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17682220.120000001</v>
      </c>
      <c r="L11" s="179">
        <v>17682220.120000001</v>
      </c>
      <c r="M11" s="179">
        <v>29724779.879999999</v>
      </c>
      <c r="N11" s="179">
        <v>29724779.879999999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0</v>
      </c>
      <c r="L12" s="179">
        <v>0</v>
      </c>
      <c r="M12" s="179">
        <v>89807000</v>
      </c>
      <c r="N12" s="179">
        <v>89807000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60133475</v>
      </c>
      <c r="J13" s="179">
        <v>0</v>
      </c>
      <c r="K13" s="179">
        <v>45780525</v>
      </c>
      <c r="L13" s="179">
        <v>45780525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57050207</v>
      </c>
      <c r="J14" s="179">
        <v>0</v>
      </c>
      <c r="K14" s="179">
        <v>43432793</v>
      </c>
      <c r="L14" s="179">
        <v>43432793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3083268</v>
      </c>
      <c r="J15" s="179">
        <v>0</v>
      </c>
      <c r="K15" s="179">
        <v>2347732</v>
      </c>
      <c r="L15" s="179">
        <v>2347732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59084700</v>
      </c>
      <c r="J16" s="179">
        <v>0</v>
      </c>
      <c r="K16" s="179">
        <v>44982300</v>
      </c>
      <c r="L16" s="179">
        <v>44982300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31331179</v>
      </c>
      <c r="J17" s="179">
        <v>0</v>
      </c>
      <c r="K17" s="179">
        <v>23852821</v>
      </c>
      <c r="L17" s="179">
        <v>23852821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9250843</v>
      </c>
      <c r="J18" s="179">
        <v>0</v>
      </c>
      <c r="K18" s="179">
        <v>7043157</v>
      </c>
      <c r="L18" s="179">
        <v>7043157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18502678</v>
      </c>
      <c r="J19" s="179">
        <v>0</v>
      </c>
      <c r="K19" s="179">
        <v>14086322</v>
      </c>
      <c r="L19" s="179">
        <v>14086322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242695935</v>
      </c>
      <c r="H20" s="179">
        <v>314650</v>
      </c>
      <c r="I20" s="179">
        <v>47292003.119999997</v>
      </c>
      <c r="J20" s="179">
        <v>1284009</v>
      </c>
      <c r="K20" s="179">
        <v>92211730.370000005</v>
      </c>
      <c r="L20" s="179">
        <v>88127094.370000005</v>
      </c>
      <c r="M20" s="179">
        <v>201639186.50999999</v>
      </c>
      <c r="N20" s="179">
        <v>101593542.51000001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95218768.030000001</v>
      </c>
      <c r="H21" s="179">
        <v>0</v>
      </c>
      <c r="I21" s="179">
        <v>20274826.149999999</v>
      </c>
      <c r="J21" s="179">
        <v>30000</v>
      </c>
      <c r="K21" s="179">
        <v>41774794.600000001</v>
      </c>
      <c r="L21" s="179">
        <v>41745368.600000001</v>
      </c>
      <c r="M21" s="179">
        <v>63765825.25</v>
      </c>
      <c r="N21" s="179">
        <v>33139147.280000001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95138768.030000001</v>
      </c>
      <c r="H22" s="179">
        <v>0</v>
      </c>
      <c r="I22" s="179">
        <v>20194826.149999999</v>
      </c>
      <c r="J22" s="179">
        <v>30000</v>
      </c>
      <c r="K22" s="179">
        <v>41774794.600000001</v>
      </c>
      <c r="L22" s="179">
        <v>41745368.600000001</v>
      </c>
      <c r="M22" s="179">
        <v>63765825.25</v>
      </c>
      <c r="N22" s="179">
        <v>33139147.280000001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80000</v>
      </c>
      <c r="J23" s="179">
        <v>0</v>
      </c>
      <c r="K23" s="179">
        <v>0</v>
      </c>
      <c r="L23" s="179">
        <v>0</v>
      </c>
      <c r="M23" s="179">
        <v>0</v>
      </c>
      <c r="N23" s="179">
        <v>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75351429</v>
      </c>
      <c r="H24" s="179">
        <v>0</v>
      </c>
      <c r="I24" s="179">
        <v>13094333.859999999</v>
      </c>
      <c r="J24" s="179">
        <v>0</v>
      </c>
      <c r="K24" s="179">
        <v>41415665.939999998</v>
      </c>
      <c r="L24" s="179">
        <v>37405455.939999998</v>
      </c>
      <c r="M24" s="179">
        <v>76918353.200000003</v>
      </c>
      <c r="N24" s="179">
        <v>20841429.199999999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8971429</v>
      </c>
      <c r="G25" s="179">
        <v>4971429</v>
      </c>
      <c r="H25" s="179">
        <v>0</v>
      </c>
      <c r="I25" s="179">
        <v>9639</v>
      </c>
      <c r="J25" s="179">
        <v>0</v>
      </c>
      <c r="K25" s="179">
        <v>2390361</v>
      </c>
      <c r="L25" s="179">
        <v>2390361</v>
      </c>
      <c r="M25" s="179">
        <v>6571429</v>
      </c>
      <c r="N25" s="179">
        <v>2571429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40000000</v>
      </c>
      <c r="H26" s="179">
        <v>0</v>
      </c>
      <c r="I26" s="179">
        <v>4001250</v>
      </c>
      <c r="J26" s="179">
        <v>0</v>
      </c>
      <c r="K26" s="179">
        <v>22998750</v>
      </c>
      <c r="L26" s="179">
        <v>18988540</v>
      </c>
      <c r="M26" s="179">
        <v>29000000</v>
      </c>
      <c r="N26" s="179">
        <v>13000000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3600</v>
      </c>
      <c r="J27" s="179">
        <v>0</v>
      </c>
      <c r="K27" s="179">
        <v>16400</v>
      </c>
      <c r="L27" s="179">
        <v>16400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66076924</v>
      </c>
      <c r="G28" s="179">
        <v>30000000</v>
      </c>
      <c r="H28" s="179">
        <v>0</v>
      </c>
      <c r="I28" s="179">
        <v>9017644.8599999994</v>
      </c>
      <c r="J28" s="179">
        <v>0</v>
      </c>
      <c r="K28" s="179">
        <v>15982354.939999999</v>
      </c>
      <c r="L28" s="179">
        <v>15982354.939999999</v>
      </c>
      <c r="M28" s="179">
        <v>41076924.200000003</v>
      </c>
      <c r="N28" s="179">
        <v>5000000.2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360000</v>
      </c>
      <c r="H29" s="179">
        <v>0</v>
      </c>
      <c r="I29" s="179">
        <v>62200</v>
      </c>
      <c r="J29" s="179">
        <v>0</v>
      </c>
      <c r="K29" s="179">
        <v>27800</v>
      </c>
      <c r="L29" s="179">
        <v>27800</v>
      </c>
      <c r="M29" s="179">
        <v>270000</v>
      </c>
      <c r="N29" s="179">
        <v>270000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9250000</v>
      </c>
      <c r="G30" s="179">
        <v>9250000</v>
      </c>
      <c r="H30" s="179">
        <v>0</v>
      </c>
      <c r="I30" s="179">
        <v>6874940.2599999998</v>
      </c>
      <c r="J30" s="179">
        <v>0</v>
      </c>
      <c r="K30" s="179">
        <v>544320</v>
      </c>
      <c r="L30" s="179">
        <v>544320</v>
      </c>
      <c r="M30" s="179">
        <v>1830739.74</v>
      </c>
      <c r="N30" s="179">
        <v>1830739.74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7000000</v>
      </c>
      <c r="H31" s="179">
        <v>0</v>
      </c>
      <c r="I31" s="179">
        <v>6824940.2599999998</v>
      </c>
      <c r="J31" s="179">
        <v>0</v>
      </c>
      <c r="K31" s="179">
        <v>169320</v>
      </c>
      <c r="L31" s="179">
        <v>169320</v>
      </c>
      <c r="M31" s="179">
        <v>5739.74</v>
      </c>
      <c r="N31" s="179">
        <v>5739.74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1650000</v>
      </c>
      <c r="H32" s="179">
        <v>0</v>
      </c>
      <c r="I32" s="179">
        <v>0</v>
      </c>
      <c r="J32" s="179">
        <v>0</v>
      </c>
      <c r="K32" s="179">
        <v>375000</v>
      </c>
      <c r="L32" s="179">
        <v>375000</v>
      </c>
      <c r="M32" s="179">
        <v>1275000</v>
      </c>
      <c r="N32" s="179">
        <v>1275000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326</v>
      </c>
      <c r="C34" s="156" t="s">
        <v>327</v>
      </c>
      <c r="D34" s="156" t="s">
        <v>541</v>
      </c>
      <c r="E34" s="179">
        <v>0</v>
      </c>
      <c r="F34" s="179">
        <v>550000</v>
      </c>
      <c r="G34" s="179">
        <v>550000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550000</v>
      </c>
      <c r="N34" s="179">
        <v>550000</v>
      </c>
    </row>
    <row r="35" spans="1:14" s="156" customFormat="1" x14ac:dyDescent="0.25">
      <c r="A35" s="156" t="s">
        <v>542</v>
      </c>
      <c r="B35" s="156" t="s">
        <v>151</v>
      </c>
      <c r="C35" s="156" t="s">
        <v>152</v>
      </c>
      <c r="D35" s="156" t="s">
        <v>541</v>
      </c>
      <c r="E35" s="179">
        <v>5851429</v>
      </c>
      <c r="F35" s="179">
        <v>5851429</v>
      </c>
      <c r="G35" s="179">
        <v>3631429</v>
      </c>
      <c r="H35" s="179">
        <v>0</v>
      </c>
      <c r="I35" s="179">
        <v>683088</v>
      </c>
      <c r="J35" s="179">
        <v>282009</v>
      </c>
      <c r="K35" s="179">
        <v>336989</v>
      </c>
      <c r="L35" s="179">
        <v>336989</v>
      </c>
      <c r="M35" s="179">
        <v>4549343</v>
      </c>
      <c r="N35" s="179">
        <v>2329343</v>
      </c>
    </row>
    <row r="36" spans="1:14" s="156" customFormat="1" x14ac:dyDescent="0.25">
      <c r="A36" s="156" t="s">
        <v>542</v>
      </c>
      <c r="B36" s="156" t="s">
        <v>154</v>
      </c>
      <c r="C36" s="156" t="s">
        <v>155</v>
      </c>
      <c r="D36" s="156" t="s">
        <v>541</v>
      </c>
      <c r="E36" s="179">
        <v>3080000</v>
      </c>
      <c r="F36" s="179">
        <v>3080000</v>
      </c>
      <c r="G36" s="179">
        <v>860000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3080000</v>
      </c>
      <c r="N36" s="179">
        <v>860000</v>
      </c>
    </row>
    <row r="37" spans="1:14" s="156" customFormat="1" x14ac:dyDescent="0.25">
      <c r="A37" s="156" t="s">
        <v>542</v>
      </c>
      <c r="B37" s="156" t="s">
        <v>156</v>
      </c>
      <c r="C37" s="156" t="s">
        <v>157</v>
      </c>
      <c r="D37" s="156" t="s">
        <v>541</v>
      </c>
      <c r="E37" s="179">
        <v>2771429</v>
      </c>
      <c r="F37" s="179">
        <v>2771429</v>
      </c>
      <c r="G37" s="179">
        <v>2771429</v>
      </c>
      <c r="H37" s="179">
        <v>0</v>
      </c>
      <c r="I37" s="179">
        <v>683088</v>
      </c>
      <c r="J37" s="179">
        <v>282009</v>
      </c>
      <c r="K37" s="179">
        <v>336989</v>
      </c>
      <c r="L37" s="179">
        <v>336989</v>
      </c>
      <c r="M37" s="179">
        <v>1469343</v>
      </c>
      <c r="N37" s="179">
        <v>1469343</v>
      </c>
    </row>
    <row r="38" spans="1:14" s="156" customFormat="1" x14ac:dyDescent="0.25">
      <c r="A38" s="156" t="s">
        <v>542</v>
      </c>
      <c r="B38" s="156" t="s">
        <v>158</v>
      </c>
      <c r="C38" s="156" t="s">
        <v>159</v>
      </c>
      <c r="D38" s="156" t="s">
        <v>541</v>
      </c>
      <c r="E38" s="179">
        <v>17774865</v>
      </c>
      <c r="F38" s="179">
        <v>17774865</v>
      </c>
      <c r="G38" s="179">
        <v>17774865</v>
      </c>
      <c r="H38" s="179">
        <v>314650</v>
      </c>
      <c r="I38" s="179">
        <v>2915567.05</v>
      </c>
      <c r="J38" s="179">
        <v>0</v>
      </c>
      <c r="K38" s="179">
        <v>4880886.83</v>
      </c>
      <c r="L38" s="179">
        <v>4835886.83</v>
      </c>
      <c r="M38" s="179">
        <v>9663761.1199999992</v>
      </c>
      <c r="N38" s="179">
        <v>9663761.1199999992</v>
      </c>
    </row>
    <row r="39" spans="1:14" s="156" customFormat="1" x14ac:dyDescent="0.25">
      <c r="A39" s="156" t="s">
        <v>542</v>
      </c>
      <c r="B39" s="156" t="s">
        <v>160</v>
      </c>
      <c r="C39" s="156" t="s">
        <v>161</v>
      </c>
      <c r="D39" s="156" t="s">
        <v>541</v>
      </c>
      <c r="E39" s="179">
        <v>100000</v>
      </c>
      <c r="F39" s="179">
        <v>100000</v>
      </c>
      <c r="G39" s="179">
        <v>100000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100000</v>
      </c>
      <c r="N39" s="179">
        <v>100000</v>
      </c>
    </row>
    <row r="40" spans="1:14" s="156" customFormat="1" x14ac:dyDescent="0.25">
      <c r="A40" s="156" t="s">
        <v>542</v>
      </c>
      <c r="B40" s="156" t="s">
        <v>162</v>
      </c>
      <c r="C40" s="156" t="s">
        <v>163</v>
      </c>
      <c r="D40" s="156" t="s">
        <v>541</v>
      </c>
      <c r="E40" s="179">
        <v>6685715</v>
      </c>
      <c r="F40" s="179">
        <v>6685715</v>
      </c>
      <c r="G40" s="179">
        <v>6685715</v>
      </c>
      <c r="H40" s="179">
        <v>314650</v>
      </c>
      <c r="I40" s="179">
        <v>563300</v>
      </c>
      <c r="J40" s="179">
        <v>0</v>
      </c>
      <c r="K40" s="179">
        <v>3129400</v>
      </c>
      <c r="L40" s="179">
        <v>3084400</v>
      </c>
      <c r="M40" s="179">
        <v>2678365</v>
      </c>
      <c r="N40" s="179">
        <v>2678365</v>
      </c>
    </row>
    <row r="41" spans="1:14" s="156" customFormat="1" x14ac:dyDescent="0.25">
      <c r="A41" s="156" t="s">
        <v>542</v>
      </c>
      <c r="B41" s="156" t="s">
        <v>164</v>
      </c>
      <c r="C41" s="156" t="s">
        <v>165</v>
      </c>
      <c r="D41" s="156" t="s">
        <v>541</v>
      </c>
      <c r="E41" s="179">
        <v>5170968</v>
      </c>
      <c r="F41" s="179">
        <v>5170968</v>
      </c>
      <c r="G41" s="179">
        <v>5170968</v>
      </c>
      <c r="H41" s="179">
        <v>0</v>
      </c>
      <c r="I41" s="179">
        <v>1104771.8</v>
      </c>
      <c r="J41" s="179">
        <v>0</v>
      </c>
      <c r="K41" s="179">
        <v>998982.08</v>
      </c>
      <c r="L41" s="179">
        <v>998982.08</v>
      </c>
      <c r="M41" s="179">
        <v>3067214.12</v>
      </c>
      <c r="N41" s="179">
        <v>3067214.12</v>
      </c>
    </row>
    <row r="42" spans="1:14" s="156" customFormat="1" x14ac:dyDescent="0.25">
      <c r="A42" s="156" t="s">
        <v>542</v>
      </c>
      <c r="B42" s="156" t="s">
        <v>166</v>
      </c>
      <c r="C42" s="156" t="s">
        <v>167</v>
      </c>
      <c r="D42" s="156" t="s">
        <v>541</v>
      </c>
      <c r="E42" s="179">
        <v>5818182</v>
      </c>
      <c r="F42" s="179">
        <v>5818182</v>
      </c>
      <c r="G42" s="179">
        <v>5818182</v>
      </c>
      <c r="H42" s="179">
        <v>0</v>
      </c>
      <c r="I42" s="179">
        <v>1247495.25</v>
      </c>
      <c r="J42" s="179">
        <v>0</v>
      </c>
      <c r="K42" s="179">
        <v>752504.75</v>
      </c>
      <c r="L42" s="179">
        <v>752504.75</v>
      </c>
      <c r="M42" s="179">
        <v>3818182</v>
      </c>
      <c r="N42" s="179">
        <v>3818182</v>
      </c>
    </row>
    <row r="43" spans="1:14" s="156" customFormat="1" x14ac:dyDescent="0.25">
      <c r="A43" s="156" t="s">
        <v>542</v>
      </c>
      <c r="B43" s="156" t="s">
        <v>168</v>
      </c>
      <c r="C43" s="156" t="s">
        <v>169</v>
      </c>
      <c r="D43" s="156" t="s">
        <v>541</v>
      </c>
      <c r="E43" s="179">
        <v>32290000</v>
      </c>
      <c r="F43" s="179">
        <v>32290000</v>
      </c>
      <c r="G43" s="179">
        <v>22599092.969999999</v>
      </c>
      <c r="H43" s="179">
        <v>0</v>
      </c>
      <c r="I43" s="179">
        <v>612040</v>
      </c>
      <c r="J43" s="179">
        <v>0</v>
      </c>
      <c r="K43" s="179">
        <v>2990873</v>
      </c>
      <c r="L43" s="179">
        <v>2990873</v>
      </c>
      <c r="M43" s="179">
        <v>28687087</v>
      </c>
      <c r="N43" s="179">
        <v>18996179.969999999</v>
      </c>
    </row>
    <row r="44" spans="1:14" s="156" customFormat="1" x14ac:dyDescent="0.25">
      <c r="A44" s="156" t="s">
        <v>542</v>
      </c>
      <c r="B44" s="156" t="s">
        <v>170</v>
      </c>
      <c r="C44" s="156" t="s">
        <v>171</v>
      </c>
      <c r="D44" s="156" t="s">
        <v>541</v>
      </c>
      <c r="E44" s="179">
        <v>32290000</v>
      </c>
      <c r="F44" s="179">
        <v>32290000</v>
      </c>
      <c r="G44" s="179">
        <v>22599092.969999999</v>
      </c>
      <c r="H44" s="179">
        <v>0</v>
      </c>
      <c r="I44" s="179">
        <v>612040</v>
      </c>
      <c r="J44" s="179">
        <v>0</v>
      </c>
      <c r="K44" s="179">
        <v>2990873</v>
      </c>
      <c r="L44" s="179">
        <v>2990873</v>
      </c>
      <c r="M44" s="179">
        <v>28687087</v>
      </c>
      <c r="N44" s="179">
        <v>18996179.969999999</v>
      </c>
    </row>
    <row r="45" spans="1:14" s="156" customFormat="1" x14ac:dyDescent="0.25">
      <c r="A45" s="156" t="s">
        <v>542</v>
      </c>
      <c r="B45" s="156" t="s">
        <v>172</v>
      </c>
      <c r="C45" s="156" t="s">
        <v>173</v>
      </c>
      <c r="D45" s="156" t="s">
        <v>541</v>
      </c>
      <c r="E45" s="179">
        <v>2150000</v>
      </c>
      <c r="F45" s="179">
        <v>1031135</v>
      </c>
      <c r="G45" s="179">
        <v>600000</v>
      </c>
      <c r="H45" s="179">
        <v>0</v>
      </c>
      <c r="I45" s="179">
        <v>500000</v>
      </c>
      <c r="J45" s="179">
        <v>0</v>
      </c>
      <c r="K45" s="179">
        <v>0</v>
      </c>
      <c r="L45" s="179">
        <v>0</v>
      </c>
      <c r="M45" s="179">
        <v>531135</v>
      </c>
      <c r="N45" s="179">
        <v>100000</v>
      </c>
    </row>
    <row r="46" spans="1:14" s="156" customFormat="1" x14ac:dyDescent="0.25">
      <c r="A46" s="156" t="s">
        <v>542</v>
      </c>
      <c r="B46" s="156" t="s">
        <v>309</v>
      </c>
      <c r="C46" s="156" t="s">
        <v>310</v>
      </c>
      <c r="D46" s="156" t="s">
        <v>541</v>
      </c>
      <c r="E46" s="179">
        <v>0</v>
      </c>
      <c r="F46" s="179">
        <v>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</row>
    <row r="47" spans="1:14" s="156" customFormat="1" x14ac:dyDescent="0.25">
      <c r="A47" s="156" t="s">
        <v>542</v>
      </c>
      <c r="B47" s="156" t="s">
        <v>174</v>
      </c>
      <c r="C47" s="156" t="s">
        <v>175</v>
      </c>
      <c r="D47" s="156" t="s">
        <v>541</v>
      </c>
      <c r="E47" s="179">
        <v>1550000</v>
      </c>
      <c r="F47" s="179">
        <v>431135</v>
      </c>
      <c r="G47" s="179">
        <v>0</v>
      </c>
      <c r="H47" s="179">
        <v>0</v>
      </c>
      <c r="I47" s="179">
        <v>0</v>
      </c>
      <c r="J47" s="179">
        <v>0</v>
      </c>
      <c r="K47" s="179">
        <v>0</v>
      </c>
      <c r="L47" s="179">
        <v>0</v>
      </c>
      <c r="M47" s="179">
        <v>431135</v>
      </c>
      <c r="N47" s="179">
        <v>0</v>
      </c>
    </row>
    <row r="48" spans="1:14" s="156" customFormat="1" x14ac:dyDescent="0.25">
      <c r="A48" s="156" t="s">
        <v>542</v>
      </c>
      <c r="B48" s="156" t="s">
        <v>176</v>
      </c>
      <c r="C48" s="156" t="s">
        <v>177</v>
      </c>
      <c r="D48" s="156" t="s">
        <v>541</v>
      </c>
      <c r="E48" s="179">
        <v>600000</v>
      </c>
      <c r="F48" s="179">
        <v>600000</v>
      </c>
      <c r="G48" s="179">
        <v>600000</v>
      </c>
      <c r="H48" s="179">
        <v>0</v>
      </c>
      <c r="I48" s="179">
        <v>500000</v>
      </c>
      <c r="J48" s="179">
        <v>0</v>
      </c>
      <c r="K48" s="179">
        <v>0</v>
      </c>
      <c r="L48" s="179">
        <v>0</v>
      </c>
      <c r="M48" s="179">
        <v>100000</v>
      </c>
      <c r="N48" s="179">
        <v>100000</v>
      </c>
    </row>
    <row r="49" spans="1:14" s="156" customFormat="1" x14ac:dyDescent="0.25">
      <c r="A49" s="156" t="s">
        <v>542</v>
      </c>
      <c r="B49" s="156" t="s">
        <v>178</v>
      </c>
      <c r="C49" s="156" t="s">
        <v>179</v>
      </c>
      <c r="D49" s="156" t="s">
        <v>541</v>
      </c>
      <c r="E49" s="179">
        <v>17019667</v>
      </c>
      <c r="F49" s="179">
        <v>17019667</v>
      </c>
      <c r="G49" s="179">
        <v>17019667</v>
      </c>
      <c r="H49" s="179">
        <v>0</v>
      </c>
      <c r="I49" s="179">
        <v>1655388.8</v>
      </c>
      <c r="J49" s="179">
        <v>972000</v>
      </c>
      <c r="K49" s="179">
        <v>268201</v>
      </c>
      <c r="L49" s="179">
        <v>268201</v>
      </c>
      <c r="M49" s="179">
        <v>14124077.199999999</v>
      </c>
      <c r="N49" s="179">
        <v>14124077.199999999</v>
      </c>
    </row>
    <row r="50" spans="1:14" s="156" customFormat="1" x14ac:dyDescent="0.25">
      <c r="A50" s="156" t="s">
        <v>542</v>
      </c>
      <c r="B50" s="156" t="s">
        <v>332</v>
      </c>
      <c r="C50" s="156" t="s">
        <v>333</v>
      </c>
      <c r="D50" s="156" t="s">
        <v>541</v>
      </c>
      <c r="E50" s="179">
        <v>300000</v>
      </c>
      <c r="F50" s="179">
        <v>300000</v>
      </c>
      <c r="G50" s="179">
        <v>300000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300000</v>
      </c>
      <c r="N50" s="179">
        <v>300000</v>
      </c>
    </row>
    <row r="51" spans="1:14" s="156" customFormat="1" x14ac:dyDescent="0.25">
      <c r="A51" s="156" t="s">
        <v>542</v>
      </c>
      <c r="B51" s="156" t="s">
        <v>182</v>
      </c>
      <c r="C51" s="156" t="s">
        <v>183</v>
      </c>
      <c r="D51" s="156" t="s">
        <v>541</v>
      </c>
      <c r="E51" s="179">
        <v>9066667</v>
      </c>
      <c r="F51" s="179">
        <v>9066667</v>
      </c>
      <c r="G51" s="179">
        <v>9066667</v>
      </c>
      <c r="H51" s="179">
        <v>0</v>
      </c>
      <c r="I51" s="179">
        <v>0</v>
      </c>
      <c r="J51" s="179">
        <v>0</v>
      </c>
      <c r="K51" s="179">
        <v>98201</v>
      </c>
      <c r="L51" s="179">
        <v>98201</v>
      </c>
      <c r="M51" s="179">
        <v>8968466</v>
      </c>
      <c r="N51" s="179">
        <v>8968466</v>
      </c>
    </row>
    <row r="52" spans="1:14" s="156" customFormat="1" x14ac:dyDescent="0.25">
      <c r="A52" s="156" t="s">
        <v>542</v>
      </c>
      <c r="B52" s="156" t="s">
        <v>186</v>
      </c>
      <c r="C52" s="156" t="s">
        <v>187</v>
      </c>
      <c r="D52" s="156" t="s">
        <v>541</v>
      </c>
      <c r="E52" s="179">
        <v>2900000</v>
      </c>
      <c r="F52" s="179">
        <v>2900000</v>
      </c>
      <c r="G52" s="179">
        <v>2900000</v>
      </c>
      <c r="H52" s="179">
        <v>0</v>
      </c>
      <c r="I52" s="179">
        <v>327600</v>
      </c>
      <c r="J52" s="179">
        <v>972000</v>
      </c>
      <c r="K52" s="179">
        <v>170000</v>
      </c>
      <c r="L52" s="179">
        <v>170000</v>
      </c>
      <c r="M52" s="179">
        <v>1430400</v>
      </c>
      <c r="N52" s="179">
        <v>1430400</v>
      </c>
    </row>
    <row r="53" spans="1:14" s="156" customFormat="1" x14ac:dyDescent="0.25">
      <c r="A53" s="156" t="s">
        <v>542</v>
      </c>
      <c r="B53" s="156" t="s">
        <v>188</v>
      </c>
      <c r="C53" s="156" t="s">
        <v>189</v>
      </c>
      <c r="D53" s="156" t="s">
        <v>541</v>
      </c>
      <c r="E53" s="179">
        <v>393000</v>
      </c>
      <c r="F53" s="179">
        <v>393000</v>
      </c>
      <c r="G53" s="179">
        <v>393000</v>
      </c>
      <c r="H53" s="179">
        <v>0</v>
      </c>
      <c r="I53" s="179">
        <v>0</v>
      </c>
      <c r="J53" s="179">
        <v>0</v>
      </c>
      <c r="K53" s="179">
        <v>0</v>
      </c>
      <c r="L53" s="179">
        <v>0</v>
      </c>
      <c r="M53" s="179">
        <v>393000</v>
      </c>
      <c r="N53" s="179">
        <v>393000</v>
      </c>
    </row>
    <row r="54" spans="1:14" s="156" customFormat="1" x14ac:dyDescent="0.25">
      <c r="A54" s="156" t="s">
        <v>542</v>
      </c>
      <c r="B54" s="156" t="s">
        <v>190</v>
      </c>
      <c r="C54" s="156" t="s">
        <v>191</v>
      </c>
      <c r="D54" s="156" t="s">
        <v>541</v>
      </c>
      <c r="E54" s="179">
        <v>4360000</v>
      </c>
      <c r="F54" s="179">
        <v>4360000</v>
      </c>
      <c r="G54" s="179">
        <v>4360000</v>
      </c>
      <c r="H54" s="179">
        <v>0</v>
      </c>
      <c r="I54" s="179">
        <v>1327788.8</v>
      </c>
      <c r="J54" s="179">
        <v>0</v>
      </c>
      <c r="K54" s="179">
        <v>0</v>
      </c>
      <c r="L54" s="179">
        <v>0</v>
      </c>
      <c r="M54" s="179">
        <v>3032211.2</v>
      </c>
      <c r="N54" s="179">
        <v>3032211.2</v>
      </c>
    </row>
    <row r="55" spans="1:14" s="156" customFormat="1" x14ac:dyDescent="0.25">
      <c r="A55" s="156" t="s">
        <v>542</v>
      </c>
      <c r="B55" s="156" t="s">
        <v>192</v>
      </c>
      <c r="C55" s="156" t="s">
        <v>193</v>
      </c>
      <c r="D55" s="156" t="s">
        <v>541</v>
      </c>
      <c r="E55" s="179">
        <v>681819</v>
      </c>
      <c r="F55" s="179">
        <v>1250684</v>
      </c>
      <c r="G55" s="179">
        <v>1250684</v>
      </c>
      <c r="H55" s="179">
        <v>0</v>
      </c>
      <c r="I55" s="179">
        <v>681819</v>
      </c>
      <c r="J55" s="179">
        <v>0</v>
      </c>
      <c r="K55" s="179">
        <v>0</v>
      </c>
      <c r="L55" s="179">
        <v>0</v>
      </c>
      <c r="M55" s="179">
        <v>568865</v>
      </c>
      <c r="N55" s="179">
        <v>568865</v>
      </c>
    </row>
    <row r="56" spans="1:14" s="156" customFormat="1" x14ac:dyDescent="0.25">
      <c r="A56" s="156" t="s">
        <v>542</v>
      </c>
      <c r="B56" s="156" t="s">
        <v>194</v>
      </c>
      <c r="C56" s="156" t="s">
        <v>195</v>
      </c>
      <c r="D56" s="156" t="s">
        <v>541</v>
      </c>
      <c r="E56" s="179">
        <v>681819</v>
      </c>
      <c r="F56" s="179">
        <v>1250684</v>
      </c>
      <c r="G56" s="179">
        <v>1250684</v>
      </c>
      <c r="H56" s="179">
        <v>0</v>
      </c>
      <c r="I56" s="179">
        <v>681819</v>
      </c>
      <c r="J56" s="179">
        <v>0</v>
      </c>
      <c r="K56" s="179">
        <v>0</v>
      </c>
      <c r="L56" s="179">
        <v>0</v>
      </c>
      <c r="M56" s="179">
        <v>568865</v>
      </c>
      <c r="N56" s="179">
        <v>568865</v>
      </c>
    </row>
    <row r="57" spans="1:14" s="156" customFormat="1" x14ac:dyDescent="0.25">
      <c r="A57" s="156" t="s">
        <v>542</v>
      </c>
      <c r="B57" s="156" t="s">
        <v>196</v>
      </c>
      <c r="C57" s="156" t="s">
        <v>197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1000000</v>
      </c>
      <c r="N57" s="179">
        <v>0</v>
      </c>
    </row>
    <row r="58" spans="1:14" s="156" customFormat="1" x14ac:dyDescent="0.25">
      <c r="A58" s="156" t="s">
        <v>542</v>
      </c>
      <c r="B58" s="156" t="s">
        <v>198</v>
      </c>
      <c r="C58" s="156" t="s">
        <v>199</v>
      </c>
      <c r="D58" s="156" t="s">
        <v>541</v>
      </c>
      <c r="E58" s="179">
        <v>1000000</v>
      </c>
      <c r="F58" s="179">
        <v>1000000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1000000</v>
      </c>
      <c r="N58" s="179">
        <v>0</v>
      </c>
    </row>
    <row r="59" spans="1:14" s="156" customFormat="1" x14ac:dyDescent="0.25">
      <c r="A59" s="156" t="s">
        <v>542</v>
      </c>
      <c r="B59" s="156" t="s">
        <v>200</v>
      </c>
      <c r="C59" s="156" t="s">
        <v>201</v>
      </c>
      <c r="D59" s="156" t="s">
        <v>541</v>
      </c>
      <c r="E59" s="179">
        <v>42229000</v>
      </c>
      <c r="F59" s="179">
        <v>42229000</v>
      </c>
      <c r="G59" s="179">
        <v>30129000</v>
      </c>
      <c r="H59" s="179">
        <v>1156440</v>
      </c>
      <c r="I59" s="179">
        <v>8210651.29</v>
      </c>
      <c r="J59" s="179">
        <v>1631868.79</v>
      </c>
      <c r="K59" s="179">
        <v>8874528.5500000007</v>
      </c>
      <c r="L59" s="179">
        <v>8130761.5499999998</v>
      </c>
      <c r="M59" s="179">
        <v>22355511.370000001</v>
      </c>
      <c r="N59" s="179">
        <v>10255511.369999999</v>
      </c>
    </row>
    <row r="60" spans="1:14" s="156" customFormat="1" x14ac:dyDescent="0.25">
      <c r="A60" s="156" t="s">
        <v>542</v>
      </c>
      <c r="B60" s="156" t="s">
        <v>202</v>
      </c>
      <c r="C60" s="156" t="s">
        <v>203</v>
      </c>
      <c r="D60" s="156" t="s">
        <v>541</v>
      </c>
      <c r="E60" s="179">
        <v>17137000</v>
      </c>
      <c r="F60" s="179">
        <v>17137000</v>
      </c>
      <c r="G60" s="179">
        <v>13037000</v>
      </c>
      <c r="H60" s="179">
        <v>0</v>
      </c>
      <c r="I60" s="179">
        <v>5554657</v>
      </c>
      <c r="J60" s="179">
        <v>0</v>
      </c>
      <c r="K60" s="179">
        <v>3313248</v>
      </c>
      <c r="L60" s="179">
        <v>3313248</v>
      </c>
      <c r="M60" s="179">
        <v>8269095</v>
      </c>
      <c r="N60" s="179">
        <v>4169095</v>
      </c>
    </row>
    <row r="61" spans="1:14" s="156" customFormat="1" x14ac:dyDescent="0.25">
      <c r="A61" s="156" t="s">
        <v>542</v>
      </c>
      <c r="B61" s="156" t="s">
        <v>204</v>
      </c>
      <c r="C61" s="156" t="s">
        <v>205</v>
      </c>
      <c r="D61" s="156" t="s">
        <v>541</v>
      </c>
      <c r="E61" s="179">
        <v>11100000</v>
      </c>
      <c r="F61" s="179">
        <v>11100000</v>
      </c>
      <c r="G61" s="179">
        <v>7000000</v>
      </c>
      <c r="H61" s="179">
        <v>0</v>
      </c>
      <c r="I61" s="179">
        <v>589532</v>
      </c>
      <c r="J61" s="179">
        <v>0</v>
      </c>
      <c r="K61" s="179">
        <v>3210468</v>
      </c>
      <c r="L61" s="179">
        <v>3210468</v>
      </c>
      <c r="M61" s="179">
        <v>7300000</v>
      </c>
      <c r="N61" s="179">
        <v>3200000</v>
      </c>
    </row>
    <row r="62" spans="1:14" s="156" customFormat="1" x14ac:dyDescent="0.25">
      <c r="A62" s="156" t="s">
        <v>542</v>
      </c>
      <c r="B62" s="156" t="s">
        <v>206</v>
      </c>
      <c r="C62" s="156" t="s">
        <v>207</v>
      </c>
      <c r="D62" s="156" t="s">
        <v>541</v>
      </c>
      <c r="E62" s="179">
        <v>5000000</v>
      </c>
      <c r="F62" s="179">
        <v>5000000</v>
      </c>
      <c r="G62" s="179">
        <v>5000000</v>
      </c>
      <c r="H62" s="179">
        <v>0</v>
      </c>
      <c r="I62" s="179">
        <v>4948905</v>
      </c>
      <c r="J62" s="179">
        <v>0</v>
      </c>
      <c r="K62" s="179">
        <v>0</v>
      </c>
      <c r="L62" s="179">
        <v>0</v>
      </c>
      <c r="M62" s="179">
        <v>51095</v>
      </c>
      <c r="N62" s="179">
        <v>51095</v>
      </c>
    </row>
    <row r="63" spans="1:14" s="156" customFormat="1" x14ac:dyDescent="0.25">
      <c r="A63" s="156" t="s">
        <v>542</v>
      </c>
      <c r="B63" s="156" t="s">
        <v>208</v>
      </c>
      <c r="C63" s="156" t="s">
        <v>209</v>
      </c>
      <c r="D63" s="156" t="s">
        <v>541</v>
      </c>
      <c r="E63" s="179">
        <v>126000</v>
      </c>
      <c r="F63" s="179">
        <v>126000</v>
      </c>
      <c r="G63" s="179">
        <v>126000</v>
      </c>
      <c r="H63" s="179">
        <v>0</v>
      </c>
      <c r="I63" s="179">
        <v>16220</v>
      </c>
      <c r="J63" s="179">
        <v>0</v>
      </c>
      <c r="K63" s="179">
        <v>102780</v>
      </c>
      <c r="L63" s="179">
        <v>102780</v>
      </c>
      <c r="M63" s="179">
        <v>7000</v>
      </c>
      <c r="N63" s="179">
        <v>7000</v>
      </c>
    </row>
    <row r="64" spans="1:14" s="156" customFormat="1" x14ac:dyDescent="0.25">
      <c r="A64" s="156" t="s">
        <v>542</v>
      </c>
      <c r="B64" s="156" t="s">
        <v>210</v>
      </c>
      <c r="C64" s="156" t="s">
        <v>211</v>
      </c>
      <c r="D64" s="156" t="s">
        <v>541</v>
      </c>
      <c r="E64" s="179">
        <v>911000</v>
      </c>
      <c r="F64" s="179">
        <v>911000</v>
      </c>
      <c r="G64" s="179">
        <v>911000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911000</v>
      </c>
      <c r="N64" s="179">
        <v>911000</v>
      </c>
    </row>
    <row r="65" spans="1:14" s="156" customFormat="1" x14ac:dyDescent="0.25">
      <c r="A65" s="156" t="s">
        <v>542</v>
      </c>
      <c r="B65" s="156" t="s">
        <v>212</v>
      </c>
      <c r="C65" s="156" t="s">
        <v>213</v>
      </c>
      <c r="D65" s="156" t="s">
        <v>541</v>
      </c>
      <c r="E65" s="179">
        <v>3000000</v>
      </c>
      <c r="F65" s="179">
        <v>3000000</v>
      </c>
      <c r="G65" s="179">
        <v>3000000</v>
      </c>
      <c r="H65" s="179">
        <v>0</v>
      </c>
      <c r="I65" s="179">
        <v>0</v>
      </c>
      <c r="J65" s="179">
        <v>0</v>
      </c>
      <c r="K65" s="179">
        <v>1373924</v>
      </c>
      <c r="L65" s="179">
        <v>673282</v>
      </c>
      <c r="M65" s="179">
        <v>1626076</v>
      </c>
      <c r="N65" s="179">
        <v>1626076</v>
      </c>
    </row>
    <row r="66" spans="1:14" s="156" customFormat="1" x14ac:dyDescent="0.25">
      <c r="A66" s="156" t="s">
        <v>542</v>
      </c>
      <c r="B66" s="156" t="s">
        <v>214</v>
      </c>
      <c r="C66" s="156" t="s">
        <v>215</v>
      </c>
      <c r="D66" s="156" t="s">
        <v>541</v>
      </c>
      <c r="E66" s="179">
        <v>3000000</v>
      </c>
      <c r="F66" s="179">
        <v>3000000</v>
      </c>
      <c r="G66" s="179">
        <v>3000000</v>
      </c>
      <c r="H66" s="179">
        <v>0</v>
      </c>
      <c r="I66" s="179">
        <v>0</v>
      </c>
      <c r="J66" s="179">
        <v>0</v>
      </c>
      <c r="K66" s="179">
        <v>1373924</v>
      </c>
      <c r="L66" s="179">
        <v>673282</v>
      </c>
      <c r="M66" s="179">
        <v>1626076</v>
      </c>
      <c r="N66" s="179">
        <v>1626076</v>
      </c>
    </row>
    <row r="67" spans="1:14" s="156" customFormat="1" x14ac:dyDescent="0.25">
      <c r="A67" s="156" t="s">
        <v>542</v>
      </c>
      <c r="B67" s="156" t="s">
        <v>216</v>
      </c>
      <c r="C67" s="156" t="s">
        <v>217</v>
      </c>
      <c r="D67" s="156" t="s">
        <v>541</v>
      </c>
      <c r="E67" s="179">
        <v>936000</v>
      </c>
      <c r="F67" s="179">
        <v>936000</v>
      </c>
      <c r="G67" s="179">
        <v>936000</v>
      </c>
      <c r="H67" s="179">
        <v>0</v>
      </c>
      <c r="I67" s="179">
        <v>0</v>
      </c>
      <c r="J67" s="179">
        <v>465100</v>
      </c>
      <c r="K67" s="179">
        <v>43125</v>
      </c>
      <c r="L67" s="179">
        <v>0</v>
      </c>
      <c r="M67" s="179">
        <v>427775</v>
      </c>
      <c r="N67" s="179">
        <v>427775</v>
      </c>
    </row>
    <row r="68" spans="1:14" s="156" customFormat="1" x14ac:dyDescent="0.25">
      <c r="A68" s="156" t="s">
        <v>542</v>
      </c>
      <c r="B68" s="156" t="s">
        <v>220</v>
      </c>
      <c r="C68" s="156" t="s">
        <v>221</v>
      </c>
      <c r="D68" s="156" t="s">
        <v>541</v>
      </c>
      <c r="E68" s="179">
        <v>771000</v>
      </c>
      <c r="F68" s="179">
        <v>771000</v>
      </c>
      <c r="G68" s="179">
        <v>771000</v>
      </c>
      <c r="H68" s="179">
        <v>0</v>
      </c>
      <c r="I68" s="179">
        <v>0</v>
      </c>
      <c r="J68" s="179">
        <v>465100</v>
      </c>
      <c r="K68" s="179">
        <v>43125</v>
      </c>
      <c r="L68" s="179">
        <v>0</v>
      </c>
      <c r="M68" s="179">
        <v>262775</v>
      </c>
      <c r="N68" s="179">
        <v>262775</v>
      </c>
    </row>
    <row r="69" spans="1:14" s="156" customFormat="1" x14ac:dyDescent="0.25">
      <c r="A69" s="156" t="s">
        <v>542</v>
      </c>
      <c r="B69" s="156" t="s">
        <v>224</v>
      </c>
      <c r="C69" s="156" t="s">
        <v>225</v>
      </c>
      <c r="D69" s="156" t="s">
        <v>541</v>
      </c>
      <c r="E69" s="179">
        <v>165000</v>
      </c>
      <c r="F69" s="179">
        <v>165000</v>
      </c>
      <c r="G69" s="179">
        <v>165000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165000</v>
      </c>
      <c r="N69" s="179">
        <v>165000</v>
      </c>
    </row>
    <row r="70" spans="1:14" s="156" customFormat="1" x14ac:dyDescent="0.25">
      <c r="A70" s="156" t="s">
        <v>542</v>
      </c>
      <c r="B70" s="156" t="s">
        <v>228</v>
      </c>
      <c r="C70" s="156" t="s">
        <v>229</v>
      </c>
      <c r="D70" s="156" t="s">
        <v>541</v>
      </c>
      <c r="E70" s="179">
        <v>312000</v>
      </c>
      <c r="F70" s="179">
        <v>312000</v>
      </c>
      <c r="G70" s="179">
        <v>312000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312000</v>
      </c>
      <c r="N70" s="179">
        <v>312000</v>
      </c>
    </row>
    <row r="71" spans="1:14" s="156" customFormat="1" x14ac:dyDescent="0.25">
      <c r="A71" s="156" t="s">
        <v>542</v>
      </c>
      <c r="B71" s="156" t="s">
        <v>230</v>
      </c>
      <c r="C71" s="156" t="s">
        <v>231</v>
      </c>
      <c r="D71" s="156" t="s">
        <v>541</v>
      </c>
      <c r="E71" s="179">
        <v>206000</v>
      </c>
      <c r="F71" s="179">
        <v>206000</v>
      </c>
      <c r="G71" s="179">
        <v>206000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206000</v>
      </c>
      <c r="N71" s="179">
        <v>206000</v>
      </c>
    </row>
    <row r="72" spans="1:14" s="156" customFormat="1" x14ac:dyDescent="0.25">
      <c r="A72" s="156" t="s">
        <v>542</v>
      </c>
      <c r="B72" s="156" t="s">
        <v>232</v>
      </c>
      <c r="C72" s="156" t="s">
        <v>233</v>
      </c>
      <c r="D72" s="156" t="s">
        <v>541</v>
      </c>
      <c r="E72" s="179">
        <v>106000</v>
      </c>
      <c r="F72" s="179">
        <v>106000</v>
      </c>
      <c r="G72" s="179">
        <v>106000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106000</v>
      </c>
      <c r="N72" s="179">
        <v>106000</v>
      </c>
    </row>
    <row r="73" spans="1:14" s="156" customFormat="1" x14ac:dyDescent="0.25">
      <c r="A73" s="156" t="s">
        <v>542</v>
      </c>
      <c r="B73" s="156" t="s">
        <v>234</v>
      </c>
      <c r="C73" s="156" t="s">
        <v>601</v>
      </c>
      <c r="D73" s="156" t="s">
        <v>541</v>
      </c>
      <c r="E73" s="179">
        <v>20844000</v>
      </c>
      <c r="F73" s="179">
        <v>20844000</v>
      </c>
      <c r="G73" s="179">
        <v>12844000</v>
      </c>
      <c r="H73" s="179">
        <v>1156440</v>
      </c>
      <c r="I73" s="179">
        <v>2655994.29</v>
      </c>
      <c r="J73" s="179">
        <v>1166768.79</v>
      </c>
      <c r="K73" s="179">
        <v>4144231.55</v>
      </c>
      <c r="L73" s="179">
        <v>4144231.55</v>
      </c>
      <c r="M73" s="179">
        <v>11720565.369999999</v>
      </c>
      <c r="N73" s="179">
        <v>3720565.37</v>
      </c>
    </row>
    <row r="74" spans="1:14" s="156" customFormat="1" x14ac:dyDescent="0.25">
      <c r="A74" s="156" t="s">
        <v>542</v>
      </c>
      <c r="B74" s="156" t="s">
        <v>235</v>
      </c>
      <c r="C74" s="156" t="s">
        <v>236</v>
      </c>
      <c r="D74" s="156" t="s">
        <v>541</v>
      </c>
      <c r="E74" s="179">
        <v>3000000</v>
      </c>
      <c r="F74" s="179">
        <v>3000000</v>
      </c>
      <c r="G74" s="179">
        <v>3000000</v>
      </c>
      <c r="H74" s="179">
        <v>1156440</v>
      </c>
      <c r="I74" s="179">
        <v>715064.12</v>
      </c>
      <c r="J74" s="179">
        <v>0</v>
      </c>
      <c r="K74" s="179">
        <v>777501.52</v>
      </c>
      <c r="L74" s="179">
        <v>777501.52</v>
      </c>
      <c r="M74" s="179">
        <v>350994.36</v>
      </c>
      <c r="N74" s="179">
        <v>350994.36</v>
      </c>
    </row>
    <row r="75" spans="1:14" s="156" customFormat="1" x14ac:dyDescent="0.25">
      <c r="A75" s="156" t="s">
        <v>542</v>
      </c>
      <c r="B75" s="156" t="s">
        <v>237</v>
      </c>
      <c r="C75" s="156" t="s">
        <v>238</v>
      </c>
      <c r="D75" s="156" t="s">
        <v>541</v>
      </c>
      <c r="E75" s="179">
        <v>271000</v>
      </c>
      <c r="F75" s="179">
        <v>271000</v>
      </c>
      <c r="G75" s="179">
        <v>271000</v>
      </c>
      <c r="H75" s="179">
        <v>0</v>
      </c>
      <c r="I75" s="179">
        <v>152000</v>
      </c>
      <c r="J75" s="179">
        <v>0</v>
      </c>
      <c r="K75" s="179">
        <v>112500</v>
      </c>
      <c r="L75" s="179">
        <v>112500</v>
      </c>
      <c r="M75" s="179">
        <v>6500</v>
      </c>
      <c r="N75" s="179">
        <v>6500</v>
      </c>
    </row>
    <row r="76" spans="1:14" s="156" customFormat="1" x14ac:dyDescent="0.25">
      <c r="A76" s="156" t="s">
        <v>542</v>
      </c>
      <c r="B76" s="156" t="s">
        <v>239</v>
      </c>
      <c r="C76" s="156" t="s">
        <v>240</v>
      </c>
      <c r="D76" s="156" t="s">
        <v>541</v>
      </c>
      <c r="E76" s="179">
        <v>12000000</v>
      </c>
      <c r="F76" s="179">
        <v>4000000</v>
      </c>
      <c r="G76" s="179">
        <v>4000000</v>
      </c>
      <c r="H76" s="179">
        <v>0</v>
      </c>
      <c r="I76" s="179">
        <v>610378.88</v>
      </c>
      <c r="J76" s="179">
        <v>0</v>
      </c>
      <c r="K76" s="179">
        <v>2328350.92</v>
      </c>
      <c r="L76" s="179">
        <v>2328350.92</v>
      </c>
      <c r="M76" s="179">
        <v>1061270.2</v>
      </c>
      <c r="N76" s="179">
        <v>1061270.2</v>
      </c>
    </row>
    <row r="77" spans="1:14" s="156" customFormat="1" x14ac:dyDescent="0.25">
      <c r="A77" s="156" t="s">
        <v>542</v>
      </c>
      <c r="B77" s="156" t="s">
        <v>241</v>
      </c>
      <c r="C77" s="156" t="s">
        <v>242</v>
      </c>
      <c r="D77" s="156" t="s">
        <v>541</v>
      </c>
      <c r="E77" s="179">
        <v>1445000</v>
      </c>
      <c r="F77" s="179">
        <v>1445000</v>
      </c>
      <c r="G77" s="179">
        <v>1445000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1445000</v>
      </c>
      <c r="N77" s="179">
        <v>1445000</v>
      </c>
    </row>
    <row r="78" spans="1:14" s="156" customFormat="1" x14ac:dyDescent="0.25">
      <c r="A78" s="156" t="s">
        <v>542</v>
      </c>
      <c r="B78" s="156" t="s">
        <v>243</v>
      </c>
      <c r="C78" s="156" t="s">
        <v>244</v>
      </c>
      <c r="D78" s="156" t="s">
        <v>541</v>
      </c>
      <c r="E78" s="179">
        <v>2500000</v>
      </c>
      <c r="F78" s="179">
        <v>10500000</v>
      </c>
      <c r="G78" s="179">
        <v>2500000</v>
      </c>
      <c r="H78" s="179">
        <v>0</v>
      </c>
      <c r="I78" s="179">
        <v>231211.29</v>
      </c>
      <c r="J78" s="179">
        <v>838098.79</v>
      </c>
      <c r="K78" s="179">
        <v>816859.61</v>
      </c>
      <c r="L78" s="179">
        <v>816859.61</v>
      </c>
      <c r="M78" s="179">
        <v>8613830.3100000005</v>
      </c>
      <c r="N78" s="179">
        <v>613830.31000000006</v>
      </c>
    </row>
    <row r="79" spans="1:14" s="156" customFormat="1" x14ac:dyDescent="0.25">
      <c r="A79" s="156" t="s">
        <v>542</v>
      </c>
      <c r="B79" s="156" t="s">
        <v>245</v>
      </c>
      <c r="C79" s="156" t="s">
        <v>246</v>
      </c>
      <c r="D79" s="156" t="s">
        <v>541</v>
      </c>
      <c r="E79" s="179">
        <v>66000</v>
      </c>
      <c r="F79" s="179">
        <v>66000</v>
      </c>
      <c r="G79" s="179">
        <v>66000</v>
      </c>
      <c r="H79" s="179">
        <v>0</v>
      </c>
      <c r="I79" s="179">
        <v>63800</v>
      </c>
      <c r="J79" s="179">
        <v>0</v>
      </c>
      <c r="K79" s="179">
        <v>0</v>
      </c>
      <c r="L79" s="179">
        <v>0</v>
      </c>
      <c r="M79" s="179">
        <v>2200</v>
      </c>
      <c r="N79" s="179">
        <v>2200</v>
      </c>
    </row>
    <row r="80" spans="1:14" s="156" customFormat="1" x14ac:dyDescent="0.25">
      <c r="A80" s="156" t="s">
        <v>542</v>
      </c>
      <c r="B80" s="156" t="s">
        <v>247</v>
      </c>
      <c r="C80" s="156" t="s">
        <v>248</v>
      </c>
      <c r="D80" s="156" t="s">
        <v>541</v>
      </c>
      <c r="E80" s="179">
        <v>562000</v>
      </c>
      <c r="F80" s="179">
        <v>562000</v>
      </c>
      <c r="G80" s="179">
        <v>562000</v>
      </c>
      <c r="H80" s="179">
        <v>0</v>
      </c>
      <c r="I80" s="179">
        <v>0</v>
      </c>
      <c r="J80" s="179">
        <v>328670</v>
      </c>
      <c r="K80" s="179">
        <v>0</v>
      </c>
      <c r="L80" s="179">
        <v>0</v>
      </c>
      <c r="M80" s="179">
        <v>233330</v>
      </c>
      <c r="N80" s="179">
        <v>233330</v>
      </c>
    </row>
    <row r="81" spans="1:14" s="156" customFormat="1" x14ac:dyDescent="0.25">
      <c r="A81" s="156" t="s">
        <v>542</v>
      </c>
      <c r="B81" s="156" t="s">
        <v>249</v>
      </c>
      <c r="C81" s="156" t="s">
        <v>250</v>
      </c>
      <c r="D81" s="156" t="s">
        <v>541</v>
      </c>
      <c r="E81" s="179">
        <v>1000000</v>
      </c>
      <c r="F81" s="179">
        <v>1000000</v>
      </c>
      <c r="G81" s="179">
        <v>1000000</v>
      </c>
      <c r="H81" s="179">
        <v>0</v>
      </c>
      <c r="I81" s="179">
        <v>883540</v>
      </c>
      <c r="J81" s="179">
        <v>0</v>
      </c>
      <c r="K81" s="179">
        <v>109019.5</v>
      </c>
      <c r="L81" s="179">
        <v>109019.5</v>
      </c>
      <c r="M81" s="179">
        <v>7440.5</v>
      </c>
      <c r="N81" s="179">
        <v>7440.5</v>
      </c>
    </row>
    <row r="82" spans="1:14" s="156" customFormat="1" x14ac:dyDescent="0.25">
      <c r="A82" s="156" t="s">
        <v>542</v>
      </c>
      <c r="B82" s="156" t="s">
        <v>251</v>
      </c>
      <c r="C82" s="156" t="s">
        <v>252</v>
      </c>
      <c r="D82" s="156" t="s">
        <v>541</v>
      </c>
      <c r="E82" s="179">
        <v>731283000</v>
      </c>
      <c r="F82" s="179">
        <v>752902365</v>
      </c>
      <c r="G82" s="179">
        <v>589421518</v>
      </c>
      <c r="H82" s="179">
        <v>0</v>
      </c>
      <c r="I82" s="179">
        <v>24990048.600000001</v>
      </c>
      <c r="J82" s="179">
        <v>0</v>
      </c>
      <c r="K82" s="179">
        <v>385186838.95999998</v>
      </c>
      <c r="L82" s="179">
        <v>385186838.95999998</v>
      </c>
      <c r="M82" s="179">
        <v>342725477.44</v>
      </c>
      <c r="N82" s="179">
        <v>179244630.44</v>
      </c>
    </row>
    <row r="83" spans="1:14" s="156" customFormat="1" x14ac:dyDescent="0.25">
      <c r="A83" s="156" t="s">
        <v>542</v>
      </c>
      <c r="B83" s="156" t="s">
        <v>253</v>
      </c>
      <c r="C83" s="156" t="s">
        <v>254</v>
      </c>
      <c r="D83" s="156" t="s">
        <v>541</v>
      </c>
      <c r="E83" s="179">
        <v>268185000</v>
      </c>
      <c r="F83" s="179">
        <v>268185000</v>
      </c>
      <c r="G83" s="179">
        <v>212339403.30000001</v>
      </c>
      <c r="H83" s="179">
        <v>0</v>
      </c>
      <c r="I83" s="179">
        <v>9204799.0099999998</v>
      </c>
      <c r="J83" s="179">
        <v>0</v>
      </c>
      <c r="K83" s="179">
        <v>133996201.84999999</v>
      </c>
      <c r="L83" s="179">
        <v>133996201.84999999</v>
      </c>
      <c r="M83" s="179">
        <v>124983999.14</v>
      </c>
      <c r="N83" s="179">
        <v>69138402.439999998</v>
      </c>
    </row>
    <row r="84" spans="1:14" s="156" customFormat="1" x14ac:dyDescent="0.25">
      <c r="A84" s="156" t="s">
        <v>542</v>
      </c>
      <c r="B84" s="156" t="s">
        <v>255</v>
      </c>
      <c r="C84" s="156" t="s">
        <v>256</v>
      </c>
      <c r="D84" s="156" t="s">
        <v>541</v>
      </c>
      <c r="E84" s="179">
        <v>2000000</v>
      </c>
      <c r="F84" s="179">
        <v>2000000</v>
      </c>
      <c r="G84" s="179">
        <v>2000000</v>
      </c>
      <c r="H84" s="179">
        <v>0</v>
      </c>
      <c r="I84" s="179">
        <v>0</v>
      </c>
      <c r="J84" s="179">
        <v>0</v>
      </c>
      <c r="K84" s="179">
        <v>2000000</v>
      </c>
      <c r="L84" s="179">
        <v>2000000</v>
      </c>
      <c r="M84" s="179">
        <v>0</v>
      </c>
      <c r="N84" s="179">
        <v>0</v>
      </c>
    </row>
    <row r="85" spans="1:14" s="156" customFormat="1" x14ac:dyDescent="0.25">
      <c r="A85" s="156" t="s">
        <v>542</v>
      </c>
      <c r="B85" s="156" t="s">
        <v>257</v>
      </c>
      <c r="C85" s="156" t="s">
        <v>258</v>
      </c>
      <c r="D85" s="156" t="s">
        <v>541</v>
      </c>
      <c r="E85" s="179">
        <v>250000000</v>
      </c>
      <c r="F85" s="179">
        <v>250000000</v>
      </c>
      <c r="G85" s="179">
        <v>194154403.30000001</v>
      </c>
      <c r="H85" s="179">
        <v>0</v>
      </c>
      <c r="I85" s="179">
        <v>16000.01</v>
      </c>
      <c r="J85" s="179">
        <v>0</v>
      </c>
      <c r="K85" s="179">
        <v>125000000.84999999</v>
      </c>
      <c r="L85" s="179">
        <v>125000000.84999999</v>
      </c>
      <c r="M85" s="179">
        <v>124983999.14</v>
      </c>
      <c r="N85" s="179">
        <v>69138402.439999998</v>
      </c>
    </row>
    <row r="86" spans="1:14" s="156" customFormat="1" x14ac:dyDescent="0.25">
      <c r="A86" s="156" t="s">
        <v>542</v>
      </c>
      <c r="B86" s="156" t="s">
        <v>259</v>
      </c>
      <c r="C86" s="156" t="s">
        <v>602</v>
      </c>
      <c r="D86" s="156" t="s">
        <v>541</v>
      </c>
      <c r="E86" s="179">
        <v>13470000</v>
      </c>
      <c r="F86" s="179">
        <v>13470000</v>
      </c>
      <c r="G86" s="179">
        <v>13470000</v>
      </c>
      <c r="H86" s="179">
        <v>0</v>
      </c>
      <c r="I86" s="179">
        <v>7647658</v>
      </c>
      <c r="J86" s="179">
        <v>0</v>
      </c>
      <c r="K86" s="179">
        <v>5822342</v>
      </c>
      <c r="L86" s="179">
        <v>5822342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260</v>
      </c>
      <c r="C87" s="156" t="s">
        <v>603</v>
      </c>
      <c r="D87" s="156" t="s">
        <v>541</v>
      </c>
      <c r="E87" s="179">
        <v>2715000</v>
      </c>
      <c r="F87" s="179">
        <v>2715000</v>
      </c>
      <c r="G87" s="179">
        <v>2715000</v>
      </c>
      <c r="H87" s="179">
        <v>0</v>
      </c>
      <c r="I87" s="179">
        <v>1541141</v>
      </c>
      <c r="J87" s="179">
        <v>0</v>
      </c>
      <c r="K87" s="179">
        <v>1173859</v>
      </c>
      <c r="L87" s="179">
        <v>1173859</v>
      </c>
      <c r="M87" s="179">
        <v>0</v>
      </c>
      <c r="N87" s="179">
        <v>0</v>
      </c>
    </row>
    <row r="88" spans="1:14" s="156" customFormat="1" x14ac:dyDescent="0.25">
      <c r="A88" s="156" t="s">
        <v>542</v>
      </c>
      <c r="B88" s="156" t="s">
        <v>261</v>
      </c>
      <c r="C88" s="156" t="s">
        <v>262</v>
      </c>
      <c r="D88" s="156" t="s">
        <v>541</v>
      </c>
      <c r="E88" s="179">
        <v>39757000</v>
      </c>
      <c r="F88" s="179">
        <v>61376365</v>
      </c>
      <c r="G88" s="179">
        <v>59576364.700000003</v>
      </c>
      <c r="H88" s="179">
        <v>0</v>
      </c>
      <c r="I88" s="179">
        <v>2243530.09</v>
      </c>
      <c r="J88" s="179">
        <v>0</v>
      </c>
      <c r="K88" s="179">
        <v>53061856.609999999</v>
      </c>
      <c r="L88" s="179">
        <v>53061856.609999999</v>
      </c>
      <c r="M88" s="179">
        <v>6070978.2999999998</v>
      </c>
      <c r="N88" s="179">
        <v>4270978</v>
      </c>
    </row>
    <row r="89" spans="1:14" s="156" customFormat="1" x14ac:dyDescent="0.25">
      <c r="A89" s="156" t="s">
        <v>542</v>
      </c>
      <c r="B89" s="156" t="s">
        <v>263</v>
      </c>
      <c r="C89" s="156" t="s">
        <v>264</v>
      </c>
      <c r="D89" s="156" t="s">
        <v>541</v>
      </c>
      <c r="E89" s="179">
        <v>30000000</v>
      </c>
      <c r="F89" s="179">
        <v>51619365</v>
      </c>
      <c r="G89" s="179">
        <v>51619364.700000003</v>
      </c>
      <c r="H89" s="179">
        <v>0</v>
      </c>
      <c r="I89" s="179">
        <v>2243530.09</v>
      </c>
      <c r="J89" s="179">
        <v>0</v>
      </c>
      <c r="K89" s="179">
        <v>49375834.609999999</v>
      </c>
      <c r="L89" s="179">
        <v>49375834.609999999</v>
      </c>
      <c r="M89" s="179">
        <v>0.3</v>
      </c>
      <c r="N89" s="179">
        <v>0</v>
      </c>
    </row>
    <row r="90" spans="1:14" s="156" customFormat="1" x14ac:dyDescent="0.25">
      <c r="A90" s="156" t="s">
        <v>542</v>
      </c>
      <c r="B90" s="156" t="s">
        <v>265</v>
      </c>
      <c r="C90" s="156" t="s">
        <v>266</v>
      </c>
      <c r="D90" s="156" t="s">
        <v>541</v>
      </c>
      <c r="E90" s="179">
        <v>9757000</v>
      </c>
      <c r="F90" s="179">
        <v>9757000</v>
      </c>
      <c r="G90" s="179">
        <v>7957000</v>
      </c>
      <c r="H90" s="179">
        <v>0</v>
      </c>
      <c r="I90" s="179">
        <v>0</v>
      </c>
      <c r="J90" s="179">
        <v>0</v>
      </c>
      <c r="K90" s="179">
        <v>3686022</v>
      </c>
      <c r="L90" s="179">
        <v>3686022</v>
      </c>
      <c r="M90" s="179">
        <v>6070978</v>
      </c>
      <c r="N90" s="179">
        <v>4270978</v>
      </c>
    </row>
    <row r="91" spans="1:14" s="156" customFormat="1" x14ac:dyDescent="0.25">
      <c r="A91" s="156" t="s">
        <v>542</v>
      </c>
      <c r="B91" s="156" t="s">
        <v>273</v>
      </c>
      <c r="C91" s="156" t="s">
        <v>274</v>
      </c>
      <c r="D91" s="156" t="s">
        <v>541</v>
      </c>
      <c r="E91" s="179">
        <v>423341000</v>
      </c>
      <c r="F91" s="179">
        <v>423341000</v>
      </c>
      <c r="G91" s="179">
        <v>317505750</v>
      </c>
      <c r="H91" s="179">
        <v>0</v>
      </c>
      <c r="I91" s="179">
        <v>13541719.5</v>
      </c>
      <c r="J91" s="179">
        <v>0</v>
      </c>
      <c r="K91" s="179">
        <v>198128780.5</v>
      </c>
      <c r="L91" s="179">
        <v>198128780.5</v>
      </c>
      <c r="M91" s="179">
        <v>211670500</v>
      </c>
      <c r="N91" s="179">
        <v>105835250</v>
      </c>
    </row>
    <row r="92" spans="1:14" s="156" customFormat="1" x14ac:dyDescent="0.25">
      <c r="A92" s="156" t="s">
        <v>542</v>
      </c>
      <c r="B92" s="156" t="s">
        <v>275</v>
      </c>
      <c r="C92" s="156" t="s">
        <v>276</v>
      </c>
      <c r="D92" s="156" t="s">
        <v>541</v>
      </c>
      <c r="E92" s="179">
        <v>406300000</v>
      </c>
      <c r="F92" s="179">
        <v>406300000</v>
      </c>
      <c r="G92" s="179">
        <v>300464750</v>
      </c>
      <c r="H92" s="179">
        <v>0</v>
      </c>
      <c r="I92" s="179">
        <v>0</v>
      </c>
      <c r="J92" s="179">
        <v>0</v>
      </c>
      <c r="K92" s="179">
        <v>194629500</v>
      </c>
      <c r="L92" s="179">
        <v>194629500</v>
      </c>
      <c r="M92" s="179">
        <v>211670500</v>
      </c>
      <c r="N92" s="179">
        <v>105835250</v>
      </c>
    </row>
    <row r="93" spans="1:14" s="156" customFormat="1" x14ac:dyDescent="0.25">
      <c r="A93" s="156" t="s">
        <v>542</v>
      </c>
      <c r="B93" s="156" t="s">
        <v>561</v>
      </c>
      <c r="C93" s="156" t="s">
        <v>584</v>
      </c>
      <c r="D93" s="156" t="s">
        <v>541</v>
      </c>
      <c r="E93" s="179">
        <v>13364000</v>
      </c>
      <c r="F93" s="179">
        <v>13364000</v>
      </c>
      <c r="G93" s="179">
        <v>13364000</v>
      </c>
      <c r="H93" s="179">
        <v>0</v>
      </c>
      <c r="I93" s="179">
        <v>13364000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277</v>
      </c>
      <c r="C94" s="156" t="s">
        <v>278</v>
      </c>
      <c r="D94" s="156" t="s">
        <v>541</v>
      </c>
      <c r="E94" s="179">
        <v>3677000</v>
      </c>
      <c r="F94" s="179">
        <v>3677000</v>
      </c>
      <c r="G94" s="179">
        <v>3677000</v>
      </c>
      <c r="H94" s="179">
        <v>0</v>
      </c>
      <c r="I94" s="179">
        <v>177719.5</v>
      </c>
      <c r="J94" s="179">
        <v>0</v>
      </c>
      <c r="K94" s="179">
        <v>3499280.5</v>
      </c>
      <c r="L94" s="179">
        <v>3499280.5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279</v>
      </c>
      <c r="C95" s="156" t="s">
        <v>280</v>
      </c>
      <c r="D95" s="156" t="s">
        <v>543</v>
      </c>
      <c r="E95" s="179">
        <v>17098648</v>
      </c>
      <c r="F95" s="179">
        <v>17098648</v>
      </c>
      <c r="G95" s="179">
        <v>17098648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17098648</v>
      </c>
      <c r="N95" s="179">
        <v>17098648</v>
      </c>
    </row>
    <row r="96" spans="1:14" s="156" customFormat="1" x14ac:dyDescent="0.25">
      <c r="A96" s="156" t="s">
        <v>542</v>
      </c>
      <c r="B96" s="156" t="s">
        <v>281</v>
      </c>
      <c r="C96" s="156" t="s">
        <v>282</v>
      </c>
      <c r="D96" s="156" t="s">
        <v>543</v>
      </c>
      <c r="E96" s="179">
        <v>16598648</v>
      </c>
      <c r="F96" s="179">
        <v>16598648</v>
      </c>
      <c r="G96" s="179">
        <v>16598648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16598648</v>
      </c>
      <c r="N96" s="179">
        <v>16598648</v>
      </c>
    </row>
    <row r="97" spans="1:14" s="156" customFormat="1" x14ac:dyDescent="0.25">
      <c r="A97" s="156" t="s">
        <v>542</v>
      </c>
      <c r="B97" s="156" t="s">
        <v>283</v>
      </c>
      <c r="C97" s="156" t="s">
        <v>284</v>
      </c>
      <c r="D97" s="156" t="s">
        <v>543</v>
      </c>
      <c r="E97" s="179">
        <v>3000000</v>
      </c>
      <c r="F97" s="179">
        <v>3000000</v>
      </c>
      <c r="G97" s="179">
        <v>3000000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3000000</v>
      </c>
      <c r="N97" s="179">
        <v>3000000</v>
      </c>
    </row>
    <row r="98" spans="1:14" s="156" customFormat="1" x14ac:dyDescent="0.25">
      <c r="A98" s="156" t="s">
        <v>542</v>
      </c>
      <c r="B98" s="156" t="s">
        <v>285</v>
      </c>
      <c r="C98" s="156" t="s">
        <v>286</v>
      </c>
      <c r="D98" s="156" t="s">
        <v>543</v>
      </c>
      <c r="E98" s="179">
        <v>4000000</v>
      </c>
      <c r="F98" s="179">
        <v>4000000</v>
      </c>
      <c r="G98" s="179">
        <v>4000000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4000000</v>
      </c>
      <c r="N98" s="179">
        <v>4000000</v>
      </c>
    </row>
    <row r="99" spans="1:14" s="156" customFormat="1" x14ac:dyDescent="0.25">
      <c r="A99" s="156" t="s">
        <v>542</v>
      </c>
      <c r="B99" s="156" t="s">
        <v>287</v>
      </c>
      <c r="C99" s="156" t="s">
        <v>288</v>
      </c>
      <c r="D99" s="156" t="s">
        <v>543</v>
      </c>
      <c r="E99" s="179">
        <v>6337648</v>
      </c>
      <c r="F99" s="179">
        <v>6337648</v>
      </c>
      <c r="G99" s="179">
        <v>6337648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6337648</v>
      </c>
      <c r="N99" s="179">
        <v>6337648</v>
      </c>
    </row>
    <row r="100" spans="1:14" s="156" customFormat="1" x14ac:dyDescent="0.25">
      <c r="A100" s="156" t="s">
        <v>542</v>
      </c>
      <c r="B100" s="156" t="s">
        <v>293</v>
      </c>
      <c r="C100" s="156" t="s">
        <v>294</v>
      </c>
      <c r="D100" s="156" t="s">
        <v>543</v>
      </c>
      <c r="E100" s="179">
        <v>2261000</v>
      </c>
      <c r="F100" s="179">
        <v>2261000</v>
      </c>
      <c r="G100" s="179">
        <v>2261000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2261000</v>
      </c>
      <c r="N100" s="179">
        <v>2261000</v>
      </c>
    </row>
    <row r="101" spans="1:14" s="156" customFormat="1" x14ac:dyDescent="0.25">
      <c r="A101" s="156" t="s">
        <v>542</v>
      </c>
      <c r="B101" s="156" t="s">
        <v>295</v>
      </c>
      <c r="C101" s="156" t="s">
        <v>296</v>
      </c>
      <c r="D101" s="156" t="s">
        <v>543</v>
      </c>
      <c r="E101" s="179">
        <v>1000000</v>
      </c>
      <c r="F101" s="179">
        <v>1000000</v>
      </c>
      <c r="G101" s="179">
        <v>1000000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1000000</v>
      </c>
      <c r="N101" s="179">
        <v>1000000</v>
      </c>
    </row>
    <row r="102" spans="1:14" s="156" customFormat="1" x14ac:dyDescent="0.25">
      <c r="A102" s="156" t="s">
        <v>542</v>
      </c>
      <c r="B102" s="156" t="s">
        <v>340</v>
      </c>
      <c r="C102" s="156" t="s">
        <v>341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 t="s">
        <v>542</v>
      </c>
      <c r="B103" s="156" t="s">
        <v>342</v>
      </c>
      <c r="C103" s="156" t="s">
        <v>343</v>
      </c>
      <c r="D103" s="156" t="s">
        <v>543</v>
      </c>
      <c r="E103" s="179">
        <v>500000</v>
      </c>
      <c r="F103" s="179">
        <v>500000</v>
      </c>
      <c r="G103" s="179">
        <v>500000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500000</v>
      </c>
      <c r="N103" s="179">
        <v>500000</v>
      </c>
    </row>
    <row r="104" spans="1:14" s="156" customFormat="1" x14ac:dyDescent="0.25">
      <c r="A104" s="156">
        <v>214780</v>
      </c>
      <c r="B104" s="156" t="s">
        <v>587</v>
      </c>
      <c r="C104" s="156" t="s">
        <v>587</v>
      </c>
      <c r="D104" s="156" t="s">
        <v>541</v>
      </c>
      <c r="E104" s="179">
        <v>1241247489</v>
      </c>
      <c r="F104" s="179">
        <v>1241247489</v>
      </c>
      <c r="G104" s="179">
        <v>1163570875.8499999</v>
      </c>
      <c r="H104" s="179">
        <v>8052854</v>
      </c>
      <c r="I104" s="179">
        <v>110215668.5</v>
      </c>
      <c r="J104" s="179">
        <v>311100.45</v>
      </c>
      <c r="K104" s="179">
        <v>484930047.67000002</v>
      </c>
      <c r="L104" s="179">
        <v>481250496.80000001</v>
      </c>
      <c r="M104" s="179">
        <v>637737818.38</v>
      </c>
      <c r="N104" s="179">
        <v>560061205.23000002</v>
      </c>
    </row>
    <row r="105" spans="1:14" s="156" customFormat="1" x14ac:dyDescent="0.25">
      <c r="A105" s="156" t="s">
        <v>544</v>
      </c>
      <c r="B105" s="156" t="s">
        <v>92</v>
      </c>
      <c r="C105" s="156" t="s">
        <v>93</v>
      </c>
      <c r="D105" s="156" t="s">
        <v>541</v>
      </c>
      <c r="E105" s="179">
        <v>953910000</v>
      </c>
      <c r="F105" s="179">
        <v>953910000</v>
      </c>
      <c r="G105" s="179">
        <v>953910000</v>
      </c>
      <c r="H105" s="179">
        <v>0</v>
      </c>
      <c r="I105" s="179">
        <v>80826184</v>
      </c>
      <c r="J105" s="179">
        <v>0</v>
      </c>
      <c r="K105" s="179">
        <v>394179302.67000002</v>
      </c>
      <c r="L105" s="179">
        <v>394179302.67000002</v>
      </c>
      <c r="M105" s="179">
        <v>478904513.32999998</v>
      </c>
      <c r="N105" s="179">
        <v>478904513.32999998</v>
      </c>
    </row>
    <row r="106" spans="1:14" s="156" customFormat="1" x14ac:dyDescent="0.25">
      <c r="A106" s="156" t="s">
        <v>544</v>
      </c>
      <c r="B106" s="156" t="s">
        <v>94</v>
      </c>
      <c r="C106" s="156" t="s">
        <v>95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163374637.53</v>
      </c>
      <c r="L106" s="179">
        <v>163374637.53</v>
      </c>
      <c r="M106" s="179">
        <v>220466362.47</v>
      </c>
      <c r="N106" s="179">
        <v>220466362.47</v>
      </c>
    </row>
    <row r="107" spans="1:14" s="156" customFormat="1" x14ac:dyDescent="0.25">
      <c r="A107" s="156" t="s">
        <v>544</v>
      </c>
      <c r="B107" s="156" t="s">
        <v>96</v>
      </c>
      <c r="C107" s="156" t="s">
        <v>97</v>
      </c>
      <c r="D107" s="156" t="s">
        <v>541</v>
      </c>
      <c r="E107" s="179">
        <v>383841000</v>
      </c>
      <c r="F107" s="179">
        <v>383841000</v>
      </c>
      <c r="G107" s="179">
        <v>383841000</v>
      </c>
      <c r="H107" s="179">
        <v>0</v>
      </c>
      <c r="I107" s="179">
        <v>0</v>
      </c>
      <c r="J107" s="179">
        <v>0</v>
      </c>
      <c r="K107" s="179">
        <v>163374637.53</v>
      </c>
      <c r="L107" s="179">
        <v>163374637.53</v>
      </c>
      <c r="M107" s="179">
        <v>220466362.47</v>
      </c>
      <c r="N107" s="179">
        <v>220466362.47</v>
      </c>
    </row>
    <row r="108" spans="1:14" s="156" customFormat="1" x14ac:dyDescent="0.25">
      <c r="A108" s="156" t="s">
        <v>544</v>
      </c>
      <c r="B108" s="156" t="s">
        <v>102</v>
      </c>
      <c r="C108" s="156" t="s">
        <v>103</v>
      </c>
      <c r="D108" s="156" t="s">
        <v>541</v>
      </c>
      <c r="E108" s="179">
        <v>425514000</v>
      </c>
      <c r="F108" s="179">
        <v>425514000</v>
      </c>
      <c r="G108" s="179">
        <v>425514000</v>
      </c>
      <c r="H108" s="179">
        <v>0</v>
      </c>
      <c r="I108" s="179">
        <v>0</v>
      </c>
      <c r="J108" s="179">
        <v>0</v>
      </c>
      <c r="K108" s="179">
        <v>167075849.13999999</v>
      </c>
      <c r="L108" s="179">
        <v>167075849.13999999</v>
      </c>
      <c r="M108" s="179">
        <v>258438150.86000001</v>
      </c>
      <c r="N108" s="179">
        <v>258438150.86000001</v>
      </c>
    </row>
    <row r="109" spans="1:14" s="156" customFormat="1" x14ac:dyDescent="0.25">
      <c r="A109" s="156" t="s">
        <v>544</v>
      </c>
      <c r="B109" s="156" t="s">
        <v>104</v>
      </c>
      <c r="C109" s="156" t="s">
        <v>105</v>
      </c>
      <c r="D109" s="156" t="s">
        <v>541</v>
      </c>
      <c r="E109" s="179">
        <v>70660000</v>
      </c>
      <c r="F109" s="179">
        <v>70660000</v>
      </c>
      <c r="G109" s="179">
        <v>70660000</v>
      </c>
      <c r="H109" s="179">
        <v>0</v>
      </c>
      <c r="I109" s="179">
        <v>0</v>
      </c>
      <c r="J109" s="179">
        <v>0</v>
      </c>
      <c r="K109" s="179">
        <v>28491770.620000001</v>
      </c>
      <c r="L109" s="179">
        <v>28491770.620000001</v>
      </c>
      <c r="M109" s="179">
        <v>42168229.380000003</v>
      </c>
      <c r="N109" s="179">
        <v>42168229.380000003</v>
      </c>
    </row>
    <row r="110" spans="1:14" s="156" customFormat="1" x14ac:dyDescent="0.25">
      <c r="A110" s="156" t="s">
        <v>544</v>
      </c>
      <c r="B110" s="156" t="s">
        <v>106</v>
      </c>
      <c r="C110" s="156" t="s">
        <v>107</v>
      </c>
      <c r="D110" s="156" t="s">
        <v>541</v>
      </c>
      <c r="E110" s="179">
        <v>211191000</v>
      </c>
      <c r="F110" s="179">
        <v>211191000</v>
      </c>
      <c r="G110" s="179">
        <v>211191000</v>
      </c>
      <c r="H110" s="179">
        <v>0</v>
      </c>
      <c r="I110" s="179">
        <v>0</v>
      </c>
      <c r="J110" s="179">
        <v>0</v>
      </c>
      <c r="K110" s="179">
        <v>79313532.780000001</v>
      </c>
      <c r="L110" s="179">
        <v>79313532.780000001</v>
      </c>
      <c r="M110" s="179">
        <v>131877467.22</v>
      </c>
      <c r="N110" s="179">
        <v>131877467.22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35665000</v>
      </c>
      <c r="H112" s="179">
        <v>0</v>
      </c>
      <c r="I112" s="179">
        <v>0</v>
      </c>
      <c r="J112" s="179">
        <v>0</v>
      </c>
      <c r="K112" s="179">
        <v>14822514.67</v>
      </c>
      <c r="L112" s="179">
        <v>14822514.67</v>
      </c>
      <c r="M112" s="179">
        <v>20842485.329999998</v>
      </c>
      <c r="N112" s="179">
        <v>20842485.329999998</v>
      </c>
    </row>
    <row r="113" spans="1:14" s="156" customFormat="1" x14ac:dyDescent="0.25">
      <c r="A113" s="156" t="s">
        <v>544</v>
      </c>
      <c r="B113" s="156" t="s">
        <v>112</v>
      </c>
      <c r="C113" s="156" t="s">
        <v>113</v>
      </c>
      <c r="D113" s="156" t="s">
        <v>543</v>
      </c>
      <c r="E113" s="179">
        <v>61518000</v>
      </c>
      <c r="F113" s="179">
        <v>61518000</v>
      </c>
      <c r="G113" s="179">
        <v>61518000</v>
      </c>
      <c r="H113" s="179">
        <v>0</v>
      </c>
      <c r="I113" s="179">
        <v>0</v>
      </c>
      <c r="J113" s="179">
        <v>0</v>
      </c>
      <c r="K113" s="179">
        <v>0</v>
      </c>
      <c r="L113" s="179">
        <v>0</v>
      </c>
      <c r="M113" s="179">
        <v>61518000</v>
      </c>
      <c r="N113" s="179">
        <v>61518000</v>
      </c>
    </row>
    <row r="114" spans="1:14" s="156" customFormat="1" x14ac:dyDescent="0.25">
      <c r="A114" s="156" t="s">
        <v>544</v>
      </c>
      <c r="B114" s="156" t="s">
        <v>114</v>
      </c>
      <c r="C114" s="156" t="s">
        <v>115</v>
      </c>
      <c r="D114" s="156" t="s">
        <v>541</v>
      </c>
      <c r="E114" s="179">
        <v>72913000</v>
      </c>
      <c r="F114" s="179">
        <v>72913000</v>
      </c>
      <c r="G114" s="179">
        <v>72913000</v>
      </c>
      <c r="H114" s="179">
        <v>0</v>
      </c>
      <c r="I114" s="179">
        <v>40765662</v>
      </c>
      <c r="J114" s="179">
        <v>0</v>
      </c>
      <c r="K114" s="179">
        <v>32147338</v>
      </c>
      <c r="L114" s="179">
        <v>32147338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301</v>
      </c>
      <c r="C115" s="156" t="s">
        <v>597</v>
      </c>
      <c r="D115" s="156" t="s">
        <v>541</v>
      </c>
      <c r="E115" s="179">
        <v>69174000</v>
      </c>
      <c r="F115" s="179">
        <v>69174000</v>
      </c>
      <c r="G115" s="179">
        <v>69174000</v>
      </c>
      <c r="H115" s="179">
        <v>0</v>
      </c>
      <c r="I115" s="179">
        <v>38674841</v>
      </c>
      <c r="J115" s="179">
        <v>0</v>
      </c>
      <c r="K115" s="179">
        <v>30499159</v>
      </c>
      <c r="L115" s="179">
        <v>30499159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302</v>
      </c>
      <c r="C116" s="156" t="s">
        <v>583</v>
      </c>
      <c r="D116" s="156" t="s">
        <v>541</v>
      </c>
      <c r="E116" s="179">
        <v>3739000</v>
      </c>
      <c r="F116" s="179">
        <v>3739000</v>
      </c>
      <c r="G116" s="179">
        <v>3739000</v>
      </c>
      <c r="H116" s="179">
        <v>0</v>
      </c>
      <c r="I116" s="179">
        <v>2090821</v>
      </c>
      <c r="J116" s="179">
        <v>0</v>
      </c>
      <c r="K116" s="179">
        <v>1648179</v>
      </c>
      <c r="L116" s="179">
        <v>1648179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118</v>
      </c>
      <c r="C117" s="156" t="s">
        <v>119</v>
      </c>
      <c r="D117" s="156" t="s">
        <v>541</v>
      </c>
      <c r="E117" s="179">
        <v>71642000</v>
      </c>
      <c r="F117" s="179">
        <v>71642000</v>
      </c>
      <c r="G117" s="179">
        <v>71642000</v>
      </c>
      <c r="H117" s="179">
        <v>0</v>
      </c>
      <c r="I117" s="179">
        <v>40060522</v>
      </c>
      <c r="J117" s="179">
        <v>0</v>
      </c>
      <c r="K117" s="179">
        <v>31581478</v>
      </c>
      <c r="L117" s="179">
        <v>31581478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303</v>
      </c>
      <c r="C118" s="156" t="s">
        <v>598</v>
      </c>
      <c r="D118" s="156" t="s">
        <v>541</v>
      </c>
      <c r="E118" s="179">
        <v>37990000</v>
      </c>
      <c r="F118" s="179">
        <v>37990000</v>
      </c>
      <c r="G118" s="179">
        <v>37990000</v>
      </c>
      <c r="H118" s="179">
        <v>0</v>
      </c>
      <c r="I118" s="179">
        <v>21242110</v>
      </c>
      <c r="J118" s="179">
        <v>0</v>
      </c>
      <c r="K118" s="179">
        <v>16747890</v>
      </c>
      <c r="L118" s="179">
        <v>16747890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304</v>
      </c>
      <c r="C119" s="156" t="s">
        <v>599</v>
      </c>
      <c r="D119" s="156" t="s">
        <v>541</v>
      </c>
      <c r="E119" s="179">
        <v>11217000</v>
      </c>
      <c r="F119" s="179">
        <v>11217000</v>
      </c>
      <c r="G119" s="179">
        <v>11217000</v>
      </c>
      <c r="H119" s="179">
        <v>0</v>
      </c>
      <c r="I119" s="179">
        <v>6272476</v>
      </c>
      <c r="J119" s="179">
        <v>0</v>
      </c>
      <c r="K119" s="179">
        <v>4944524</v>
      </c>
      <c r="L119" s="179">
        <v>4944524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305</v>
      </c>
      <c r="C120" s="156" t="s">
        <v>600</v>
      </c>
      <c r="D120" s="156" t="s">
        <v>541</v>
      </c>
      <c r="E120" s="179">
        <v>22435000</v>
      </c>
      <c r="F120" s="179">
        <v>22435000</v>
      </c>
      <c r="G120" s="179">
        <v>22435000</v>
      </c>
      <c r="H120" s="179">
        <v>0</v>
      </c>
      <c r="I120" s="179">
        <v>12545936</v>
      </c>
      <c r="J120" s="179">
        <v>0</v>
      </c>
      <c r="K120" s="179">
        <v>9889064</v>
      </c>
      <c r="L120" s="179">
        <v>9889064</v>
      </c>
      <c r="M120" s="179">
        <v>0</v>
      </c>
      <c r="N120" s="179">
        <v>0</v>
      </c>
    </row>
    <row r="121" spans="1:14" s="156" customFormat="1" x14ac:dyDescent="0.25">
      <c r="A121" s="156" t="s">
        <v>544</v>
      </c>
      <c r="B121" s="156" t="s">
        <v>123</v>
      </c>
      <c r="C121" s="156" t="s">
        <v>124</v>
      </c>
      <c r="D121" s="156" t="s">
        <v>541</v>
      </c>
      <c r="E121" s="179">
        <v>155922650</v>
      </c>
      <c r="F121" s="179">
        <v>155922650</v>
      </c>
      <c r="G121" s="179">
        <v>116330161.84999999</v>
      </c>
      <c r="H121" s="179">
        <v>108800</v>
      </c>
      <c r="I121" s="179">
        <v>17560331.300000001</v>
      </c>
      <c r="J121" s="179">
        <v>0</v>
      </c>
      <c r="K121" s="179">
        <v>50533138.289999999</v>
      </c>
      <c r="L121" s="179">
        <v>48340160.979999997</v>
      </c>
      <c r="M121" s="179">
        <v>87720380.409999996</v>
      </c>
      <c r="N121" s="179">
        <v>48127892.259999998</v>
      </c>
    </row>
    <row r="122" spans="1:14" s="156" customFormat="1" x14ac:dyDescent="0.25">
      <c r="A122" s="156" t="s">
        <v>544</v>
      </c>
      <c r="B122" s="156" t="s">
        <v>125</v>
      </c>
      <c r="C122" s="156" t="s">
        <v>126</v>
      </c>
      <c r="D122" s="156" t="s">
        <v>541</v>
      </c>
      <c r="E122" s="179">
        <v>78966646</v>
      </c>
      <c r="F122" s="179">
        <v>78966646</v>
      </c>
      <c r="G122" s="179">
        <v>69984909</v>
      </c>
      <c r="H122" s="179">
        <v>0</v>
      </c>
      <c r="I122" s="179">
        <v>6021058.6200000001</v>
      </c>
      <c r="J122" s="179">
        <v>0</v>
      </c>
      <c r="K122" s="179">
        <v>33268177.170000002</v>
      </c>
      <c r="L122" s="179">
        <v>33145310.050000001</v>
      </c>
      <c r="M122" s="179">
        <v>39677410.210000001</v>
      </c>
      <c r="N122" s="179">
        <v>30695673.210000001</v>
      </c>
    </row>
    <row r="123" spans="1:14" s="156" customFormat="1" x14ac:dyDescent="0.25">
      <c r="A123" s="156" t="s">
        <v>544</v>
      </c>
      <c r="B123" s="156" t="s">
        <v>306</v>
      </c>
      <c r="C123" s="156" t="s">
        <v>307</v>
      </c>
      <c r="D123" s="156" t="s">
        <v>541</v>
      </c>
      <c r="E123" s="179">
        <v>67899341</v>
      </c>
      <c r="F123" s="179">
        <v>67899341</v>
      </c>
      <c r="G123" s="179">
        <v>59048082</v>
      </c>
      <c r="H123" s="179">
        <v>0</v>
      </c>
      <c r="I123" s="179">
        <v>4477544.0599999996</v>
      </c>
      <c r="J123" s="179">
        <v>0</v>
      </c>
      <c r="K123" s="179">
        <v>28390263.620000001</v>
      </c>
      <c r="L123" s="179">
        <v>28390263.620000001</v>
      </c>
      <c r="M123" s="179">
        <v>35031533.32</v>
      </c>
      <c r="N123" s="179">
        <v>26180274.32</v>
      </c>
    </row>
    <row r="124" spans="1:14" s="156" customFormat="1" x14ac:dyDescent="0.25">
      <c r="A124" s="156" t="s">
        <v>544</v>
      </c>
      <c r="B124" s="156" t="s">
        <v>127</v>
      </c>
      <c r="C124" s="156" t="s">
        <v>128</v>
      </c>
      <c r="D124" s="156" t="s">
        <v>541</v>
      </c>
      <c r="E124" s="179">
        <v>11067305</v>
      </c>
      <c r="F124" s="179">
        <v>11067305</v>
      </c>
      <c r="G124" s="179">
        <v>10936827</v>
      </c>
      <c r="H124" s="179">
        <v>0</v>
      </c>
      <c r="I124" s="179">
        <v>1543514.56</v>
      </c>
      <c r="J124" s="179">
        <v>0</v>
      </c>
      <c r="K124" s="179">
        <v>4877913.55</v>
      </c>
      <c r="L124" s="179">
        <v>4755046.43</v>
      </c>
      <c r="M124" s="179">
        <v>4645876.8899999997</v>
      </c>
      <c r="N124" s="179">
        <v>4515398.8899999997</v>
      </c>
    </row>
    <row r="125" spans="1:14" s="156" customFormat="1" x14ac:dyDescent="0.25">
      <c r="A125" s="156" t="s">
        <v>544</v>
      </c>
      <c r="B125" s="156" t="s">
        <v>131</v>
      </c>
      <c r="C125" s="156" t="s">
        <v>132</v>
      </c>
      <c r="D125" s="156" t="s">
        <v>541</v>
      </c>
      <c r="E125" s="179">
        <v>14518657</v>
      </c>
      <c r="F125" s="179">
        <v>14482767</v>
      </c>
      <c r="G125" s="179">
        <v>9243775</v>
      </c>
      <c r="H125" s="179">
        <v>0</v>
      </c>
      <c r="I125" s="179">
        <v>643952.68000000005</v>
      </c>
      <c r="J125" s="179">
        <v>0</v>
      </c>
      <c r="K125" s="179">
        <v>7754764.75</v>
      </c>
      <c r="L125" s="179">
        <v>6970856.9299999997</v>
      </c>
      <c r="M125" s="179">
        <v>6084049.5700000003</v>
      </c>
      <c r="N125" s="179">
        <v>845057.57</v>
      </c>
    </row>
    <row r="126" spans="1:14" s="156" customFormat="1" x14ac:dyDescent="0.25">
      <c r="A126" s="156" t="s">
        <v>544</v>
      </c>
      <c r="B126" s="156" t="s">
        <v>133</v>
      </c>
      <c r="C126" s="156" t="s">
        <v>134</v>
      </c>
      <c r="D126" s="156" t="s">
        <v>541</v>
      </c>
      <c r="E126" s="179">
        <v>1280000</v>
      </c>
      <c r="F126" s="179">
        <v>1244110</v>
      </c>
      <c r="G126" s="179">
        <v>824110</v>
      </c>
      <c r="H126" s="179">
        <v>0</v>
      </c>
      <c r="I126" s="179">
        <v>280545</v>
      </c>
      <c r="J126" s="179">
        <v>0</v>
      </c>
      <c r="K126" s="179">
        <v>329035</v>
      </c>
      <c r="L126" s="179">
        <v>329035</v>
      </c>
      <c r="M126" s="179">
        <v>634530</v>
      </c>
      <c r="N126" s="179">
        <v>214530</v>
      </c>
    </row>
    <row r="127" spans="1:14" s="156" customFormat="1" x14ac:dyDescent="0.25">
      <c r="A127" s="156" t="s">
        <v>544</v>
      </c>
      <c r="B127" s="156" t="s">
        <v>135</v>
      </c>
      <c r="C127" s="156" t="s">
        <v>136</v>
      </c>
      <c r="D127" s="156" t="s">
        <v>541</v>
      </c>
      <c r="E127" s="179">
        <v>3685715</v>
      </c>
      <c r="F127" s="179">
        <v>3685715</v>
      </c>
      <c r="G127" s="179">
        <v>2301429</v>
      </c>
      <c r="H127" s="179">
        <v>0</v>
      </c>
      <c r="I127" s="179">
        <v>212702</v>
      </c>
      <c r="J127" s="179">
        <v>0</v>
      </c>
      <c r="K127" s="179">
        <v>1458627</v>
      </c>
      <c r="L127" s="179">
        <v>1458627</v>
      </c>
      <c r="M127" s="179">
        <v>2014386</v>
      </c>
      <c r="N127" s="179">
        <v>630100</v>
      </c>
    </row>
    <row r="128" spans="1:14" s="156" customFormat="1" x14ac:dyDescent="0.25">
      <c r="A128" s="156" t="s">
        <v>544</v>
      </c>
      <c r="B128" s="156" t="s">
        <v>139</v>
      </c>
      <c r="C128" s="156" t="s">
        <v>140</v>
      </c>
      <c r="D128" s="156" t="s">
        <v>541</v>
      </c>
      <c r="E128" s="179">
        <v>9552942</v>
      </c>
      <c r="F128" s="179">
        <v>9552942</v>
      </c>
      <c r="G128" s="179">
        <v>6118236</v>
      </c>
      <c r="H128" s="179">
        <v>0</v>
      </c>
      <c r="I128" s="179">
        <v>150705.68</v>
      </c>
      <c r="J128" s="179">
        <v>0</v>
      </c>
      <c r="K128" s="179">
        <v>5967102.75</v>
      </c>
      <c r="L128" s="179">
        <v>5183194.93</v>
      </c>
      <c r="M128" s="179">
        <v>3435133.57</v>
      </c>
      <c r="N128" s="179">
        <v>427.57</v>
      </c>
    </row>
    <row r="129" spans="1:14" s="156" customFormat="1" x14ac:dyDescent="0.25">
      <c r="A129" s="156" t="s">
        <v>544</v>
      </c>
      <c r="B129" s="156" t="s">
        <v>143</v>
      </c>
      <c r="C129" s="156" t="s">
        <v>144</v>
      </c>
      <c r="D129" s="156" t="s">
        <v>541</v>
      </c>
      <c r="E129" s="179">
        <v>16719000</v>
      </c>
      <c r="F129" s="179">
        <v>14451000</v>
      </c>
      <c r="G129" s="179">
        <v>8420000</v>
      </c>
      <c r="H129" s="179">
        <v>0</v>
      </c>
      <c r="I129" s="179">
        <v>0</v>
      </c>
      <c r="J129" s="179">
        <v>0</v>
      </c>
      <c r="K129" s="179">
        <v>5000</v>
      </c>
      <c r="L129" s="179">
        <v>5000</v>
      </c>
      <c r="M129" s="179">
        <v>14446000</v>
      </c>
      <c r="N129" s="179">
        <v>8415000</v>
      </c>
    </row>
    <row r="130" spans="1:14" s="156" customFormat="1" x14ac:dyDescent="0.25">
      <c r="A130" s="156" t="s">
        <v>544</v>
      </c>
      <c r="B130" s="156" t="s">
        <v>145</v>
      </c>
      <c r="C130" s="156" t="s">
        <v>146</v>
      </c>
      <c r="D130" s="156" t="s">
        <v>541</v>
      </c>
      <c r="E130" s="179">
        <v>719000</v>
      </c>
      <c r="F130" s="179">
        <v>519000</v>
      </c>
      <c r="G130" s="179">
        <v>200000</v>
      </c>
      <c r="H130" s="179">
        <v>0</v>
      </c>
      <c r="I130" s="179">
        <v>0</v>
      </c>
      <c r="J130" s="179">
        <v>0</v>
      </c>
      <c r="K130" s="179">
        <v>0</v>
      </c>
      <c r="L130" s="179">
        <v>0</v>
      </c>
      <c r="M130" s="179">
        <v>519000</v>
      </c>
      <c r="N130" s="179">
        <v>200000</v>
      </c>
    </row>
    <row r="131" spans="1:14" s="156" customFormat="1" x14ac:dyDescent="0.25">
      <c r="A131" s="156" t="s">
        <v>544</v>
      </c>
      <c r="B131" s="156" t="s">
        <v>147</v>
      </c>
      <c r="C131" s="156" t="s">
        <v>148</v>
      </c>
      <c r="D131" s="156" t="s">
        <v>541</v>
      </c>
      <c r="E131" s="179">
        <v>16000000</v>
      </c>
      <c r="F131" s="179">
        <v>13932000</v>
      </c>
      <c r="G131" s="179">
        <v>8220000</v>
      </c>
      <c r="H131" s="179">
        <v>0</v>
      </c>
      <c r="I131" s="179">
        <v>0</v>
      </c>
      <c r="J131" s="179">
        <v>0</v>
      </c>
      <c r="K131" s="179">
        <v>5000</v>
      </c>
      <c r="L131" s="179">
        <v>5000</v>
      </c>
      <c r="M131" s="179">
        <v>13927000</v>
      </c>
      <c r="N131" s="179">
        <v>8215000</v>
      </c>
    </row>
    <row r="132" spans="1:14" s="156" customFormat="1" x14ac:dyDescent="0.25">
      <c r="A132" s="156" t="s">
        <v>544</v>
      </c>
      <c r="B132" s="156" t="s">
        <v>151</v>
      </c>
      <c r="C132" s="156" t="s">
        <v>152</v>
      </c>
      <c r="D132" s="156" t="s">
        <v>541</v>
      </c>
      <c r="E132" s="179">
        <v>2200000</v>
      </c>
      <c r="F132" s="179">
        <v>1950000</v>
      </c>
      <c r="G132" s="179">
        <v>1477240</v>
      </c>
      <c r="H132" s="179">
        <v>0</v>
      </c>
      <c r="I132" s="179">
        <v>136255</v>
      </c>
      <c r="J132" s="179">
        <v>0</v>
      </c>
      <c r="K132" s="179">
        <v>1180985</v>
      </c>
      <c r="L132" s="179">
        <v>1167240</v>
      </c>
      <c r="M132" s="179">
        <v>632760</v>
      </c>
      <c r="N132" s="179">
        <v>160000</v>
      </c>
    </row>
    <row r="133" spans="1:14" s="156" customFormat="1" x14ac:dyDescent="0.25">
      <c r="A133" s="156" t="s">
        <v>544</v>
      </c>
      <c r="B133" s="156" t="s">
        <v>154</v>
      </c>
      <c r="C133" s="156" t="s">
        <v>155</v>
      </c>
      <c r="D133" s="156" t="s">
        <v>541</v>
      </c>
      <c r="E133" s="179">
        <v>1200000</v>
      </c>
      <c r="F133" s="179">
        <v>1100000</v>
      </c>
      <c r="G133" s="179">
        <v>1017240</v>
      </c>
      <c r="H133" s="179">
        <v>0</v>
      </c>
      <c r="I133" s="179">
        <v>0</v>
      </c>
      <c r="J133" s="179">
        <v>0</v>
      </c>
      <c r="K133" s="179">
        <v>1017240</v>
      </c>
      <c r="L133" s="179">
        <v>1017240</v>
      </c>
      <c r="M133" s="179">
        <v>82760</v>
      </c>
      <c r="N133" s="179">
        <v>0</v>
      </c>
    </row>
    <row r="134" spans="1:14" s="156" customFormat="1" x14ac:dyDescent="0.25">
      <c r="A134" s="156" t="s">
        <v>544</v>
      </c>
      <c r="B134" s="156" t="s">
        <v>156</v>
      </c>
      <c r="C134" s="156" t="s">
        <v>157</v>
      </c>
      <c r="D134" s="156" t="s">
        <v>541</v>
      </c>
      <c r="E134" s="179">
        <v>1000000</v>
      </c>
      <c r="F134" s="179">
        <v>850000</v>
      </c>
      <c r="G134" s="179">
        <v>460000</v>
      </c>
      <c r="H134" s="179">
        <v>0</v>
      </c>
      <c r="I134" s="179">
        <v>136255</v>
      </c>
      <c r="J134" s="179">
        <v>0</v>
      </c>
      <c r="K134" s="179">
        <v>163745</v>
      </c>
      <c r="L134" s="179">
        <v>150000</v>
      </c>
      <c r="M134" s="179">
        <v>550000</v>
      </c>
      <c r="N134" s="179">
        <v>160000</v>
      </c>
    </row>
    <row r="135" spans="1:14" s="156" customFormat="1" x14ac:dyDescent="0.25">
      <c r="A135" s="156" t="s">
        <v>544</v>
      </c>
      <c r="B135" s="156" t="s">
        <v>158</v>
      </c>
      <c r="C135" s="156" t="s">
        <v>159</v>
      </c>
      <c r="D135" s="156" t="s">
        <v>541</v>
      </c>
      <c r="E135" s="179">
        <v>6813730</v>
      </c>
      <c r="F135" s="179">
        <v>12156620</v>
      </c>
      <c r="G135" s="179">
        <v>9583823</v>
      </c>
      <c r="H135" s="179">
        <v>108800</v>
      </c>
      <c r="I135" s="179">
        <v>2836165</v>
      </c>
      <c r="J135" s="179">
        <v>0</v>
      </c>
      <c r="K135" s="179">
        <v>4726030</v>
      </c>
      <c r="L135" s="179">
        <v>4492960</v>
      </c>
      <c r="M135" s="179">
        <v>4485625</v>
      </c>
      <c r="N135" s="179">
        <v>1912828</v>
      </c>
    </row>
    <row r="136" spans="1:14" s="156" customFormat="1" x14ac:dyDescent="0.25">
      <c r="A136" s="156" t="s">
        <v>544</v>
      </c>
      <c r="B136" s="156" t="s">
        <v>160</v>
      </c>
      <c r="C136" s="156" t="s">
        <v>161</v>
      </c>
      <c r="D136" s="156" t="s">
        <v>541</v>
      </c>
      <c r="E136" s="179">
        <v>250000</v>
      </c>
      <c r="F136" s="179">
        <v>902890</v>
      </c>
      <c r="G136" s="179">
        <v>852890</v>
      </c>
      <c r="H136" s="179">
        <v>0</v>
      </c>
      <c r="I136" s="179">
        <v>340115</v>
      </c>
      <c r="J136" s="179">
        <v>0</v>
      </c>
      <c r="K136" s="179">
        <v>198930</v>
      </c>
      <c r="L136" s="179">
        <v>191060</v>
      </c>
      <c r="M136" s="179">
        <v>363845</v>
      </c>
      <c r="N136" s="179">
        <v>313845</v>
      </c>
    </row>
    <row r="137" spans="1:14" s="156" customFormat="1" x14ac:dyDescent="0.25">
      <c r="A137" s="156" t="s">
        <v>544</v>
      </c>
      <c r="B137" s="156" t="s">
        <v>162</v>
      </c>
      <c r="C137" s="156" t="s">
        <v>163</v>
      </c>
      <c r="D137" s="156" t="s">
        <v>541</v>
      </c>
      <c r="E137" s="179">
        <v>6563730</v>
      </c>
      <c r="F137" s="179">
        <v>11253730</v>
      </c>
      <c r="G137" s="179">
        <v>8730933</v>
      </c>
      <c r="H137" s="179">
        <v>108800</v>
      </c>
      <c r="I137" s="179">
        <v>2496050</v>
      </c>
      <c r="J137" s="179">
        <v>0</v>
      </c>
      <c r="K137" s="179">
        <v>4527100</v>
      </c>
      <c r="L137" s="179">
        <v>4301900</v>
      </c>
      <c r="M137" s="179">
        <v>4121780</v>
      </c>
      <c r="N137" s="179">
        <v>1598983</v>
      </c>
    </row>
    <row r="138" spans="1:14" s="156" customFormat="1" x14ac:dyDescent="0.25">
      <c r="A138" s="156" t="s">
        <v>544</v>
      </c>
      <c r="B138" s="156" t="s">
        <v>168</v>
      </c>
      <c r="C138" s="156" t="s">
        <v>169</v>
      </c>
      <c r="D138" s="156" t="s">
        <v>541</v>
      </c>
      <c r="E138" s="179">
        <v>4277392</v>
      </c>
      <c r="F138" s="179">
        <v>4277392</v>
      </c>
      <c r="G138" s="179">
        <v>2690348</v>
      </c>
      <c r="H138" s="179">
        <v>0</v>
      </c>
      <c r="I138" s="179">
        <v>550000</v>
      </c>
      <c r="J138" s="179">
        <v>0</v>
      </c>
      <c r="K138" s="179">
        <v>1260694</v>
      </c>
      <c r="L138" s="179">
        <v>1260694</v>
      </c>
      <c r="M138" s="179">
        <v>2466698</v>
      </c>
      <c r="N138" s="179">
        <v>879654</v>
      </c>
    </row>
    <row r="139" spans="1:14" s="156" customFormat="1" x14ac:dyDescent="0.25">
      <c r="A139" s="156" t="s">
        <v>544</v>
      </c>
      <c r="B139" s="156" t="s">
        <v>170</v>
      </c>
      <c r="C139" s="156" t="s">
        <v>171</v>
      </c>
      <c r="D139" s="156" t="s">
        <v>541</v>
      </c>
      <c r="E139" s="179">
        <v>4277392</v>
      </c>
      <c r="F139" s="179">
        <v>4277392</v>
      </c>
      <c r="G139" s="179">
        <v>2690348</v>
      </c>
      <c r="H139" s="179">
        <v>0</v>
      </c>
      <c r="I139" s="179">
        <v>550000</v>
      </c>
      <c r="J139" s="179">
        <v>0</v>
      </c>
      <c r="K139" s="179">
        <v>1260694</v>
      </c>
      <c r="L139" s="179">
        <v>1260694</v>
      </c>
      <c r="M139" s="179">
        <v>2466698</v>
      </c>
      <c r="N139" s="179">
        <v>879654</v>
      </c>
    </row>
    <row r="140" spans="1:14" s="156" customFormat="1" x14ac:dyDescent="0.25">
      <c r="A140" s="156" t="s">
        <v>544</v>
      </c>
      <c r="B140" s="156" t="s">
        <v>172</v>
      </c>
      <c r="C140" s="156" t="s">
        <v>173</v>
      </c>
      <c r="D140" s="156" t="s">
        <v>541</v>
      </c>
      <c r="E140" s="179">
        <v>12267225</v>
      </c>
      <c r="F140" s="179">
        <v>14282225</v>
      </c>
      <c r="G140" s="179">
        <v>8095807</v>
      </c>
      <c r="H140" s="179">
        <v>0</v>
      </c>
      <c r="I140" s="179">
        <v>2672900</v>
      </c>
      <c r="J140" s="179">
        <v>0</v>
      </c>
      <c r="K140" s="179">
        <v>1422100</v>
      </c>
      <c r="L140" s="179">
        <v>1298100</v>
      </c>
      <c r="M140" s="179">
        <v>10187225</v>
      </c>
      <c r="N140" s="179">
        <v>4000807</v>
      </c>
    </row>
    <row r="141" spans="1:14" s="156" customFormat="1" x14ac:dyDescent="0.25">
      <c r="A141" s="156" t="s">
        <v>544</v>
      </c>
      <c r="B141" s="156" t="s">
        <v>309</v>
      </c>
      <c r="C141" s="156" t="s">
        <v>310</v>
      </c>
      <c r="D141" s="156" t="s">
        <v>541</v>
      </c>
      <c r="E141" s="179">
        <v>12267225</v>
      </c>
      <c r="F141" s="179">
        <v>14282225</v>
      </c>
      <c r="G141" s="179">
        <v>8095807</v>
      </c>
      <c r="H141" s="179">
        <v>0</v>
      </c>
      <c r="I141" s="179">
        <v>2672900</v>
      </c>
      <c r="J141" s="179">
        <v>0</v>
      </c>
      <c r="K141" s="179">
        <v>1422100</v>
      </c>
      <c r="L141" s="179">
        <v>1298100</v>
      </c>
      <c r="M141" s="179">
        <v>10187225</v>
      </c>
      <c r="N141" s="179">
        <v>4000807</v>
      </c>
    </row>
    <row r="142" spans="1:14" s="156" customFormat="1" x14ac:dyDescent="0.25">
      <c r="A142" s="156" t="s">
        <v>544</v>
      </c>
      <c r="B142" s="156" t="s">
        <v>178</v>
      </c>
      <c r="C142" s="156" t="s">
        <v>179</v>
      </c>
      <c r="D142" s="156" t="s">
        <v>541</v>
      </c>
      <c r="E142" s="179">
        <v>17894000</v>
      </c>
      <c r="F142" s="179">
        <v>13797000</v>
      </c>
      <c r="G142" s="179">
        <v>6174260</v>
      </c>
      <c r="H142" s="179">
        <v>0</v>
      </c>
      <c r="I142" s="179">
        <v>4050000</v>
      </c>
      <c r="J142" s="179">
        <v>0</v>
      </c>
      <c r="K142" s="179">
        <v>915387.37</v>
      </c>
      <c r="L142" s="179">
        <v>0</v>
      </c>
      <c r="M142" s="179">
        <v>8831612.6300000008</v>
      </c>
      <c r="N142" s="179">
        <v>1208872.6299999999</v>
      </c>
    </row>
    <row r="143" spans="1:14" s="156" customFormat="1" x14ac:dyDescent="0.25">
      <c r="A143" s="156" t="s">
        <v>544</v>
      </c>
      <c r="B143" s="156" t="s">
        <v>182</v>
      </c>
      <c r="C143" s="156" t="s">
        <v>183</v>
      </c>
      <c r="D143" s="156" t="s">
        <v>541</v>
      </c>
      <c r="E143" s="179">
        <v>7000000</v>
      </c>
      <c r="F143" s="179">
        <v>7000000</v>
      </c>
      <c r="G143" s="179">
        <v>2550000</v>
      </c>
      <c r="H143" s="179">
        <v>0</v>
      </c>
      <c r="I143" s="179">
        <v>2550000</v>
      </c>
      <c r="J143" s="179">
        <v>0</v>
      </c>
      <c r="K143" s="179">
        <v>0</v>
      </c>
      <c r="L143" s="179">
        <v>0</v>
      </c>
      <c r="M143" s="179">
        <v>4450000</v>
      </c>
      <c r="N143" s="179">
        <v>0</v>
      </c>
    </row>
    <row r="144" spans="1:14" s="156" customFormat="1" x14ac:dyDescent="0.25">
      <c r="A144" s="156" t="s">
        <v>544</v>
      </c>
      <c r="B144" s="156" t="s">
        <v>186</v>
      </c>
      <c r="C144" s="156" t="s">
        <v>187</v>
      </c>
      <c r="D144" s="156" t="s">
        <v>541</v>
      </c>
      <c r="E144" s="179">
        <v>3000000</v>
      </c>
      <c r="F144" s="179">
        <v>1953000</v>
      </c>
      <c r="G144" s="179">
        <v>760</v>
      </c>
      <c r="H144" s="179">
        <v>0</v>
      </c>
      <c r="I144" s="179">
        <v>0</v>
      </c>
      <c r="J144" s="179">
        <v>0</v>
      </c>
      <c r="K144" s="179">
        <v>0</v>
      </c>
      <c r="L144" s="179">
        <v>0</v>
      </c>
      <c r="M144" s="179">
        <v>1953000</v>
      </c>
      <c r="N144" s="179">
        <v>760</v>
      </c>
    </row>
    <row r="145" spans="1:14" s="156" customFormat="1" x14ac:dyDescent="0.25">
      <c r="A145" s="156" t="s">
        <v>544</v>
      </c>
      <c r="B145" s="156" t="s">
        <v>188</v>
      </c>
      <c r="C145" s="156" t="s">
        <v>189</v>
      </c>
      <c r="D145" s="156" t="s">
        <v>541</v>
      </c>
      <c r="E145" s="179">
        <v>4494000</v>
      </c>
      <c r="F145" s="179">
        <v>4494000</v>
      </c>
      <c r="G145" s="179">
        <v>3623500</v>
      </c>
      <c r="H145" s="179">
        <v>0</v>
      </c>
      <c r="I145" s="179">
        <v>1500000</v>
      </c>
      <c r="J145" s="179">
        <v>0</v>
      </c>
      <c r="K145" s="179">
        <v>915387.37</v>
      </c>
      <c r="L145" s="179">
        <v>0</v>
      </c>
      <c r="M145" s="179">
        <v>2078612.63</v>
      </c>
      <c r="N145" s="179">
        <v>1208112.6299999999</v>
      </c>
    </row>
    <row r="146" spans="1:14" s="156" customFormat="1" x14ac:dyDescent="0.25">
      <c r="A146" s="156" t="s">
        <v>544</v>
      </c>
      <c r="B146" s="156" t="s">
        <v>190</v>
      </c>
      <c r="C146" s="156" t="s">
        <v>191</v>
      </c>
      <c r="D146" s="156" t="s">
        <v>541</v>
      </c>
      <c r="E146" s="179">
        <v>3400000</v>
      </c>
      <c r="F146" s="179">
        <v>350000</v>
      </c>
      <c r="G146" s="179">
        <v>0</v>
      </c>
      <c r="H146" s="179">
        <v>0</v>
      </c>
      <c r="I146" s="179">
        <v>0</v>
      </c>
      <c r="J146" s="179">
        <v>0</v>
      </c>
      <c r="K146" s="179">
        <v>0</v>
      </c>
      <c r="L146" s="179">
        <v>0</v>
      </c>
      <c r="M146" s="179">
        <v>350000</v>
      </c>
      <c r="N146" s="179">
        <v>0</v>
      </c>
    </row>
    <row r="147" spans="1:14" s="156" customFormat="1" x14ac:dyDescent="0.25">
      <c r="A147" s="156" t="s">
        <v>544</v>
      </c>
      <c r="B147" s="156" t="s">
        <v>192</v>
      </c>
      <c r="C147" s="156" t="s">
        <v>193</v>
      </c>
      <c r="D147" s="156" t="s">
        <v>541</v>
      </c>
      <c r="E147" s="179">
        <v>466000</v>
      </c>
      <c r="F147" s="179">
        <v>299000</v>
      </c>
      <c r="G147" s="179">
        <v>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249000</v>
      </c>
      <c r="N147" s="179">
        <v>0</v>
      </c>
    </row>
    <row r="148" spans="1:14" s="156" customFormat="1" x14ac:dyDescent="0.25">
      <c r="A148" s="156" t="s">
        <v>544</v>
      </c>
      <c r="B148" s="156" t="s">
        <v>194</v>
      </c>
      <c r="C148" s="156" t="s">
        <v>195</v>
      </c>
      <c r="D148" s="156" t="s">
        <v>541</v>
      </c>
      <c r="E148" s="179">
        <v>466000</v>
      </c>
      <c r="F148" s="179">
        <v>299000</v>
      </c>
      <c r="G148" s="179">
        <v>50000</v>
      </c>
      <c r="H148" s="179">
        <v>0</v>
      </c>
      <c r="I148" s="179">
        <v>50000</v>
      </c>
      <c r="J148" s="179">
        <v>0</v>
      </c>
      <c r="K148" s="179">
        <v>0</v>
      </c>
      <c r="L148" s="179">
        <v>0</v>
      </c>
      <c r="M148" s="179">
        <v>249000</v>
      </c>
      <c r="N148" s="179">
        <v>0</v>
      </c>
    </row>
    <row r="149" spans="1:14" s="156" customFormat="1" x14ac:dyDescent="0.25">
      <c r="A149" s="156" t="s">
        <v>544</v>
      </c>
      <c r="B149" s="156" t="s">
        <v>196</v>
      </c>
      <c r="C149" s="156" t="s">
        <v>197</v>
      </c>
      <c r="D149" s="156" t="s">
        <v>541</v>
      </c>
      <c r="E149" s="179">
        <v>1800000</v>
      </c>
      <c r="F149" s="179">
        <v>1260000</v>
      </c>
      <c r="G149" s="179">
        <v>609999.85</v>
      </c>
      <c r="H149" s="179">
        <v>0</v>
      </c>
      <c r="I149" s="179">
        <v>600000</v>
      </c>
      <c r="J149" s="179">
        <v>0</v>
      </c>
      <c r="K149" s="179">
        <v>0</v>
      </c>
      <c r="L149" s="179">
        <v>0</v>
      </c>
      <c r="M149" s="179">
        <v>660000</v>
      </c>
      <c r="N149" s="179">
        <v>9999.85</v>
      </c>
    </row>
    <row r="150" spans="1:14" s="156" customFormat="1" x14ac:dyDescent="0.25">
      <c r="A150" s="156" t="s">
        <v>544</v>
      </c>
      <c r="B150" s="156" t="s">
        <v>198</v>
      </c>
      <c r="C150" s="156" t="s">
        <v>199</v>
      </c>
      <c r="D150" s="156" t="s">
        <v>541</v>
      </c>
      <c r="E150" s="179">
        <v>1800000</v>
      </c>
      <c r="F150" s="179">
        <v>1260000</v>
      </c>
      <c r="G150" s="179">
        <v>609999.85</v>
      </c>
      <c r="H150" s="179">
        <v>0</v>
      </c>
      <c r="I150" s="179">
        <v>600000</v>
      </c>
      <c r="J150" s="179">
        <v>0</v>
      </c>
      <c r="K150" s="179">
        <v>0</v>
      </c>
      <c r="L150" s="179">
        <v>0</v>
      </c>
      <c r="M150" s="179">
        <v>660000</v>
      </c>
      <c r="N150" s="179">
        <v>9999.85</v>
      </c>
    </row>
    <row r="151" spans="1:14" s="156" customFormat="1" x14ac:dyDescent="0.25">
      <c r="A151" s="156" t="s">
        <v>544</v>
      </c>
      <c r="B151" s="156" t="s">
        <v>200</v>
      </c>
      <c r="C151" s="156" t="s">
        <v>201</v>
      </c>
      <c r="D151" s="156" t="s">
        <v>541</v>
      </c>
      <c r="E151" s="179">
        <v>57954839</v>
      </c>
      <c r="F151" s="179">
        <v>57954839</v>
      </c>
      <c r="G151" s="179">
        <v>33579714</v>
      </c>
      <c r="H151" s="179">
        <v>3519774</v>
      </c>
      <c r="I151" s="179">
        <v>5598720.2000000002</v>
      </c>
      <c r="J151" s="179">
        <v>311100.45</v>
      </c>
      <c r="K151" s="179">
        <v>9358287.3599999994</v>
      </c>
      <c r="L151" s="179">
        <v>7871713.7999999998</v>
      </c>
      <c r="M151" s="179">
        <v>39166956.990000002</v>
      </c>
      <c r="N151" s="179">
        <v>14791831.99</v>
      </c>
    </row>
    <row r="152" spans="1:14" s="156" customFormat="1" x14ac:dyDescent="0.25">
      <c r="A152" s="156" t="s">
        <v>544</v>
      </c>
      <c r="B152" s="156" t="s">
        <v>202</v>
      </c>
      <c r="C152" s="156" t="s">
        <v>203</v>
      </c>
      <c r="D152" s="156" t="s">
        <v>541</v>
      </c>
      <c r="E152" s="179">
        <v>17854839</v>
      </c>
      <c r="F152" s="179">
        <v>17803839</v>
      </c>
      <c r="G152" s="179">
        <v>9198210</v>
      </c>
      <c r="H152" s="179">
        <v>1617000</v>
      </c>
      <c r="I152" s="179">
        <v>2455440</v>
      </c>
      <c r="J152" s="179">
        <v>0</v>
      </c>
      <c r="K152" s="179">
        <v>1325375</v>
      </c>
      <c r="L152" s="179">
        <v>1325375</v>
      </c>
      <c r="M152" s="179">
        <v>12406024</v>
      </c>
      <c r="N152" s="179">
        <v>3800395</v>
      </c>
    </row>
    <row r="153" spans="1:14" s="156" customFormat="1" x14ac:dyDescent="0.25">
      <c r="A153" s="156" t="s">
        <v>544</v>
      </c>
      <c r="B153" s="156" t="s">
        <v>204</v>
      </c>
      <c r="C153" s="156" t="s">
        <v>205</v>
      </c>
      <c r="D153" s="156" t="s">
        <v>541</v>
      </c>
      <c r="E153" s="179">
        <v>9354839</v>
      </c>
      <c r="F153" s="179">
        <v>9354839</v>
      </c>
      <c r="G153" s="179">
        <v>3079210</v>
      </c>
      <c r="H153" s="179">
        <v>0</v>
      </c>
      <c r="I153" s="179">
        <v>953830</v>
      </c>
      <c r="J153" s="179">
        <v>0</v>
      </c>
      <c r="K153" s="179">
        <v>1325375</v>
      </c>
      <c r="L153" s="179">
        <v>1325375</v>
      </c>
      <c r="M153" s="179">
        <v>7075634</v>
      </c>
      <c r="N153" s="179">
        <v>800005</v>
      </c>
    </row>
    <row r="154" spans="1:14" s="156" customFormat="1" x14ac:dyDescent="0.25">
      <c r="A154" s="156" t="s">
        <v>544</v>
      </c>
      <c r="B154" s="156" t="s">
        <v>208</v>
      </c>
      <c r="C154" s="156" t="s">
        <v>209</v>
      </c>
      <c r="D154" s="156" t="s">
        <v>541</v>
      </c>
      <c r="E154" s="179">
        <v>8500000</v>
      </c>
      <c r="F154" s="179">
        <v>8449000</v>
      </c>
      <c r="G154" s="179">
        <v>6119000</v>
      </c>
      <c r="H154" s="179">
        <v>1617000</v>
      </c>
      <c r="I154" s="179">
        <v>1501610</v>
      </c>
      <c r="J154" s="179">
        <v>0</v>
      </c>
      <c r="K154" s="179">
        <v>0</v>
      </c>
      <c r="L154" s="179">
        <v>0</v>
      </c>
      <c r="M154" s="179">
        <v>5330390</v>
      </c>
      <c r="N154" s="179">
        <v>3000390</v>
      </c>
    </row>
    <row r="155" spans="1:14" s="156" customFormat="1" x14ac:dyDescent="0.25">
      <c r="A155" s="156" t="s">
        <v>544</v>
      </c>
      <c r="B155" s="156" t="s">
        <v>212</v>
      </c>
      <c r="C155" s="156" t="s">
        <v>213</v>
      </c>
      <c r="D155" s="156" t="s">
        <v>541</v>
      </c>
      <c r="E155" s="179">
        <v>2460000</v>
      </c>
      <c r="F155" s="179">
        <v>5911000</v>
      </c>
      <c r="G155" s="179">
        <v>2151000</v>
      </c>
      <c r="H155" s="179">
        <v>0</v>
      </c>
      <c r="I155" s="179">
        <v>1156976.7</v>
      </c>
      <c r="J155" s="179">
        <v>0</v>
      </c>
      <c r="K155" s="179">
        <v>931082</v>
      </c>
      <c r="L155" s="179">
        <v>353217</v>
      </c>
      <c r="M155" s="179">
        <v>3822941.3</v>
      </c>
      <c r="N155" s="179">
        <v>62941.3</v>
      </c>
    </row>
    <row r="156" spans="1:14" s="156" customFormat="1" x14ac:dyDescent="0.25">
      <c r="A156" s="156" t="s">
        <v>544</v>
      </c>
      <c r="B156" s="156" t="s">
        <v>214</v>
      </c>
      <c r="C156" s="156" t="s">
        <v>215</v>
      </c>
      <c r="D156" s="156" t="s">
        <v>541</v>
      </c>
      <c r="E156" s="179">
        <v>2460000</v>
      </c>
      <c r="F156" s="179">
        <v>5911000</v>
      </c>
      <c r="G156" s="179">
        <v>2151000</v>
      </c>
      <c r="H156" s="179">
        <v>0</v>
      </c>
      <c r="I156" s="179">
        <v>1156976.7</v>
      </c>
      <c r="J156" s="179">
        <v>0</v>
      </c>
      <c r="K156" s="179">
        <v>931082</v>
      </c>
      <c r="L156" s="179">
        <v>353217</v>
      </c>
      <c r="M156" s="179">
        <v>3822941.3</v>
      </c>
      <c r="N156" s="179">
        <v>62941.3</v>
      </c>
    </row>
    <row r="157" spans="1:14" s="156" customFormat="1" x14ac:dyDescent="0.25">
      <c r="A157" s="156" t="s">
        <v>544</v>
      </c>
      <c r="B157" s="156" t="s">
        <v>216</v>
      </c>
      <c r="C157" s="156" t="s">
        <v>217</v>
      </c>
      <c r="D157" s="156" t="s">
        <v>541</v>
      </c>
      <c r="E157" s="179">
        <v>2000000</v>
      </c>
      <c r="F157" s="179">
        <v>1950000</v>
      </c>
      <c r="G157" s="179">
        <v>1348000</v>
      </c>
      <c r="H157" s="179">
        <v>0</v>
      </c>
      <c r="I157" s="179">
        <v>374132.35</v>
      </c>
      <c r="J157" s="179">
        <v>0</v>
      </c>
      <c r="K157" s="179">
        <v>373368.18</v>
      </c>
      <c r="L157" s="179">
        <v>373368.18</v>
      </c>
      <c r="M157" s="179">
        <v>1202499.47</v>
      </c>
      <c r="N157" s="179">
        <v>600499.47</v>
      </c>
    </row>
    <row r="158" spans="1:14" s="156" customFormat="1" x14ac:dyDescent="0.25">
      <c r="A158" s="156" t="s">
        <v>544</v>
      </c>
      <c r="B158" s="156" t="s">
        <v>220</v>
      </c>
      <c r="C158" s="156" t="s">
        <v>221</v>
      </c>
      <c r="D158" s="156" t="s">
        <v>541</v>
      </c>
      <c r="E158" s="179">
        <v>2000000</v>
      </c>
      <c r="F158" s="179">
        <v>1950000</v>
      </c>
      <c r="G158" s="179">
        <v>1348000</v>
      </c>
      <c r="H158" s="179">
        <v>0</v>
      </c>
      <c r="I158" s="179">
        <v>374132.35</v>
      </c>
      <c r="J158" s="179">
        <v>0</v>
      </c>
      <c r="K158" s="179">
        <v>373368.18</v>
      </c>
      <c r="L158" s="179">
        <v>373368.18</v>
      </c>
      <c r="M158" s="179">
        <v>1202499.47</v>
      </c>
      <c r="N158" s="179">
        <v>600499.47</v>
      </c>
    </row>
    <row r="159" spans="1:14" s="156" customFormat="1" x14ac:dyDescent="0.25">
      <c r="A159" s="156" t="s">
        <v>544</v>
      </c>
      <c r="B159" s="156" t="s">
        <v>228</v>
      </c>
      <c r="C159" s="156" t="s">
        <v>229</v>
      </c>
      <c r="D159" s="156" t="s">
        <v>541</v>
      </c>
      <c r="E159" s="179">
        <v>6710000</v>
      </c>
      <c r="F159" s="179">
        <v>3860000</v>
      </c>
      <c r="G159" s="179">
        <v>1002132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3860000</v>
      </c>
      <c r="N159" s="179">
        <v>1002132</v>
      </c>
    </row>
    <row r="160" spans="1:14" s="156" customFormat="1" x14ac:dyDescent="0.25">
      <c r="A160" s="156" t="s">
        <v>544</v>
      </c>
      <c r="B160" s="156" t="s">
        <v>230</v>
      </c>
      <c r="C160" s="156" t="s">
        <v>231</v>
      </c>
      <c r="D160" s="156" t="s">
        <v>541</v>
      </c>
      <c r="E160" s="179">
        <v>3710000</v>
      </c>
      <c r="F160" s="179">
        <v>2210000</v>
      </c>
      <c r="G160" s="179">
        <v>800000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2210000</v>
      </c>
      <c r="N160" s="179">
        <v>800000</v>
      </c>
    </row>
    <row r="161" spans="1:14" s="156" customFormat="1" x14ac:dyDescent="0.25">
      <c r="A161" s="156" t="s">
        <v>544</v>
      </c>
      <c r="B161" s="156" t="s">
        <v>232</v>
      </c>
      <c r="C161" s="156" t="s">
        <v>233</v>
      </c>
      <c r="D161" s="156" t="s">
        <v>541</v>
      </c>
      <c r="E161" s="179">
        <v>3000000</v>
      </c>
      <c r="F161" s="179">
        <v>1650000</v>
      </c>
      <c r="G161" s="179">
        <v>202132</v>
      </c>
      <c r="H161" s="179">
        <v>0</v>
      </c>
      <c r="I161" s="179">
        <v>0</v>
      </c>
      <c r="J161" s="179">
        <v>0</v>
      </c>
      <c r="K161" s="179">
        <v>0</v>
      </c>
      <c r="L161" s="179">
        <v>0</v>
      </c>
      <c r="M161" s="179">
        <v>1650000</v>
      </c>
      <c r="N161" s="179">
        <v>202132</v>
      </c>
    </row>
    <row r="162" spans="1:14" s="156" customFormat="1" x14ac:dyDescent="0.25">
      <c r="A162" s="156" t="s">
        <v>544</v>
      </c>
      <c r="B162" s="156" t="s">
        <v>234</v>
      </c>
      <c r="C162" s="156" t="s">
        <v>601</v>
      </c>
      <c r="D162" s="156" t="s">
        <v>541</v>
      </c>
      <c r="E162" s="179">
        <v>28930000</v>
      </c>
      <c r="F162" s="179">
        <v>28430000</v>
      </c>
      <c r="G162" s="179">
        <v>19880372</v>
      </c>
      <c r="H162" s="179">
        <v>1902774</v>
      </c>
      <c r="I162" s="179">
        <v>1612171.15</v>
      </c>
      <c r="J162" s="179">
        <v>311100.45</v>
      </c>
      <c r="K162" s="179">
        <v>6728462.1799999997</v>
      </c>
      <c r="L162" s="179">
        <v>5819753.6200000001</v>
      </c>
      <c r="M162" s="179">
        <v>17875492.219999999</v>
      </c>
      <c r="N162" s="179">
        <v>9325864.2200000007</v>
      </c>
    </row>
    <row r="163" spans="1:14" s="156" customFormat="1" x14ac:dyDescent="0.25">
      <c r="A163" s="156" t="s">
        <v>544</v>
      </c>
      <c r="B163" s="156" t="s">
        <v>235</v>
      </c>
      <c r="C163" s="156" t="s">
        <v>236</v>
      </c>
      <c r="D163" s="156" t="s">
        <v>541</v>
      </c>
      <c r="E163" s="179">
        <v>8000000</v>
      </c>
      <c r="F163" s="179">
        <v>7500000</v>
      </c>
      <c r="G163" s="179">
        <v>5000000</v>
      </c>
      <c r="H163" s="179">
        <v>0</v>
      </c>
      <c r="I163" s="179">
        <v>741237.64</v>
      </c>
      <c r="J163" s="179">
        <v>294295.2</v>
      </c>
      <c r="K163" s="179">
        <v>1963569.33</v>
      </c>
      <c r="L163" s="179">
        <v>1591410.77</v>
      </c>
      <c r="M163" s="179">
        <v>4500897.83</v>
      </c>
      <c r="N163" s="179">
        <v>2000897.83</v>
      </c>
    </row>
    <row r="164" spans="1:14" s="156" customFormat="1" x14ac:dyDescent="0.25">
      <c r="A164" s="156" t="s">
        <v>544</v>
      </c>
      <c r="B164" s="156" t="s">
        <v>239</v>
      </c>
      <c r="C164" s="156" t="s">
        <v>240</v>
      </c>
      <c r="D164" s="156" t="s">
        <v>541</v>
      </c>
      <c r="E164" s="179">
        <v>8000000</v>
      </c>
      <c r="F164" s="179">
        <v>7500000</v>
      </c>
      <c r="G164" s="179">
        <v>4800000</v>
      </c>
      <c r="H164" s="179">
        <v>0</v>
      </c>
      <c r="I164" s="179">
        <v>499816.51</v>
      </c>
      <c r="J164" s="179">
        <v>16805.25</v>
      </c>
      <c r="K164" s="179">
        <v>1961916.65</v>
      </c>
      <c r="L164" s="179">
        <v>1961916.65</v>
      </c>
      <c r="M164" s="179">
        <v>5021461.59</v>
      </c>
      <c r="N164" s="179">
        <v>2321461.59</v>
      </c>
    </row>
    <row r="165" spans="1:14" s="156" customFormat="1" x14ac:dyDescent="0.25">
      <c r="A165" s="156" t="s">
        <v>544</v>
      </c>
      <c r="B165" s="156" t="s">
        <v>243</v>
      </c>
      <c r="C165" s="156" t="s">
        <v>244</v>
      </c>
      <c r="D165" s="156" t="s">
        <v>541</v>
      </c>
      <c r="E165" s="179">
        <v>4930000</v>
      </c>
      <c r="F165" s="179">
        <v>4430000</v>
      </c>
      <c r="G165" s="179">
        <v>1764372</v>
      </c>
      <c r="H165" s="179">
        <v>572774</v>
      </c>
      <c r="I165" s="179">
        <v>371117</v>
      </c>
      <c r="J165" s="179">
        <v>0</v>
      </c>
      <c r="K165" s="179">
        <v>819226.2</v>
      </c>
      <c r="L165" s="179">
        <v>605026.19999999995</v>
      </c>
      <c r="M165" s="179">
        <v>2666882.7999999998</v>
      </c>
      <c r="N165" s="179">
        <v>1254.8</v>
      </c>
    </row>
    <row r="166" spans="1:14" s="156" customFormat="1" x14ac:dyDescent="0.25">
      <c r="A166" s="156" t="s">
        <v>544</v>
      </c>
      <c r="B166" s="156" t="s">
        <v>249</v>
      </c>
      <c r="C166" s="156" t="s">
        <v>250</v>
      </c>
      <c r="D166" s="156" t="s">
        <v>541</v>
      </c>
      <c r="E166" s="179">
        <v>8000000</v>
      </c>
      <c r="F166" s="179">
        <v>9000000</v>
      </c>
      <c r="G166" s="179">
        <v>8316000</v>
      </c>
      <c r="H166" s="179">
        <v>1330000</v>
      </c>
      <c r="I166" s="179">
        <v>0</v>
      </c>
      <c r="J166" s="179">
        <v>0</v>
      </c>
      <c r="K166" s="179">
        <v>1983750</v>
      </c>
      <c r="L166" s="179">
        <v>1661400</v>
      </c>
      <c r="M166" s="179">
        <v>5686250</v>
      </c>
      <c r="N166" s="179">
        <v>5002250</v>
      </c>
    </row>
    <row r="167" spans="1:14" s="156" customFormat="1" x14ac:dyDescent="0.25">
      <c r="A167" s="156" t="s">
        <v>544</v>
      </c>
      <c r="B167" s="156" t="s">
        <v>251</v>
      </c>
      <c r="C167" s="156" t="s">
        <v>252</v>
      </c>
      <c r="D167" s="156" t="s">
        <v>541</v>
      </c>
      <c r="E167" s="179">
        <v>43960000</v>
      </c>
      <c r="F167" s="179">
        <v>43960000</v>
      </c>
      <c r="G167" s="179">
        <v>36960000</v>
      </c>
      <c r="H167" s="179">
        <v>0</v>
      </c>
      <c r="I167" s="179">
        <v>6230433</v>
      </c>
      <c r="J167" s="179">
        <v>0</v>
      </c>
      <c r="K167" s="179">
        <v>25212128.350000001</v>
      </c>
      <c r="L167" s="179">
        <v>25212128.350000001</v>
      </c>
      <c r="M167" s="179">
        <v>12517438.65</v>
      </c>
      <c r="N167" s="179">
        <v>5517438.6500000004</v>
      </c>
    </row>
    <row r="168" spans="1:14" s="156" customFormat="1" x14ac:dyDescent="0.25">
      <c r="A168" s="156" t="s">
        <v>544</v>
      </c>
      <c r="B168" s="156" t="s">
        <v>253</v>
      </c>
      <c r="C168" s="156" t="s">
        <v>254</v>
      </c>
      <c r="D168" s="156" t="s">
        <v>541</v>
      </c>
      <c r="E168" s="179">
        <v>11142000</v>
      </c>
      <c r="F168" s="179">
        <v>11142000</v>
      </c>
      <c r="G168" s="179">
        <v>11142000</v>
      </c>
      <c r="H168" s="179">
        <v>0</v>
      </c>
      <c r="I168" s="179">
        <v>6230433</v>
      </c>
      <c r="J168" s="179">
        <v>0</v>
      </c>
      <c r="K168" s="179">
        <v>4911567</v>
      </c>
      <c r="L168" s="179">
        <v>4911567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311</v>
      </c>
      <c r="C169" s="156" t="s">
        <v>602</v>
      </c>
      <c r="D169" s="156" t="s">
        <v>541</v>
      </c>
      <c r="E169" s="179">
        <v>9273000</v>
      </c>
      <c r="F169" s="179">
        <v>9273000</v>
      </c>
      <c r="G169" s="179">
        <v>9273000</v>
      </c>
      <c r="H169" s="179">
        <v>0</v>
      </c>
      <c r="I169" s="179">
        <v>5185520</v>
      </c>
      <c r="J169" s="179">
        <v>0</v>
      </c>
      <c r="K169" s="179">
        <v>4087480</v>
      </c>
      <c r="L169" s="179">
        <v>4087480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312</v>
      </c>
      <c r="C170" s="156" t="s">
        <v>603</v>
      </c>
      <c r="D170" s="156" t="s">
        <v>541</v>
      </c>
      <c r="E170" s="179">
        <v>1869000</v>
      </c>
      <c r="F170" s="179">
        <v>1869000</v>
      </c>
      <c r="G170" s="179">
        <v>1869000</v>
      </c>
      <c r="H170" s="179">
        <v>0</v>
      </c>
      <c r="I170" s="179">
        <v>1044913</v>
      </c>
      <c r="J170" s="179">
        <v>0</v>
      </c>
      <c r="K170" s="179">
        <v>824087</v>
      </c>
      <c r="L170" s="179">
        <v>824087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261</v>
      </c>
      <c r="C171" s="156" t="s">
        <v>262</v>
      </c>
      <c r="D171" s="156" t="s">
        <v>541</v>
      </c>
      <c r="E171" s="179">
        <v>24818000</v>
      </c>
      <c r="F171" s="179">
        <v>26818000</v>
      </c>
      <c r="G171" s="179">
        <v>25818000</v>
      </c>
      <c r="H171" s="179">
        <v>0</v>
      </c>
      <c r="I171" s="179">
        <v>0</v>
      </c>
      <c r="J171" s="179">
        <v>0</v>
      </c>
      <c r="K171" s="179">
        <v>20300561.350000001</v>
      </c>
      <c r="L171" s="179">
        <v>20300561.350000001</v>
      </c>
      <c r="M171" s="179">
        <v>6517438.6500000004</v>
      </c>
      <c r="N171" s="179">
        <v>5517438.6500000004</v>
      </c>
    </row>
    <row r="172" spans="1:14" s="156" customFormat="1" x14ac:dyDescent="0.25">
      <c r="A172" s="156" t="s">
        <v>544</v>
      </c>
      <c r="B172" s="156" t="s">
        <v>263</v>
      </c>
      <c r="C172" s="156" t="s">
        <v>264</v>
      </c>
      <c r="D172" s="156" t="s">
        <v>541</v>
      </c>
      <c r="E172" s="179">
        <v>17000000</v>
      </c>
      <c r="F172" s="179">
        <v>19000000</v>
      </c>
      <c r="G172" s="179">
        <v>18000000</v>
      </c>
      <c r="H172" s="179">
        <v>0</v>
      </c>
      <c r="I172" s="179">
        <v>0</v>
      </c>
      <c r="J172" s="179">
        <v>0</v>
      </c>
      <c r="K172" s="179">
        <v>16932874.350000001</v>
      </c>
      <c r="L172" s="179">
        <v>16932874.350000001</v>
      </c>
      <c r="M172" s="179">
        <v>2067125.65</v>
      </c>
      <c r="N172" s="179">
        <v>1067125.6499999999</v>
      </c>
    </row>
    <row r="173" spans="1:14" s="156" customFormat="1" x14ac:dyDescent="0.25">
      <c r="A173" s="156" t="s">
        <v>544</v>
      </c>
      <c r="B173" s="156" t="s">
        <v>265</v>
      </c>
      <c r="C173" s="156" t="s">
        <v>266</v>
      </c>
      <c r="D173" s="156" t="s">
        <v>541</v>
      </c>
      <c r="E173" s="179">
        <v>7818000</v>
      </c>
      <c r="F173" s="179">
        <v>7818000</v>
      </c>
      <c r="G173" s="179">
        <v>7818000</v>
      </c>
      <c r="H173" s="179">
        <v>0</v>
      </c>
      <c r="I173" s="179">
        <v>0</v>
      </c>
      <c r="J173" s="179">
        <v>0</v>
      </c>
      <c r="K173" s="179">
        <v>3367687</v>
      </c>
      <c r="L173" s="179">
        <v>3367687</v>
      </c>
      <c r="M173" s="179">
        <v>4450313</v>
      </c>
      <c r="N173" s="179">
        <v>4450313</v>
      </c>
    </row>
    <row r="174" spans="1:14" s="156" customFormat="1" x14ac:dyDescent="0.25">
      <c r="A174" s="156" t="s">
        <v>544</v>
      </c>
      <c r="B174" s="156" t="s">
        <v>267</v>
      </c>
      <c r="C174" s="156" t="s">
        <v>268</v>
      </c>
      <c r="D174" s="156" t="s">
        <v>541</v>
      </c>
      <c r="E174" s="179">
        <v>8000000</v>
      </c>
      <c r="F174" s="179">
        <v>6000000</v>
      </c>
      <c r="G174" s="179">
        <v>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6000000</v>
      </c>
      <c r="N174" s="179">
        <v>0</v>
      </c>
    </row>
    <row r="175" spans="1:14" s="156" customFormat="1" x14ac:dyDescent="0.25">
      <c r="A175" s="156" t="s">
        <v>544</v>
      </c>
      <c r="B175" s="156" t="s">
        <v>269</v>
      </c>
      <c r="C175" s="156" t="s">
        <v>270</v>
      </c>
      <c r="D175" s="156" t="s">
        <v>541</v>
      </c>
      <c r="E175" s="179">
        <v>8000000</v>
      </c>
      <c r="F175" s="179">
        <v>6000000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6000000</v>
      </c>
      <c r="N175" s="179">
        <v>0</v>
      </c>
    </row>
    <row r="176" spans="1:14" s="156" customFormat="1" x14ac:dyDescent="0.25">
      <c r="A176" s="156" t="s">
        <v>544</v>
      </c>
      <c r="B176" s="156" t="s">
        <v>279</v>
      </c>
      <c r="C176" s="156" t="s">
        <v>280</v>
      </c>
      <c r="D176" s="156" t="s">
        <v>543</v>
      </c>
      <c r="E176" s="179">
        <v>29500000</v>
      </c>
      <c r="F176" s="179">
        <v>29500000</v>
      </c>
      <c r="G176" s="179">
        <v>22791000</v>
      </c>
      <c r="H176" s="179">
        <v>4424280</v>
      </c>
      <c r="I176" s="179">
        <v>0</v>
      </c>
      <c r="J176" s="179">
        <v>0</v>
      </c>
      <c r="K176" s="179">
        <v>5647191</v>
      </c>
      <c r="L176" s="179">
        <v>5647191</v>
      </c>
      <c r="M176" s="179">
        <v>19428529</v>
      </c>
      <c r="N176" s="179">
        <v>12719529</v>
      </c>
    </row>
    <row r="177" spans="1:14" s="156" customFormat="1" x14ac:dyDescent="0.25">
      <c r="A177" s="156" t="s">
        <v>544</v>
      </c>
      <c r="B177" s="156" t="s">
        <v>281</v>
      </c>
      <c r="C177" s="156" t="s">
        <v>282</v>
      </c>
      <c r="D177" s="156" t="s">
        <v>543</v>
      </c>
      <c r="E177" s="179">
        <v>29500000</v>
      </c>
      <c r="F177" s="179">
        <v>29500000</v>
      </c>
      <c r="G177" s="179">
        <v>22791000</v>
      </c>
      <c r="H177" s="179">
        <v>4424280</v>
      </c>
      <c r="I177" s="179">
        <v>0</v>
      </c>
      <c r="J177" s="179">
        <v>0</v>
      </c>
      <c r="K177" s="179">
        <v>5647191</v>
      </c>
      <c r="L177" s="179">
        <v>5647191</v>
      </c>
      <c r="M177" s="179">
        <v>19428529</v>
      </c>
      <c r="N177" s="179">
        <v>12719529</v>
      </c>
    </row>
    <row r="178" spans="1:14" s="156" customFormat="1" x14ac:dyDescent="0.25">
      <c r="A178" s="156" t="s">
        <v>544</v>
      </c>
      <c r="B178" s="156" t="s">
        <v>285</v>
      </c>
      <c r="C178" s="156" t="s">
        <v>286</v>
      </c>
      <c r="D178" s="156" t="s">
        <v>543</v>
      </c>
      <c r="E178" s="179">
        <v>4700000</v>
      </c>
      <c r="F178" s="179">
        <v>6950000</v>
      </c>
      <c r="G178" s="179">
        <v>6445000</v>
      </c>
      <c r="H178" s="179">
        <v>689000</v>
      </c>
      <c r="I178" s="179">
        <v>0</v>
      </c>
      <c r="J178" s="179">
        <v>0</v>
      </c>
      <c r="K178" s="179">
        <v>777120</v>
      </c>
      <c r="L178" s="179">
        <v>777120</v>
      </c>
      <c r="M178" s="179">
        <v>5483880</v>
      </c>
      <c r="N178" s="179">
        <v>4978880</v>
      </c>
    </row>
    <row r="179" spans="1:14" s="156" customFormat="1" x14ac:dyDescent="0.25">
      <c r="A179" s="156" t="s">
        <v>544</v>
      </c>
      <c r="B179" s="156" t="s">
        <v>287</v>
      </c>
      <c r="C179" s="156" t="s">
        <v>288</v>
      </c>
      <c r="D179" s="156" t="s">
        <v>543</v>
      </c>
      <c r="E179" s="179">
        <v>3800000</v>
      </c>
      <c r="F179" s="179">
        <v>3300000</v>
      </c>
      <c r="G179" s="179">
        <v>914000</v>
      </c>
      <c r="H179" s="179">
        <v>0</v>
      </c>
      <c r="I179" s="179">
        <v>0</v>
      </c>
      <c r="J179" s="179">
        <v>0</v>
      </c>
      <c r="K179" s="179">
        <v>913570</v>
      </c>
      <c r="L179" s="179">
        <v>913570</v>
      </c>
      <c r="M179" s="179">
        <v>2386430</v>
      </c>
      <c r="N179" s="179">
        <v>430</v>
      </c>
    </row>
    <row r="180" spans="1:14" s="156" customFormat="1" x14ac:dyDescent="0.25">
      <c r="A180" s="156" t="s">
        <v>544</v>
      </c>
      <c r="B180" s="156" t="s">
        <v>289</v>
      </c>
      <c r="C180" s="156" t="s">
        <v>290</v>
      </c>
      <c r="D180" s="156" t="s">
        <v>543</v>
      </c>
      <c r="E180" s="179">
        <v>1000000</v>
      </c>
      <c r="F180" s="179">
        <v>250000</v>
      </c>
      <c r="G180" s="179">
        <v>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250000</v>
      </c>
      <c r="N180" s="179">
        <v>0</v>
      </c>
    </row>
    <row r="181" spans="1:14" s="156" customFormat="1" x14ac:dyDescent="0.25">
      <c r="A181" s="156" t="s">
        <v>544</v>
      </c>
      <c r="B181" s="156" t="s">
        <v>293</v>
      </c>
      <c r="C181" s="156" t="s">
        <v>294</v>
      </c>
      <c r="D181" s="156" t="s">
        <v>543</v>
      </c>
      <c r="E181" s="179">
        <v>16000000</v>
      </c>
      <c r="F181" s="179">
        <v>16000000</v>
      </c>
      <c r="G181" s="179">
        <v>14957000</v>
      </c>
      <c r="H181" s="179">
        <v>3266280</v>
      </c>
      <c r="I181" s="179">
        <v>0</v>
      </c>
      <c r="J181" s="179">
        <v>0</v>
      </c>
      <c r="K181" s="179">
        <v>3956501</v>
      </c>
      <c r="L181" s="179">
        <v>3956501</v>
      </c>
      <c r="M181" s="179">
        <v>8777219</v>
      </c>
      <c r="N181" s="179">
        <v>7734219</v>
      </c>
    </row>
    <row r="182" spans="1:14" s="156" customFormat="1" x14ac:dyDescent="0.25">
      <c r="A182" s="156" t="s">
        <v>544</v>
      </c>
      <c r="B182" s="156" t="s">
        <v>295</v>
      </c>
      <c r="C182" s="156" t="s">
        <v>296</v>
      </c>
      <c r="D182" s="156" t="s">
        <v>543</v>
      </c>
      <c r="E182" s="179">
        <v>4000000</v>
      </c>
      <c r="F182" s="179">
        <v>3000000</v>
      </c>
      <c r="G182" s="179">
        <v>475000</v>
      </c>
      <c r="H182" s="179">
        <v>469000</v>
      </c>
      <c r="I182" s="179">
        <v>0</v>
      </c>
      <c r="J182" s="179">
        <v>0</v>
      </c>
      <c r="K182" s="179">
        <v>0</v>
      </c>
      <c r="L182" s="179">
        <v>0</v>
      </c>
      <c r="M182" s="179">
        <v>2531000</v>
      </c>
      <c r="N182" s="179">
        <v>6000</v>
      </c>
    </row>
    <row r="183" spans="1:14" s="156" customFormat="1" x14ac:dyDescent="0.25">
      <c r="A183" s="156">
        <v>214781</v>
      </c>
      <c r="B183" s="156" t="s">
        <v>587</v>
      </c>
      <c r="C183" s="156" t="s">
        <v>587</v>
      </c>
      <c r="D183" s="156" t="s">
        <v>541</v>
      </c>
      <c r="E183" s="179">
        <v>11325587195</v>
      </c>
      <c r="F183" s="179">
        <v>11325587195</v>
      </c>
      <c r="G183" s="179">
        <v>10999708645</v>
      </c>
      <c r="H183" s="179">
        <v>1351122.71</v>
      </c>
      <c r="I183" s="179">
        <v>958764652.22000003</v>
      </c>
      <c r="J183" s="179">
        <v>8583941.0099999998</v>
      </c>
      <c r="K183" s="179">
        <v>4782080452.3500004</v>
      </c>
      <c r="L183" s="179">
        <v>4761897175.9300003</v>
      </c>
      <c r="M183" s="179">
        <v>5574807026.71</v>
      </c>
      <c r="N183" s="179">
        <v>5248928476.71</v>
      </c>
    </row>
    <row r="184" spans="1:14" s="156" customFormat="1" x14ac:dyDescent="0.25">
      <c r="A184" s="156" t="s">
        <v>545</v>
      </c>
      <c r="B184" s="156" t="s">
        <v>92</v>
      </c>
      <c r="C184" s="156" t="s">
        <v>93</v>
      </c>
      <c r="D184" s="156" t="s">
        <v>541</v>
      </c>
      <c r="E184" s="179">
        <v>9908319000</v>
      </c>
      <c r="F184" s="179">
        <v>9899719000</v>
      </c>
      <c r="G184" s="179">
        <v>9899719000</v>
      </c>
      <c r="H184" s="179">
        <v>0</v>
      </c>
      <c r="I184" s="179">
        <v>810073356</v>
      </c>
      <c r="J184" s="179">
        <v>0</v>
      </c>
      <c r="K184" s="179">
        <v>4297079309.75</v>
      </c>
      <c r="L184" s="179">
        <v>4297079309.75</v>
      </c>
      <c r="M184" s="179">
        <v>4792566334.25</v>
      </c>
      <c r="N184" s="179">
        <v>4792566334.25</v>
      </c>
    </row>
    <row r="185" spans="1:14" s="156" customFormat="1" x14ac:dyDescent="0.25">
      <c r="A185" s="156" t="s">
        <v>545</v>
      </c>
      <c r="B185" s="156" t="s">
        <v>94</v>
      </c>
      <c r="C185" s="156" t="s">
        <v>95</v>
      </c>
      <c r="D185" s="156" t="s">
        <v>541</v>
      </c>
      <c r="E185" s="179">
        <v>3418584000</v>
      </c>
      <c r="F185" s="179">
        <v>3418584000</v>
      </c>
      <c r="G185" s="179">
        <v>3418584000</v>
      </c>
      <c r="H185" s="179">
        <v>0</v>
      </c>
      <c r="I185" s="179">
        <v>764487.75</v>
      </c>
      <c r="J185" s="179">
        <v>0</v>
      </c>
      <c r="K185" s="179">
        <v>1481650868.95</v>
      </c>
      <c r="L185" s="179">
        <v>1481650868.95</v>
      </c>
      <c r="M185" s="179">
        <v>1936168643.3</v>
      </c>
      <c r="N185" s="179">
        <v>1936168643.3</v>
      </c>
    </row>
    <row r="186" spans="1:14" s="156" customFormat="1" x14ac:dyDescent="0.25">
      <c r="A186" s="156" t="s">
        <v>545</v>
      </c>
      <c r="B186" s="156" t="s">
        <v>96</v>
      </c>
      <c r="C186" s="156" t="s">
        <v>97</v>
      </c>
      <c r="D186" s="156" t="s">
        <v>541</v>
      </c>
      <c r="E186" s="179">
        <v>3413584000</v>
      </c>
      <c r="F186" s="179">
        <v>3413584000</v>
      </c>
      <c r="G186" s="179">
        <v>3413584000</v>
      </c>
      <c r="H186" s="179">
        <v>0</v>
      </c>
      <c r="I186" s="179">
        <v>764487.75</v>
      </c>
      <c r="J186" s="179">
        <v>0</v>
      </c>
      <c r="K186" s="179">
        <v>1481650868.95</v>
      </c>
      <c r="L186" s="179">
        <v>1481650868.95</v>
      </c>
      <c r="M186" s="179">
        <v>1931168643.3</v>
      </c>
      <c r="N186" s="179">
        <v>1931168643.3</v>
      </c>
    </row>
    <row r="187" spans="1:14" s="156" customFormat="1" x14ac:dyDescent="0.25">
      <c r="A187" s="156" t="s">
        <v>545</v>
      </c>
      <c r="B187" s="156" t="s">
        <v>313</v>
      </c>
      <c r="C187" s="156" t="s">
        <v>314</v>
      </c>
      <c r="D187" s="156" t="s">
        <v>541</v>
      </c>
      <c r="E187" s="179">
        <v>5000000</v>
      </c>
      <c r="F187" s="179">
        <v>5000000</v>
      </c>
      <c r="G187" s="179">
        <v>5000000</v>
      </c>
      <c r="H187" s="179">
        <v>0</v>
      </c>
      <c r="I187" s="179">
        <v>0</v>
      </c>
      <c r="J187" s="179">
        <v>0</v>
      </c>
      <c r="K187" s="179">
        <v>0</v>
      </c>
      <c r="L187" s="179">
        <v>0</v>
      </c>
      <c r="M187" s="179">
        <v>5000000</v>
      </c>
      <c r="N187" s="179">
        <v>5000000</v>
      </c>
    </row>
    <row r="188" spans="1:14" s="156" customFormat="1" x14ac:dyDescent="0.25">
      <c r="A188" s="156" t="s">
        <v>545</v>
      </c>
      <c r="B188" s="156" t="s">
        <v>98</v>
      </c>
      <c r="C188" s="156" t="s">
        <v>99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3150639.41</v>
      </c>
      <c r="L188" s="179">
        <v>3150639.41</v>
      </c>
      <c r="M188" s="179">
        <v>7849360.5899999999</v>
      </c>
      <c r="N188" s="179">
        <v>7849360.5899999999</v>
      </c>
    </row>
    <row r="189" spans="1:14" s="156" customFormat="1" x14ac:dyDescent="0.25">
      <c r="A189" s="156" t="s">
        <v>545</v>
      </c>
      <c r="B189" s="156" t="s">
        <v>100</v>
      </c>
      <c r="C189" s="156" t="s">
        <v>101</v>
      </c>
      <c r="D189" s="156" t="s">
        <v>541</v>
      </c>
      <c r="E189" s="179">
        <v>11000000</v>
      </c>
      <c r="F189" s="179">
        <v>11000000</v>
      </c>
      <c r="G189" s="179">
        <v>11000000</v>
      </c>
      <c r="H189" s="179">
        <v>0</v>
      </c>
      <c r="I189" s="179">
        <v>0</v>
      </c>
      <c r="J189" s="179">
        <v>0</v>
      </c>
      <c r="K189" s="179">
        <v>3150639.41</v>
      </c>
      <c r="L189" s="179">
        <v>3150639.41</v>
      </c>
      <c r="M189" s="179">
        <v>7849360.5899999999</v>
      </c>
      <c r="N189" s="179">
        <v>7849360.5899999999</v>
      </c>
    </row>
    <row r="190" spans="1:14" s="156" customFormat="1" x14ac:dyDescent="0.25">
      <c r="A190" s="156" t="s">
        <v>545</v>
      </c>
      <c r="B190" s="156" t="s">
        <v>102</v>
      </c>
      <c r="C190" s="156" t="s">
        <v>103</v>
      </c>
      <c r="D190" s="156" t="s">
        <v>541</v>
      </c>
      <c r="E190" s="179">
        <v>4978167000</v>
      </c>
      <c r="F190" s="179">
        <v>4969567000</v>
      </c>
      <c r="G190" s="179">
        <v>4969567000</v>
      </c>
      <c r="H190" s="179">
        <v>0</v>
      </c>
      <c r="I190" s="179">
        <v>1327404.25</v>
      </c>
      <c r="J190" s="179">
        <v>0</v>
      </c>
      <c r="K190" s="179">
        <v>2119691265.3900001</v>
      </c>
      <c r="L190" s="179">
        <v>2119691265.3900001</v>
      </c>
      <c r="M190" s="179">
        <v>2848548330.3600001</v>
      </c>
      <c r="N190" s="179">
        <v>2848548330.3600001</v>
      </c>
    </row>
    <row r="191" spans="1:14" s="156" customFormat="1" x14ac:dyDescent="0.25">
      <c r="A191" s="156" t="s">
        <v>545</v>
      </c>
      <c r="B191" s="156" t="s">
        <v>104</v>
      </c>
      <c r="C191" s="156" t="s">
        <v>105</v>
      </c>
      <c r="D191" s="156" t="s">
        <v>541</v>
      </c>
      <c r="E191" s="179">
        <v>913627000</v>
      </c>
      <c r="F191" s="179">
        <v>905027000</v>
      </c>
      <c r="G191" s="179">
        <v>905027000</v>
      </c>
      <c r="H191" s="179">
        <v>0</v>
      </c>
      <c r="I191" s="179">
        <v>478674</v>
      </c>
      <c r="J191" s="179">
        <v>0</v>
      </c>
      <c r="K191" s="179">
        <v>370864454.44</v>
      </c>
      <c r="L191" s="179">
        <v>370864454.44</v>
      </c>
      <c r="M191" s="179">
        <v>533683871.56</v>
      </c>
      <c r="N191" s="179">
        <v>533683871.56</v>
      </c>
    </row>
    <row r="192" spans="1:14" s="156" customFormat="1" x14ac:dyDescent="0.25">
      <c r="A192" s="156" t="s">
        <v>545</v>
      </c>
      <c r="B192" s="156" t="s">
        <v>106</v>
      </c>
      <c r="C192" s="156" t="s">
        <v>107</v>
      </c>
      <c r="D192" s="156" t="s">
        <v>541</v>
      </c>
      <c r="E192" s="179">
        <v>2244831000</v>
      </c>
      <c r="F192" s="179">
        <v>2244831000</v>
      </c>
      <c r="G192" s="179">
        <v>2244831000</v>
      </c>
      <c r="H192" s="179">
        <v>0</v>
      </c>
      <c r="I192" s="179">
        <v>616723.5</v>
      </c>
      <c r="J192" s="179">
        <v>0</v>
      </c>
      <c r="K192" s="179">
        <v>976585164.53999996</v>
      </c>
      <c r="L192" s="179">
        <v>976585164.53999996</v>
      </c>
      <c r="M192" s="179">
        <v>1267629111.96</v>
      </c>
      <c r="N192" s="179">
        <v>1267629111.96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0</v>
      </c>
      <c r="J193" s="179">
        <v>0</v>
      </c>
      <c r="K193" s="179">
        <v>493915397.87</v>
      </c>
      <c r="L193" s="179">
        <v>493915397.87</v>
      </c>
      <c r="M193" s="179">
        <v>47077602.130000003</v>
      </c>
      <c r="N193" s="179">
        <v>47077602.130000003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232006.75</v>
      </c>
      <c r="J194" s="179">
        <v>0</v>
      </c>
      <c r="K194" s="179">
        <v>278326248.54000002</v>
      </c>
      <c r="L194" s="179">
        <v>278326248.54000002</v>
      </c>
      <c r="M194" s="179">
        <v>352318744.70999998</v>
      </c>
      <c r="N194" s="179">
        <v>352318744.70999998</v>
      </c>
    </row>
    <row r="195" spans="1:14" s="156" customFormat="1" x14ac:dyDescent="0.25">
      <c r="A195" s="156" t="s">
        <v>545</v>
      </c>
      <c r="B195" s="156" t="s">
        <v>112</v>
      </c>
      <c r="C195" s="156" t="s">
        <v>113</v>
      </c>
      <c r="D195" s="156" t="s">
        <v>543</v>
      </c>
      <c r="E195" s="179">
        <v>647839000</v>
      </c>
      <c r="F195" s="179">
        <v>647839000</v>
      </c>
      <c r="G195" s="179">
        <v>647839000</v>
      </c>
      <c r="H195" s="179">
        <v>0</v>
      </c>
      <c r="I195" s="179">
        <v>0</v>
      </c>
      <c r="J195" s="179">
        <v>0</v>
      </c>
      <c r="K195" s="179">
        <v>0</v>
      </c>
      <c r="L195" s="179">
        <v>0</v>
      </c>
      <c r="M195" s="179">
        <v>647839000</v>
      </c>
      <c r="N195" s="179">
        <v>647839000</v>
      </c>
    </row>
    <row r="196" spans="1:14" s="156" customFormat="1" x14ac:dyDescent="0.25">
      <c r="A196" s="156" t="s">
        <v>545</v>
      </c>
      <c r="B196" s="156" t="s">
        <v>114</v>
      </c>
      <c r="C196" s="156" t="s">
        <v>115</v>
      </c>
      <c r="D196" s="156" t="s">
        <v>541</v>
      </c>
      <c r="E196" s="179">
        <v>756883000</v>
      </c>
      <c r="F196" s="179">
        <v>756883000</v>
      </c>
      <c r="G196" s="179">
        <v>756883000</v>
      </c>
      <c r="H196" s="179">
        <v>0</v>
      </c>
      <c r="I196" s="179">
        <v>405137780</v>
      </c>
      <c r="J196" s="179">
        <v>0</v>
      </c>
      <c r="K196" s="179">
        <v>351745220</v>
      </c>
      <c r="L196" s="179">
        <v>351745220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315</v>
      </c>
      <c r="C197" s="156" t="s">
        <v>597</v>
      </c>
      <c r="D197" s="156" t="s">
        <v>541</v>
      </c>
      <c r="E197" s="179">
        <v>718069000</v>
      </c>
      <c r="F197" s="179">
        <v>718069000</v>
      </c>
      <c r="G197" s="179">
        <v>718069000</v>
      </c>
      <c r="H197" s="179">
        <v>0</v>
      </c>
      <c r="I197" s="179">
        <v>384360181</v>
      </c>
      <c r="J197" s="179">
        <v>0</v>
      </c>
      <c r="K197" s="179">
        <v>333708819</v>
      </c>
      <c r="L197" s="179">
        <v>333708819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38814000</v>
      </c>
      <c r="F198" s="179">
        <v>38814000</v>
      </c>
      <c r="G198" s="179">
        <v>38814000</v>
      </c>
      <c r="H198" s="179">
        <v>0</v>
      </c>
      <c r="I198" s="179">
        <v>20777599</v>
      </c>
      <c r="J198" s="179">
        <v>0</v>
      </c>
      <c r="K198" s="179">
        <v>18036401</v>
      </c>
      <c r="L198" s="179">
        <v>18036401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118</v>
      </c>
      <c r="C199" s="156" t="s">
        <v>119</v>
      </c>
      <c r="D199" s="156" t="s">
        <v>541</v>
      </c>
      <c r="E199" s="179">
        <v>743685000</v>
      </c>
      <c r="F199" s="179">
        <v>743685000</v>
      </c>
      <c r="G199" s="179">
        <v>743685000</v>
      </c>
      <c r="H199" s="179">
        <v>0</v>
      </c>
      <c r="I199" s="179">
        <v>402843684</v>
      </c>
      <c r="J199" s="179">
        <v>0</v>
      </c>
      <c r="K199" s="179">
        <v>340841316</v>
      </c>
      <c r="L199" s="179">
        <v>340841316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317</v>
      </c>
      <c r="C200" s="156" t="s">
        <v>598</v>
      </c>
      <c r="D200" s="156" t="s">
        <v>541</v>
      </c>
      <c r="E200" s="179">
        <v>394355000</v>
      </c>
      <c r="F200" s="179">
        <v>394355000</v>
      </c>
      <c r="G200" s="179">
        <v>394355000</v>
      </c>
      <c r="H200" s="179">
        <v>0</v>
      </c>
      <c r="I200" s="179">
        <v>215840907</v>
      </c>
      <c r="J200" s="179">
        <v>0</v>
      </c>
      <c r="K200" s="179">
        <v>178514093</v>
      </c>
      <c r="L200" s="179">
        <v>178514093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318</v>
      </c>
      <c r="C201" s="156" t="s">
        <v>599</v>
      </c>
      <c r="D201" s="156" t="s">
        <v>541</v>
      </c>
      <c r="E201" s="179">
        <v>116443000</v>
      </c>
      <c r="F201" s="179">
        <v>116443000</v>
      </c>
      <c r="G201" s="179">
        <v>116443000</v>
      </c>
      <c r="H201" s="179">
        <v>0</v>
      </c>
      <c r="I201" s="179">
        <v>62333973</v>
      </c>
      <c r="J201" s="179">
        <v>0</v>
      </c>
      <c r="K201" s="179">
        <v>54109027</v>
      </c>
      <c r="L201" s="179">
        <v>54109027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319</v>
      </c>
      <c r="C202" s="156" t="s">
        <v>600</v>
      </c>
      <c r="D202" s="156" t="s">
        <v>541</v>
      </c>
      <c r="E202" s="179">
        <v>232887000</v>
      </c>
      <c r="F202" s="179">
        <v>232887000</v>
      </c>
      <c r="G202" s="179">
        <v>232887000</v>
      </c>
      <c r="H202" s="179">
        <v>0</v>
      </c>
      <c r="I202" s="179">
        <v>124668804</v>
      </c>
      <c r="J202" s="179">
        <v>0</v>
      </c>
      <c r="K202" s="179">
        <v>108218196</v>
      </c>
      <c r="L202" s="179">
        <v>108218196</v>
      </c>
      <c r="M202" s="179">
        <v>0</v>
      </c>
      <c r="N202" s="179">
        <v>0</v>
      </c>
    </row>
    <row r="203" spans="1:14" s="156" customFormat="1" x14ac:dyDescent="0.25">
      <c r="A203" s="156" t="s">
        <v>545</v>
      </c>
      <c r="B203" s="156" t="s">
        <v>123</v>
      </c>
      <c r="C203" s="156" t="s">
        <v>124</v>
      </c>
      <c r="D203" s="156" t="s">
        <v>541</v>
      </c>
      <c r="E203" s="179">
        <v>1006874402</v>
      </c>
      <c r="F203" s="179">
        <v>1006874402</v>
      </c>
      <c r="G203" s="179">
        <v>775823651</v>
      </c>
      <c r="H203" s="179">
        <v>1102164</v>
      </c>
      <c r="I203" s="179">
        <v>82212635.409999996</v>
      </c>
      <c r="J203" s="179">
        <v>821089.29</v>
      </c>
      <c r="K203" s="179">
        <v>363907568.49000001</v>
      </c>
      <c r="L203" s="179">
        <v>345017474.06999999</v>
      </c>
      <c r="M203" s="179">
        <v>558830944.80999994</v>
      </c>
      <c r="N203" s="179">
        <v>327780193.81</v>
      </c>
    </row>
    <row r="204" spans="1:14" s="156" customFormat="1" x14ac:dyDescent="0.25">
      <c r="A204" s="156" t="s">
        <v>545</v>
      </c>
      <c r="B204" s="156" t="s">
        <v>125</v>
      </c>
      <c r="C204" s="156" t="s">
        <v>126</v>
      </c>
      <c r="D204" s="156" t="s">
        <v>541</v>
      </c>
      <c r="E204" s="179">
        <v>331717997</v>
      </c>
      <c r="F204" s="179">
        <v>306417997</v>
      </c>
      <c r="G204" s="179">
        <v>224928497</v>
      </c>
      <c r="H204" s="179">
        <v>0</v>
      </c>
      <c r="I204" s="179">
        <v>15828780.029999999</v>
      </c>
      <c r="J204" s="179">
        <v>0</v>
      </c>
      <c r="K204" s="179">
        <v>126852568.23999999</v>
      </c>
      <c r="L204" s="179">
        <v>121439557.23999999</v>
      </c>
      <c r="M204" s="179">
        <v>163736648.72999999</v>
      </c>
      <c r="N204" s="179">
        <v>82247148.730000004</v>
      </c>
    </row>
    <row r="205" spans="1:14" s="156" customFormat="1" x14ac:dyDescent="0.25">
      <c r="A205" s="156" t="s">
        <v>545</v>
      </c>
      <c r="B205" s="156" t="s">
        <v>306</v>
      </c>
      <c r="C205" s="156" t="s">
        <v>307</v>
      </c>
      <c r="D205" s="156" t="s">
        <v>541</v>
      </c>
      <c r="E205" s="179">
        <v>200526630</v>
      </c>
      <c r="F205" s="179">
        <v>163026630</v>
      </c>
      <c r="G205" s="179">
        <v>121084972</v>
      </c>
      <c r="H205" s="179">
        <v>0</v>
      </c>
      <c r="I205" s="179">
        <v>5286205</v>
      </c>
      <c r="J205" s="179">
        <v>0</v>
      </c>
      <c r="K205" s="179">
        <v>73825445</v>
      </c>
      <c r="L205" s="179">
        <v>73825445</v>
      </c>
      <c r="M205" s="179">
        <v>83914980</v>
      </c>
      <c r="N205" s="179">
        <v>41973322</v>
      </c>
    </row>
    <row r="206" spans="1:14" s="156" customFormat="1" x14ac:dyDescent="0.25">
      <c r="A206" s="156" t="s">
        <v>545</v>
      </c>
      <c r="B206" s="156" t="s">
        <v>320</v>
      </c>
      <c r="C206" s="156" t="s">
        <v>321</v>
      </c>
      <c r="D206" s="156" t="s">
        <v>541</v>
      </c>
      <c r="E206" s="179">
        <v>3933000</v>
      </c>
      <c r="F206" s="179">
        <v>3333000</v>
      </c>
      <c r="G206" s="179">
        <v>2449750</v>
      </c>
      <c r="H206" s="179">
        <v>0</v>
      </c>
      <c r="I206" s="179">
        <v>370871.29</v>
      </c>
      <c r="J206" s="179">
        <v>0</v>
      </c>
      <c r="K206" s="179">
        <v>1161348.8</v>
      </c>
      <c r="L206" s="179">
        <v>938571.71</v>
      </c>
      <c r="M206" s="179">
        <v>1800779.91</v>
      </c>
      <c r="N206" s="179">
        <v>917529.91</v>
      </c>
    </row>
    <row r="207" spans="1:14" s="156" customFormat="1" x14ac:dyDescent="0.25">
      <c r="A207" s="156" t="s">
        <v>545</v>
      </c>
      <c r="B207" s="156" t="s">
        <v>127</v>
      </c>
      <c r="C207" s="156" t="s">
        <v>128</v>
      </c>
      <c r="D207" s="156" t="s">
        <v>541</v>
      </c>
      <c r="E207" s="179">
        <v>98126131</v>
      </c>
      <c r="F207" s="179">
        <v>100626131</v>
      </c>
      <c r="G207" s="179">
        <v>78094598</v>
      </c>
      <c r="H207" s="179">
        <v>0</v>
      </c>
      <c r="I207" s="179">
        <v>5794726.6600000001</v>
      </c>
      <c r="J207" s="179">
        <v>0</v>
      </c>
      <c r="K207" s="179">
        <v>39657969.880000003</v>
      </c>
      <c r="L207" s="179">
        <v>36704940.829999998</v>
      </c>
      <c r="M207" s="179">
        <v>55173434.460000001</v>
      </c>
      <c r="N207" s="179">
        <v>32641901.460000001</v>
      </c>
    </row>
    <row r="208" spans="1:14" s="156" customFormat="1" x14ac:dyDescent="0.25">
      <c r="A208" s="156" t="s">
        <v>545</v>
      </c>
      <c r="B208" s="156" t="s">
        <v>322</v>
      </c>
      <c r="C208" s="156" t="s">
        <v>323</v>
      </c>
      <c r="D208" s="156" t="s">
        <v>541</v>
      </c>
      <c r="E208" s="179">
        <v>1774000</v>
      </c>
      <c r="F208" s="179">
        <v>1774000</v>
      </c>
      <c r="G208" s="179">
        <v>1430500</v>
      </c>
      <c r="H208" s="179">
        <v>0</v>
      </c>
      <c r="I208" s="179">
        <v>197369.12</v>
      </c>
      <c r="J208" s="179">
        <v>0</v>
      </c>
      <c r="K208" s="179">
        <v>809748</v>
      </c>
      <c r="L208" s="179">
        <v>809748</v>
      </c>
      <c r="M208" s="179">
        <v>766882.88</v>
      </c>
      <c r="N208" s="179">
        <v>423382.88</v>
      </c>
    </row>
    <row r="209" spans="1:14" s="156" customFormat="1" x14ac:dyDescent="0.25">
      <c r="A209" s="156" t="s">
        <v>545</v>
      </c>
      <c r="B209" s="156" t="s">
        <v>129</v>
      </c>
      <c r="C209" s="156" t="s">
        <v>130</v>
      </c>
      <c r="D209" s="156" t="s">
        <v>541</v>
      </c>
      <c r="E209" s="179">
        <v>27358236</v>
      </c>
      <c r="F209" s="179">
        <v>37658236</v>
      </c>
      <c r="G209" s="179">
        <v>21868677</v>
      </c>
      <c r="H209" s="179">
        <v>0</v>
      </c>
      <c r="I209" s="179">
        <v>4179607.96</v>
      </c>
      <c r="J209" s="179">
        <v>0</v>
      </c>
      <c r="K209" s="179">
        <v>11398056.560000001</v>
      </c>
      <c r="L209" s="179">
        <v>9160851.6999999993</v>
      </c>
      <c r="M209" s="179">
        <v>22080571.48</v>
      </c>
      <c r="N209" s="179">
        <v>6291012.4800000004</v>
      </c>
    </row>
    <row r="210" spans="1:14" s="156" customFormat="1" x14ac:dyDescent="0.25">
      <c r="A210" s="156" t="s">
        <v>545</v>
      </c>
      <c r="B210" s="156" t="s">
        <v>131</v>
      </c>
      <c r="C210" s="156" t="s">
        <v>132</v>
      </c>
      <c r="D210" s="156" t="s">
        <v>541</v>
      </c>
      <c r="E210" s="179">
        <v>126929000</v>
      </c>
      <c r="F210" s="179">
        <v>120929000</v>
      </c>
      <c r="G210" s="179">
        <v>94421750</v>
      </c>
      <c r="H210" s="179">
        <v>0</v>
      </c>
      <c r="I210" s="179">
        <v>14114898.51</v>
      </c>
      <c r="J210" s="179">
        <v>0</v>
      </c>
      <c r="K210" s="179">
        <v>44108214.369999997</v>
      </c>
      <c r="L210" s="179">
        <v>43181382.780000001</v>
      </c>
      <c r="M210" s="179">
        <v>62705887.119999997</v>
      </c>
      <c r="N210" s="179">
        <v>36198637.119999997</v>
      </c>
    </row>
    <row r="211" spans="1:14" s="156" customFormat="1" x14ac:dyDescent="0.25">
      <c r="A211" s="156" t="s">
        <v>545</v>
      </c>
      <c r="B211" s="156" t="s">
        <v>133</v>
      </c>
      <c r="C211" s="156" t="s">
        <v>134</v>
      </c>
      <c r="D211" s="156" t="s">
        <v>541</v>
      </c>
      <c r="E211" s="179">
        <v>13400000</v>
      </c>
      <c r="F211" s="179">
        <v>18400000</v>
      </c>
      <c r="G211" s="179">
        <v>16550000</v>
      </c>
      <c r="H211" s="179">
        <v>0</v>
      </c>
      <c r="I211" s="179">
        <v>4443805</v>
      </c>
      <c r="J211" s="179">
        <v>0</v>
      </c>
      <c r="K211" s="179">
        <v>8578790</v>
      </c>
      <c r="L211" s="179">
        <v>8578790</v>
      </c>
      <c r="M211" s="179">
        <v>5377405</v>
      </c>
      <c r="N211" s="179">
        <v>3527405</v>
      </c>
    </row>
    <row r="212" spans="1:14" s="156" customFormat="1" x14ac:dyDescent="0.25">
      <c r="A212" s="156" t="s">
        <v>545</v>
      </c>
      <c r="B212" s="156" t="s">
        <v>135</v>
      </c>
      <c r="C212" s="156" t="s">
        <v>136</v>
      </c>
      <c r="D212" s="156" t="s">
        <v>541</v>
      </c>
      <c r="E212" s="179">
        <v>49200000</v>
      </c>
      <c r="F212" s="179">
        <v>40200000</v>
      </c>
      <c r="G212" s="179">
        <v>30750000</v>
      </c>
      <c r="H212" s="179">
        <v>0</v>
      </c>
      <c r="I212" s="179">
        <v>2568900</v>
      </c>
      <c r="J212" s="179">
        <v>0</v>
      </c>
      <c r="K212" s="179">
        <v>18328855</v>
      </c>
      <c r="L212" s="179">
        <v>18328855</v>
      </c>
      <c r="M212" s="179">
        <v>19302245</v>
      </c>
      <c r="N212" s="179">
        <v>9852245</v>
      </c>
    </row>
    <row r="213" spans="1:14" s="156" customFormat="1" x14ac:dyDescent="0.25">
      <c r="A213" s="156" t="s">
        <v>545</v>
      </c>
      <c r="B213" s="156" t="s">
        <v>137</v>
      </c>
      <c r="C213" s="156" t="s">
        <v>138</v>
      </c>
      <c r="D213" s="156" t="s">
        <v>541</v>
      </c>
      <c r="E213" s="179">
        <v>12000000</v>
      </c>
      <c r="F213" s="179">
        <v>10000000</v>
      </c>
      <c r="G213" s="179">
        <v>6775000</v>
      </c>
      <c r="H213" s="179">
        <v>0</v>
      </c>
      <c r="I213" s="179">
        <v>803100</v>
      </c>
      <c r="J213" s="179">
        <v>0</v>
      </c>
      <c r="K213" s="179">
        <v>1405600</v>
      </c>
      <c r="L213" s="179">
        <v>731520</v>
      </c>
      <c r="M213" s="179">
        <v>7791300</v>
      </c>
      <c r="N213" s="179">
        <v>4566300</v>
      </c>
    </row>
    <row r="214" spans="1:14" s="156" customFormat="1" x14ac:dyDescent="0.25">
      <c r="A214" s="156" t="s">
        <v>545</v>
      </c>
      <c r="B214" s="156" t="s">
        <v>139</v>
      </c>
      <c r="C214" s="156" t="s">
        <v>140</v>
      </c>
      <c r="D214" s="156" t="s">
        <v>541</v>
      </c>
      <c r="E214" s="179">
        <v>47604000</v>
      </c>
      <c r="F214" s="179">
        <v>47604000</v>
      </c>
      <c r="G214" s="179">
        <v>36703000</v>
      </c>
      <c r="H214" s="179">
        <v>0</v>
      </c>
      <c r="I214" s="179">
        <v>6071428.3600000003</v>
      </c>
      <c r="J214" s="179">
        <v>0</v>
      </c>
      <c r="K214" s="179">
        <v>13475168.220000001</v>
      </c>
      <c r="L214" s="179">
        <v>13222416.630000001</v>
      </c>
      <c r="M214" s="179">
        <v>28057403.420000002</v>
      </c>
      <c r="N214" s="179">
        <v>17156403.420000002</v>
      </c>
    </row>
    <row r="215" spans="1:14" s="156" customFormat="1" x14ac:dyDescent="0.25">
      <c r="A215" s="156" t="s">
        <v>545</v>
      </c>
      <c r="B215" s="156" t="s">
        <v>141</v>
      </c>
      <c r="C215" s="156" t="s">
        <v>142</v>
      </c>
      <c r="D215" s="156" t="s">
        <v>541</v>
      </c>
      <c r="E215" s="179">
        <v>4725000</v>
      </c>
      <c r="F215" s="179">
        <v>4725000</v>
      </c>
      <c r="G215" s="179">
        <v>3643750</v>
      </c>
      <c r="H215" s="179">
        <v>0</v>
      </c>
      <c r="I215" s="179">
        <v>227665.15</v>
      </c>
      <c r="J215" s="179">
        <v>0</v>
      </c>
      <c r="K215" s="179">
        <v>2319801.15</v>
      </c>
      <c r="L215" s="179">
        <v>2319801.15</v>
      </c>
      <c r="M215" s="179">
        <v>2177533.7000000002</v>
      </c>
      <c r="N215" s="179">
        <v>1096283.7</v>
      </c>
    </row>
    <row r="216" spans="1:14" s="156" customFormat="1" x14ac:dyDescent="0.25">
      <c r="A216" s="156" t="s">
        <v>545</v>
      </c>
      <c r="B216" s="156" t="s">
        <v>143</v>
      </c>
      <c r="C216" s="156" t="s">
        <v>144</v>
      </c>
      <c r="D216" s="156" t="s">
        <v>541</v>
      </c>
      <c r="E216" s="179">
        <v>3746000</v>
      </c>
      <c r="F216" s="179">
        <v>3746000</v>
      </c>
      <c r="G216" s="179">
        <v>2949850</v>
      </c>
      <c r="H216" s="179">
        <v>0</v>
      </c>
      <c r="I216" s="179">
        <v>586349.56999999995</v>
      </c>
      <c r="J216" s="179">
        <v>0</v>
      </c>
      <c r="K216" s="179">
        <v>313733.65000000002</v>
      </c>
      <c r="L216" s="179">
        <v>313733.65000000002</v>
      </c>
      <c r="M216" s="179">
        <v>2845916.78</v>
      </c>
      <c r="N216" s="179">
        <v>2049766.78</v>
      </c>
    </row>
    <row r="217" spans="1:14" s="156" customFormat="1" x14ac:dyDescent="0.25">
      <c r="A217" s="156" t="s">
        <v>545</v>
      </c>
      <c r="B217" s="156" t="s">
        <v>145</v>
      </c>
      <c r="C217" s="156" t="s">
        <v>146</v>
      </c>
      <c r="D217" s="156" t="s">
        <v>541</v>
      </c>
      <c r="E217" s="179">
        <v>500000</v>
      </c>
      <c r="F217" s="179">
        <v>500000</v>
      </c>
      <c r="G217" s="179">
        <v>465350</v>
      </c>
      <c r="H217" s="179">
        <v>0</v>
      </c>
      <c r="I217" s="179">
        <v>100000</v>
      </c>
      <c r="J217" s="179">
        <v>0</v>
      </c>
      <c r="K217" s="179">
        <v>71970</v>
      </c>
      <c r="L217" s="179">
        <v>71970</v>
      </c>
      <c r="M217" s="179">
        <v>328030</v>
      </c>
      <c r="N217" s="179">
        <v>293380</v>
      </c>
    </row>
    <row r="218" spans="1:14" s="156" customFormat="1" x14ac:dyDescent="0.25">
      <c r="A218" s="156" t="s">
        <v>545</v>
      </c>
      <c r="B218" s="156" t="s">
        <v>147</v>
      </c>
      <c r="C218" s="156" t="s">
        <v>148</v>
      </c>
      <c r="D218" s="156" t="s">
        <v>541</v>
      </c>
      <c r="E218" s="179">
        <v>1000000</v>
      </c>
      <c r="F218" s="179">
        <v>1000000</v>
      </c>
      <c r="G218" s="179">
        <v>750000</v>
      </c>
      <c r="H218" s="179">
        <v>0</v>
      </c>
      <c r="I218" s="179">
        <v>58677</v>
      </c>
      <c r="J218" s="179">
        <v>0</v>
      </c>
      <c r="K218" s="179">
        <v>110273</v>
      </c>
      <c r="L218" s="179">
        <v>110273</v>
      </c>
      <c r="M218" s="179">
        <v>831050</v>
      </c>
      <c r="N218" s="179">
        <v>581050</v>
      </c>
    </row>
    <row r="219" spans="1:14" s="156" customFormat="1" x14ac:dyDescent="0.25">
      <c r="A219" s="156" t="s">
        <v>545</v>
      </c>
      <c r="B219" s="156" t="s">
        <v>149</v>
      </c>
      <c r="C219" s="156" t="s">
        <v>150</v>
      </c>
      <c r="D219" s="156" t="s">
        <v>541</v>
      </c>
      <c r="E219" s="179">
        <v>200000</v>
      </c>
      <c r="F219" s="179">
        <v>200000</v>
      </c>
      <c r="G219" s="179">
        <v>200000</v>
      </c>
      <c r="H219" s="179">
        <v>0</v>
      </c>
      <c r="I219" s="179">
        <v>53706.5</v>
      </c>
      <c r="J219" s="179">
        <v>0</v>
      </c>
      <c r="K219" s="179">
        <v>43525</v>
      </c>
      <c r="L219" s="179">
        <v>43525</v>
      </c>
      <c r="M219" s="179">
        <v>102768.5</v>
      </c>
      <c r="N219" s="179">
        <v>102768.5</v>
      </c>
    </row>
    <row r="220" spans="1:14" s="156" customFormat="1" x14ac:dyDescent="0.25">
      <c r="A220" s="156" t="s">
        <v>545</v>
      </c>
      <c r="B220" s="156" t="s">
        <v>326</v>
      </c>
      <c r="C220" s="156" t="s">
        <v>327</v>
      </c>
      <c r="D220" s="156" t="s">
        <v>541</v>
      </c>
      <c r="E220" s="179">
        <v>2046000</v>
      </c>
      <c r="F220" s="179">
        <v>2046000</v>
      </c>
      <c r="G220" s="179">
        <v>1534500</v>
      </c>
      <c r="H220" s="179">
        <v>0</v>
      </c>
      <c r="I220" s="179">
        <v>373966.07</v>
      </c>
      <c r="J220" s="179">
        <v>0</v>
      </c>
      <c r="K220" s="179">
        <v>87965.65</v>
      </c>
      <c r="L220" s="179">
        <v>87965.65</v>
      </c>
      <c r="M220" s="179">
        <v>1584068.28</v>
      </c>
      <c r="N220" s="179">
        <v>1072568.28</v>
      </c>
    </row>
    <row r="221" spans="1:14" s="156" customFormat="1" x14ac:dyDescent="0.25">
      <c r="A221" s="156" t="s">
        <v>545</v>
      </c>
      <c r="B221" s="156" t="s">
        <v>151</v>
      </c>
      <c r="C221" s="156" t="s">
        <v>152</v>
      </c>
      <c r="D221" s="156" t="s">
        <v>541</v>
      </c>
      <c r="E221" s="179">
        <v>334518795</v>
      </c>
      <c r="F221" s="179">
        <v>361518795</v>
      </c>
      <c r="G221" s="179">
        <v>280639097</v>
      </c>
      <c r="H221" s="179">
        <v>602164</v>
      </c>
      <c r="I221" s="179">
        <v>25653030.969999999</v>
      </c>
      <c r="J221" s="179">
        <v>0</v>
      </c>
      <c r="K221" s="179">
        <v>129034029.68000001</v>
      </c>
      <c r="L221" s="179">
        <v>123071195.55</v>
      </c>
      <c r="M221" s="179">
        <v>206229570.34999999</v>
      </c>
      <c r="N221" s="179">
        <v>125349872.34999999</v>
      </c>
    </row>
    <row r="222" spans="1:14" s="156" customFormat="1" x14ac:dyDescent="0.25">
      <c r="A222" s="156" t="s">
        <v>545</v>
      </c>
      <c r="B222" s="156" t="s">
        <v>328</v>
      </c>
      <c r="C222" s="156" t="s">
        <v>329</v>
      </c>
      <c r="D222" s="156" t="s">
        <v>541</v>
      </c>
      <c r="E222" s="179">
        <v>2000000</v>
      </c>
      <c r="F222" s="179">
        <v>2000000</v>
      </c>
      <c r="G222" s="179">
        <v>0</v>
      </c>
      <c r="H222" s="179">
        <v>0</v>
      </c>
      <c r="I222" s="179">
        <v>0</v>
      </c>
      <c r="J222" s="179">
        <v>0</v>
      </c>
      <c r="K222" s="179">
        <v>0</v>
      </c>
      <c r="L222" s="179">
        <v>0</v>
      </c>
      <c r="M222" s="179">
        <v>2000000</v>
      </c>
      <c r="N222" s="179">
        <v>0</v>
      </c>
    </row>
    <row r="223" spans="1:14" s="156" customFormat="1" x14ac:dyDescent="0.25">
      <c r="A223" s="156" t="s">
        <v>545</v>
      </c>
      <c r="B223" s="156" t="s">
        <v>330</v>
      </c>
      <c r="C223" s="156" t="s">
        <v>604</v>
      </c>
      <c r="D223" s="156" t="s">
        <v>541</v>
      </c>
      <c r="E223" s="179">
        <v>5000000</v>
      </c>
      <c r="F223" s="179">
        <v>5000000</v>
      </c>
      <c r="G223" s="179">
        <v>5000000</v>
      </c>
      <c r="H223" s="179">
        <v>0</v>
      </c>
      <c r="I223" s="179">
        <v>4556956</v>
      </c>
      <c r="J223" s="179">
        <v>0</v>
      </c>
      <c r="K223" s="179">
        <v>0</v>
      </c>
      <c r="L223" s="179">
        <v>0</v>
      </c>
      <c r="M223" s="179">
        <v>443044</v>
      </c>
      <c r="N223" s="179">
        <v>443044</v>
      </c>
    </row>
    <row r="224" spans="1:14" s="156" customFormat="1" x14ac:dyDescent="0.25">
      <c r="A224" s="156" t="s">
        <v>545</v>
      </c>
      <c r="B224" s="156" t="s">
        <v>154</v>
      </c>
      <c r="C224" s="156" t="s">
        <v>155</v>
      </c>
      <c r="D224" s="156" t="s">
        <v>541</v>
      </c>
      <c r="E224" s="179">
        <v>319951179</v>
      </c>
      <c r="F224" s="179">
        <v>346951179</v>
      </c>
      <c r="G224" s="179">
        <v>268613385</v>
      </c>
      <c r="H224" s="179">
        <v>0</v>
      </c>
      <c r="I224" s="179">
        <v>19421445.050000001</v>
      </c>
      <c r="J224" s="179">
        <v>0</v>
      </c>
      <c r="K224" s="179">
        <v>124903295.59999999</v>
      </c>
      <c r="L224" s="179">
        <v>119243163.55</v>
      </c>
      <c r="M224" s="179">
        <v>202626438.34999999</v>
      </c>
      <c r="N224" s="179">
        <v>124288644.34999999</v>
      </c>
    </row>
    <row r="225" spans="1:14" s="156" customFormat="1" x14ac:dyDescent="0.25">
      <c r="A225" s="156" t="s">
        <v>545</v>
      </c>
      <c r="B225" s="156" t="s">
        <v>156</v>
      </c>
      <c r="C225" s="156" t="s">
        <v>157</v>
      </c>
      <c r="D225" s="156" t="s">
        <v>541</v>
      </c>
      <c r="E225" s="179">
        <v>7567616</v>
      </c>
      <c r="F225" s="179">
        <v>7567616</v>
      </c>
      <c r="G225" s="179">
        <v>7025712</v>
      </c>
      <c r="H225" s="179">
        <v>602164</v>
      </c>
      <c r="I225" s="179">
        <v>1674629.92</v>
      </c>
      <c r="J225" s="179">
        <v>0</v>
      </c>
      <c r="K225" s="179">
        <v>4130734.0800000001</v>
      </c>
      <c r="L225" s="179">
        <v>3828032</v>
      </c>
      <c r="M225" s="179">
        <v>1160088</v>
      </c>
      <c r="N225" s="179">
        <v>618184</v>
      </c>
    </row>
    <row r="226" spans="1:14" s="156" customFormat="1" x14ac:dyDescent="0.25">
      <c r="A226" s="156" t="s">
        <v>545</v>
      </c>
      <c r="B226" s="156" t="s">
        <v>158</v>
      </c>
      <c r="C226" s="156" t="s">
        <v>159</v>
      </c>
      <c r="D226" s="156" t="s">
        <v>541</v>
      </c>
      <c r="E226" s="179">
        <v>33445676</v>
      </c>
      <c r="F226" s="179">
        <v>33445676</v>
      </c>
      <c r="G226" s="179">
        <v>29031757</v>
      </c>
      <c r="H226" s="179">
        <v>0</v>
      </c>
      <c r="I226" s="179">
        <v>3561136.4</v>
      </c>
      <c r="J226" s="179">
        <v>0</v>
      </c>
      <c r="K226" s="179">
        <v>15855682.300000001</v>
      </c>
      <c r="L226" s="179">
        <v>15735882.300000001</v>
      </c>
      <c r="M226" s="179">
        <v>14028857.300000001</v>
      </c>
      <c r="N226" s="179">
        <v>9614938.3000000007</v>
      </c>
    </row>
    <row r="227" spans="1:14" s="156" customFormat="1" x14ac:dyDescent="0.25">
      <c r="A227" s="156" t="s">
        <v>545</v>
      </c>
      <c r="B227" s="156" t="s">
        <v>160</v>
      </c>
      <c r="C227" s="156" t="s">
        <v>161</v>
      </c>
      <c r="D227" s="156" t="s">
        <v>541</v>
      </c>
      <c r="E227" s="179">
        <v>1700000</v>
      </c>
      <c r="F227" s="179">
        <v>1700000</v>
      </c>
      <c r="G227" s="179">
        <v>1275000</v>
      </c>
      <c r="H227" s="179">
        <v>0</v>
      </c>
      <c r="I227" s="179">
        <v>260640</v>
      </c>
      <c r="J227" s="179">
        <v>0</v>
      </c>
      <c r="K227" s="179">
        <v>484980</v>
      </c>
      <c r="L227" s="179">
        <v>484980</v>
      </c>
      <c r="M227" s="179">
        <v>954380</v>
      </c>
      <c r="N227" s="179">
        <v>529380</v>
      </c>
    </row>
    <row r="228" spans="1:14" s="156" customFormat="1" x14ac:dyDescent="0.25">
      <c r="A228" s="156" t="s">
        <v>545</v>
      </c>
      <c r="B228" s="156" t="s">
        <v>162</v>
      </c>
      <c r="C228" s="156" t="s">
        <v>163</v>
      </c>
      <c r="D228" s="156" t="s">
        <v>541</v>
      </c>
      <c r="E228" s="179">
        <v>24979191</v>
      </c>
      <c r="F228" s="179">
        <v>24979191</v>
      </c>
      <c r="G228" s="179">
        <v>21734393.5</v>
      </c>
      <c r="H228" s="179">
        <v>0</v>
      </c>
      <c r="I228" s="179">
        <v>3213496</v>
      </c>
      <c r="J228" s="179">
        <v>0</v>
      </c>
      <c r="K228" s="179">
        <v>12096600</v>
      </c>
      <c r="L228" s="179">
        <v>11976800</v>
      </c>
      <c r="M228" s="179">
        <v>9669095</v>
      </c>
      <c r="N228" s="179">
        <v>6424297.5</v>
      </c>
    </row>
    <row r="229" spans="1:14" s="156" customFormat="1" x14ac:dyDescent="0.25">
      <c r="A229" s="156" t="s">
        <v>545</v>
      </c>
      <c r="B229" s="156" t="s">
        <v>164</v>
      </c>
      <c r="C229" s="156" t="s">
        <v>165</v>
      </c>
      <c r="D229" s="156" t="s">
        <v>541</v>
      </c>
      <c r="E229" s="179">
        <v>2035715</v>
      </c>
      <c r="F229" s="179">
        <v>2035715</v>
      </c>
      <c r="G229" s="179">
        <v>1564286.5</v>
      </c>
      <c r="H229" s="179">
        <v>0</v>
      </c>
      <c r="I229" s="179">
        <v>271</v>
      </c>
      <c r="J229" s="179">
        <v>0</v>
      </c>
      <c r="K229" s="179">
        <v>1092467</v>
      </c>
      <c r="L229" s="179">
        <v>1092467</v>
      </c>
      <c r="M229" s="179">
        <v>942977</v>
      </c>
      <c r="N229" s="179">
        <v>471548.5</v>
      </c>
    </row>
    <row r="230" spans="1:14" s="156" customFormat="1" x14ac:dyDescent="0.25">
      <c r="A230" s="156" t="s">
        <v>545</v>
      </c>
      <c r="B230" s="156" t="s">
        <v>166</v>
      </c>
      <c r="C230" s="156" t="s">
        <v>167</v>
      </c>
      <c r="D230" s="156" t="s">
        <v>541</v>
      </c>
      <c r="E230" s="179">
        <v>4730770</v>
      </c>
      <c r="F230" s="179">
        <v>4730770</v>
      </c>
      <c r="G230" s="179">
        <v>4458077</v>
      </c>
      <c r="H230" s="179">
        <v>0</v>
      </c>
      <c r="I230" s="179">
        <v>86729.4</v>
      </c>
      <c r="J230" s="179">
        <v>0</v>
      </c>
      <c r="K230" s="179">
        <v>2181635.2999999998</v>
      </c>
      <c r="L230" s="179">
        <v>2181635.2999999998</v>
      </c>
      <c r="M230" s="179">
        <v>2462405.2999999998</v>
      </c>
      <c r="N230" s="179">
        <v>2189712.2999999998</v>
      </c>
    </row>
    <row r="231" spans="1:14" s="156" customFormat="1" x14ac:dyDescent="0.25">
      <c r="A231" s="156" t="s">
        <v>545</v>
      </c>
      <c r="B231" s="156" t="s">
        <v>168</v>
      </c>
      <c r="C231" s="156" t="s">
        <v>169</v>
      </c>
      <c r="D231" s="156" t="s">
        <v>541</v>
      </c>
      <c r="E231" s="179">
        <v>83546141</v>
      </c>
      <c r="F231" s="179">
        <v>101246141</v>
      </c>
      <c r="G231" s="179">
        <v>80084605</v>
      </c>
      <c r="H231" s="179">
        <v>0</v>
      </c>
      <c r="I231" s="179">
        <v>5426581</v>
      </c>
      <c r="J231" s="179">
        <v>0</v>
      </c>
      <c r="K231" s="179">
        <v>25358126</v>
      </c>
      <c r="L231" s="179">
        <v>25358126</v>
      </c>
      <c r="M231" s="179">
        <v>70461434</v>
      </c>
      <c r="N231" s="179">
        <v>49299898</v>
      </c>
    </row>
    <row r="232" spans="1:14" s="156" customFormat="1" x14ac:dyDescent="0.25">
      <c r="A232" s="156" t="s">
        <v>545</v>
      </c>
      <c r="B232" s="156" t="s">
        <v>170</v>
      </c>
      <c r="C232" s="156" t="s">
        <v>171</v>
      </c>
      <c r="D232" s="156" t="s">
        <v>541</v>
      </c>
      <c r="E232" s="179">
        <v>83546141</v>
      </c>
      <c r="F232" s="179">
        <v>101246141</v>
      </c>
      <c r="G232" s="179">
        <v>80084605</v>
      </c>
      <c r="H232" s="179">
        <v>0</v>
      </c>
      <c r="I232" s="179">
        <v>5426581</v>
      </c>
      <c r="J232" s="179">
        <v>0</v>
      </c>
      <c r="K232" s="179">
        <v>25358126</v>
      </c>
      <c r="L232" s="179">
        <v>25358126</v>
      </c>
      <c r="M232" s="179">
        <v>70461434</v>
      </c>
      <c r="N232" s="179">
        <v>49299898</v>
      </c>
    </row>
    <row r="233" spans="1:14" s="156" customFormat="1" x14ac:dyDescent="0.25">
      <c r="A233" s="156" t="s">
        <v>545</v>
      </c>
      <c r="B233" s="156" t="s">
        <v>172</v>
      </c>
      <c r="C233" s="156" t="s">
        <v>173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309</v>
      </c>
      <c r="C234" s="156" t="s">
        <v>310</v>
      </c>
      <c r="D234" s="156" t="s">
        <v>541</v>
      </c>
      <c r="E234" s="179">
        <v>0</v>
      </c>
      <c r="F234" s="179">
        <v>0</v>
      </c>
      <c r="G234" s="179">
        <v>0</v>
      </c>
      <c r="H234" s="179">
        <v>0</v>
      </c>
      <c r="I234" s="179">
        <v>0</v>
      </c>
      <c r="J234" s="179">
        <v>0</v>
      </c>
      <c r="K234" s="179">
        <v>0</v>
      </c>
      <c r="L234" s="179">
        <v>0</v>
      </c>
      <c r="M234" s="179">
        <v>0</v>
      </c>
      <c r="N234" s="179">
        <v>0</v>
      </c>
    </row>
    <row r="235" spans="1:14" s="156" customFormat="1" x14ac:dyDescent="0.25">
      <c r="A235" s="156" t="s">
        <v>545</v>
      </c>
      <c r="B235" s="156" t="s">
        <v>178</v>
      </c>
      <c r="C235" s="156" t="s">
        <v>179</v>
      </c>
      <c r="D235" s="156" t="s">
        <v>541</v>
      </c>
      <c r="E235" s="179">
        <v>89480793</v>
      </c>
      <c r="F235" s="179">
        <v>76080793</v>
      </c>
      <c r="G235" s="179">
        <v>61050595</v>
      </c>
      <c r="H235" s="179">
        <v>500000</v>
      </c>
      <c r="I235" s="179">
        <v>16903851.149999999</v>
      </c>
      <c r="J235" s="179">
        <v>821089.29</v>
      </c>
      <c r="K235" s="179">
        <v>22385014.25</v>
      </c>
      <c r="L235" s="179">
        <v>15917396.550000001</v>
      </c>
      <c r="M235" s="179">
        <v>35470838.310000002</v>
      </c>
      <c r="N235" s="179">
        <v>20440640.309999999</v>
      </c>
    </row>
    <row r="236" spans="1:14" s="156" customFormat="1" x14ac:dyDescent="0.25">
      <c r="A236" s="156" t="s">
        <v>545</v>
      </c>
      <c r="B236" s="156" t="s">
        <v>180</v>
      </c>
      <c r="C236" s="156" t="s">
        <v>181</v>
      </c>
      <c r="D236" s="156" t="s">
        <v>541</v>
      </c>
      <c r="E236" s="179">
        <v>13000000</v>
      </c>
      <c r="F236" s="179">
        <v>13000000</v>
      </c>
      <c r="G236" s="179">
        <v>10500000</v>
      </c>
      <c r="H236" s="179">
        <v>0</v>
      </c>
      <c r="I236" s="179">
        <v>2951032.05</v>
      </c>
      <c r="J236" s="179">
        <v>0</v>
      </c>
      <c r="K236" s="179">
        <v>3978007.62</v>
      </c>
      <c r="L236" s="179">
        <v>3670594.62</v>
      </c>
      <c r="M236" s="179">
        <v>6070960.3300000001</v>
      </c>
      <c r="N236" s="179">
        <v>3570960.33</v>
      </c>
    </row>
    <row r="237" spans="1:14" s="156" customFormat="1" x14ac:dyDescent="0.25">
      <c r="A237" s="156" t="s">
        <v>545</v>
      </c>
      <c r="B237" s="156" t="s">
        <v>332</v>
      </c>
      <c r="C237" s="156" t="s">
        <v>333</v>
      </c>
      <c r="D237" s="156" t="s">
        <v>541</v>
      </c>
      <c r="E237" s="179">
        <v>1918000</v>
      </c>
      <c r="F237" s="179">
        <v>1918000</v>
      </c>
      <c r="G237" s="179">
        <v>1638500</v>
      </c>
      <c r="H237" s="179">
        <v>0</v>
      </c>
      <c r="I237" s="179">
        <v>31643.5</v>
      </c>
      <c r="J237" s="179">
        <v>0</v>
      </c>
      <c r="K237" s="179">
        <v>1124143.75</v>
      </c>
      <c r="L237" s="179">
        <v>756606.25</v>
      </c>
      <c r="M237" s="179">
        <v>762212.75</v>
      </c>
      <c r="N237" s="179">
        <v>482712.75</v>
      </c>
    </row>
    <row r="238" spans="1:14" s="156" customFormat="1" x14ac:dyDescent="0.25">
      <c r="A238" s="156" t="s">
        <v>545</v>
      </c>
      <c r="B238" s="156" t="s">
        <v>182</v>
      </c>
      <c r="C238" s="156" t="s">
        <v>183</v>
      </c>
      <c r="D238" s="156" t="s">
        <v>541</v>
      </c>
      <c r="E238" s="179">
        <v>25420000</v>
      </c>
      <c r="F238" s="179">
        <v>15420000</v>
      </c>
      <c r="G238" s="179">
        <v>14040000</v>
      </c>
      <c r="H238" s="179">
        <v>0</v>
      </c>
      <c r="I238" s="179">
        <v>10792989</v>
      </c>
      <c r="J238" s="179">
        <v>0</v>
      </c>
      <c r="K238" s="179">
        <v>1133135</v>
      </c>
      <c r="L238" s="179">
        <v>1133135</v>
      </c>
      <c r="M238" s="179">
        <v>3493876</v>
      </c>
      <c r="N238" s="179">
        <v>2113876</v>
      </c>
    </row>
    <row r="239" spans="1:14" s="156" customFormat="1" x14ac:dyDescent="0.25">
      <c r="A239" s="156" t="s">
        <v>545</v>
      </c>
      <c r="B239" s="156" t="s">
        <v>184</v>
      </c>
      <c r="C239" s="156" t="s">
        <v>185</v>
      </c>
      <c r="D239" s="156" t="s">
        <v>541</v>
      </c>
      <c r="E239" s="179">
        <v>7181770</v>
      </c>
      <c r="F239" s="179">
        <v>7181770</v>
      </c>
      <c r="G239" s="179">
        <v>5386327</v>
      </c>
      <c r="H239" s="179">
        <v>300000</v>
      </c>
      <c r="I239" s="179">
        <v>316319.52</v>
      </c>
      <c r="J239" s="179">
        <v>0</v>
      </c>
      <c r="K239" s="179">
        <v>2507667.2000000002</v>
      </c>
      <c r="L239" s="179">
        <v>800000</v>
      </c>
      <c r="M239" s="179">
        <v>4057783.28</v>
      </c>
      <c r="N239" s="179">
        <v>2262340.2799999998</v>
      </c>
    </row>
    <row r="240" spans="1:14" s="156" customFormat="1" x14ac:dyDescent="0.25">
      <c r="A240" s="156" t="s">
        <v>545</v>
      </c>
      <c r="B240" s="156" t="s">
        <v>186</v>
      </c>
      <c r="C240" s="156" t="s">
        <v>187</v>
      </c>
      <c r="D240" s="156" t="s">
        <v>541</v>
      </c>
      <c r="E240" s="179">
        <v>8196286</v>
      </c>
      <c r="F240" s="179">
        <v>10196286</v>
      </c>
      <c r="G240" s="179">
        <v>8147215</v>
      </c>
      <c r="H240" s="179">
        <v>0</v>
      </c>
      <c r="I240" s="179">
        <v>1392293</v>
      </c>
      <c r="J240" s="179">
        <v>221618.99</v>
      </c>
      <c r="K240" s="179">
        <v>2307048.2000000002</v>
      </c>
      <c r="L240" s="179">
        <v>2247048.2000000002</v>
      </c>
      <c r="M240" s="179">
        <v>6275325.8099999996</v>
      </c>
      <c r="N240" s="179">
        <v>4226254.8099999996</v>
      </c>
    </row>
    <row r="241" spans="1:14" s="156" customFormat="1" x14ac:dyDescent="0.25">
      <c r="A241" s="156" t="s">
        <v>545</v>
      </c>
      <c r="B241" s="156" t="s">
        <v>188</v>
      </c>
      <c r="C241" s="156" t="s">
        <v>189</v>
      </c>
      <c r="D241" s="156" t="s">
        <v>541</v>
      </c>
      <c r="E241" s="179">
        <v>28160737</v>
      </c>
      <c r="F241" s="179">
        <v>23460737</v>
      </c>
      <c r="G241" s="179">
        <v>17835553</v>
      </c>
      <c r="H241" s="179">
        <v>0</v>
      </c>
      <c r="I241" s="179">
        <v>810000</v>
      </c>
      <c r="J241" s="179">
        <v>0</v>
      </c>
      <c r="K241" s="179">
        <v>11335012.48</v>
      </c>
      <c r="L241" s="179">
        <v>7310012.4800000004</v>
      </c>
      <c r="M241" s="179">
        <v>11315724.52</v>
      </c>
      <c r="N241" s="179">
        <v>5690540.5199999996</v>
      </c>
    </row>
    <row r="242" spans="1:14" s="156" customFormat="1" x14ac:dyDescent="0.25">
      <c r="A242" s="156" t="s">
        <v>545</v>
      </c>
      <c r="B242" s="156" t="s">
        <v>190</v>
      </c>
      <c r="C242" s="156" t="s">
        <v>191</v>
      </c>
      <c r="D242" s="156" t="s">
        <v>541</v>
      </c>
      <c r="E242" s="179">
        <v>5604000</v>
      </c>
      <c r="F242" s="179">
        <v>4904000</v>
      </c>
      <c r="G242" s="179">
        <v>3503000</v>
      </c>
      <c r="H242" s="179">
        <v>200000</v>
      </c>
      <c r="I242" s="179">
        <v>609574.07999999996</v>
      </c>
      <c r="J242" s="179">
        <v>599470.30000000005</v>
      </c>
      <c r="K242" s="179">
        <v>0</v>
      </c>
      <c r="L242" s="179">
        <v>0</v>
      </c>
      <c r="M242" s="179">
        <v>3494955.62</v>
      </c>
      <c r="N242" s="179">
        <v>2093955.62</v>
      </c>
    </row>
    <row r="243" spans="1:14" s="156" customFormat="1" x14ac:dyDescent="0.25">
      <c r="A243" s="156" t="s">
        <v>545</v>
      </c>
      <c r="B243" s="156" t="s">
        <v>192</v>
      </c>
      <c r="C243" s="156" t="s">
        <v>193</v>
      </c>
      <c r="D243" s="156" t="s">
        <v>541</v>
      </c>
      <c r="E243" s="179">
        <v>1340000</v>
      </c>
      <c r="F243" s="179">
        <v>1340000</v>
      </c>
      <c r="G243" s="179">
        <v>1305000</v>
      </c>
      <c r="H243" s="179">
        <v>0</v>
      </c>
      <c r="I243" s="179">
        <v>24800</v>
      </c>
      <c r="J243" s="179">
        <v>0</v>
      </c>
      <c r="K243" s="179">
        <v>200</v>
      </c>
      <c r="L243" s="179">
        <v>200</v>
      </c>
      <c r="M243" s="179">
        <v>1315000</v>
      </c>
      <c r="N243" s="179">
        <v>1280000</v>
      </c>
    </row>
    <row r="244" spans="1:14" s="156" customFormat="1" x14ac:dyDescent="0.25">
      <c r="A244" s="156" t="s">
        <v>545</v>
      </c>
      <c r="B244" s="156" t="s">
        <v>194</v>
      </c>
      <c r="C244" s="156" t="s">
        <v>195</v>
      </c>
      <c r="D244" s="156" t="s">
        <v>541</v>
      </c>
      <c r="E244" s="179">
        <v>1340000</v>
      </c>
      <c r="F244" s="179">
        <v>1340000</v>
      </c>
      <c r="G244" s="179">
        <v>1305000</v>
      </c>
      <c r="H244" s="179">
        <v>0</v>
      </c>
      <c r="I244" s="179">
        <v>24800</v>
      </c>
      <c r="J244" s="179">
        <v>0</v>
      </c>
      <c r="K244" s="179">
        <v>200</v>
      </c>
      <c r="L244" s="179">
        <v>200</v>
      </c>
      <c r="M244" s="179">
        <v>1315000</v>
      </c>
      <c r="N244" s="179">
        <v>1280000</v>
      </c>
    </row>
    <row r="245" spans="1:14" s="156" customFormat="1" x14ac:dyDescent="0.25">
      <c r="A245" s="156" t="s">
        <v>545</v>
      </c>
      <c r="B245" s="156" t="s">
        <v>196</v>
      </c>
      <c r="C245" s="156" t="s">
        <v>197</v>
      </c>
      <c r="D245" s="156" t="s">
        <v>541</v>
      </c>
      <c r="E245" s="179">
        <v>2150000</v>
      </c>
      <c r="F245" s="179">
        <v>2150000</v>
      </c>
      <c r="G245" s="179">
        <v>1412500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2036792.22</v>
      </c>
      <c r="N245" s="179">
        <v>1299292.22</v>
      </c>
    </row>
    <row r="246" spans="1:14" s="156" customFormat="1" x14ac:dyDescent="0.25">
      <c r="A246" s="156" t="s">
        <v>545</v>
      </c>
      <c r="B246" s="156" t="s">
        <v>334</v>
      </c>
      <c r="C246" s="156" t="s">
        <v>335</v>
      </c>
      <c r="D246" s="156" t="s">
        <v>541</v>
      </c>
      <c r="E246" s="179">
        <v>150000</v>
      </c>
      <c r="F246" s="179">
        <v>150000</v>
      </c>
      <c r="G246" s="179">
        <v>150000</v>
      </c>
      <c r="H246" s="179">
        <v>0</v>
      </c>
      <c r="I246" s="179">
        <v>113207.78</v>
      </c>
      <c r="J246" s="179">
        <v>0</v>
      </c>
      <c r="K246" s="179">
        <v>0</v>
      </c>
      <c r="L246" s="179">
        <v>0</v>
      </c>
      <c r="M246" s="179">
        <v>36792.22</v>
      </c>
      <c r="N246" s="179">
        <v>36792.22</v>
      </c>
    </row>
    <row r="247" spans="1:14" s="156" customFormat="1" x14ac:dyDescent="0.25">
      <c r="A247" s="156" t="s">
        <v>545</v>
      </c>
      <c r="B247" s="156" t="s">
        <v>198</v>
      </c>
      <c r="C247" s="156" t="s">
        <v>199</v>
      </c>
      <c r="D247" s="156" t="s">
        <v>541</v>
      </c>
      <c r="E247" s="179">
        <v>2000000</v>
      </c>
      <c r="F247" s="179">
        <v>2000000</v>
      </c>
      <c r="G247" s="179">
        <v>1262500</v>
      </c>
      <c r="H247" s="179">
        <v>0</v>
      </c>
      <c r="I247" s="179">
        <v>0</v>
      </c>
      <c r="J247" s="179">
        <v>0</v>
      </c>
      <c r="K247" s="179">
        <v>0</v>
      </c>
      <c r="L247" s="179">
        <v>0</v>
      </c>
      <c r="M247" s="179">
        <v>2000000</v>
      </c>
      <c r="N247" s="179">
        <v>1262500</v>
      </c>
    </row>
    <row r="248" spans="1:14" s="156" customFormat="1" x14ac:dyDescent="0.25">
      <c r="A248" s="156" t="s">
        <v>545</v>
      </c>
      <c r="B248" s="156" t="s">
        <v>200</v>
      </c>
      <c r="C248" s="156" t="s">
        <v>201</v>
      </c>
      <c r="D248" s="156" t="s">
        <v>541</v>
      </c>
      <c r="E248" s="179">
        <v>65233793</v>
      </c>
      <c r="F248" s="179">
        <v>65233793</v>
      </c>
      <c r="G248" s="179">
        <v>43985344</v>
      </c>
      <c r="H248" s="179">
        <v>248958.71</v>
      </c>
      <c r="I248" s="179">
        <v>4554625.76</v>
      </c>
      <c r="J248" s="179">
        <v>1850871.06</v>
      </c>
      <c r="K248" s="179">
        <v>8139267.6399999997</v>
      </c>
      <c r="L248" s="179">
        <v>8139267.6399999997</v>
      </c>
      <c r="M248" s="179">
        <v>50440069.829999998</v>
      </c>
      <c r="N248" s="179">
        <v>29191620.829999998</v>
      </c>
    </row>
    <row r="249" spans="1:14" s="156" customFormat="1" x14ac:dyDescent="0.25">
      <c r="A249" s="156" t="s">
        <v>545</v>
      </c>
      <c r="B249" s="156" t="s">
        <v>202</v>
      </c>
      <c r="C249" s="156" t="s">
        <v>203</v>
      </c>
      <c r="D249" s="156" t="s">
        <v>541</v>
      </c>
      <c r="E249" s="179">
        <v>34706100</v>
      </c>
      <c r="F249" s="179">
        <v>34706100</v>
      </c>
      <c r="G249" s="179">
        <v>23729574</v>
      </c>
      <c r="H249" s="179">
        <v>0</v>
      </c>
      <c r="I249" s="179">
        <v>2477202.36</v>
      </c>
      <c r="J249" s="179">
        <v>0</v>
      </c>
      <c r="K249" s="179">
        <v>7218867.6399999997</v>
      </c>
      <c r="L249" s="179">
        <v>7218867.6399999997</v>
      </c>
      <c r="M249" s="179">
        <v>25010030</v>
      </c>
      <c r="N249" s="179">
        <v>14033504</v>
      </c>
    </row>
    <row r="250" spans="1:14" s="156" customFormat="1" x14ac:dyDescent="0.25">
      <c r="A250" s="156" t="s">
        <v>545</v>
      </c>
      <c r="B250" s="156" t="s">
        <v>204</v>
      </c>
      <c r="C250" s="156" t="s">
        <v>205</v>
      </c>
      <c r="D250" s="156" t="s">
        <v>541</v>
      </c>
      <c r="E250" s="179">
        <v>26298967</v>
      </c>
      <c r="F250" s="179">
        <v>26298967</v>
      </c>
      <c r="G250" s="179">
        <v>18424225</v>
      </c>
      <c r="H250" s="179">
        <v>0</v>
      </c>
      <c r="I250" s="179">
        <v>2477202.36</v>
      </c>
      <c r="J250" s="179">
        <v>0</v>
      </c>
      <c r="K250" s="179">
        <v>7218867.6399999997</v>
      </c>
      <c r="L250" s="179">
        <v>7218867.6399999997</v>
      </c>
      <c r="M250" s="179">
        <v>16602897</v>
      </c>
      <c r="N250" s="179">
        <v>8728155</v>
      </c>
    </row>
    <row r="251" spans="1:14" s="156" customFormat="1" x14ac:dyDescent="0.25">
      <c r="A251" s="156" t="s">
        <v>545</v>
      </c>
      <c r="B251" s="156" t="s">
        <v>208</v>
      </c>
      <c r="C251" s="156" t="s">
        <v>209</v>
      </c>
      <c r="D251" s="156" t="s">
        <v>541</v>
      </c>
      <c r="E251" s="179">
        <v>8102133</v>
      </c>
      <c r="F251" s="179">
        <v>8102133</v>
      </c>
      <c r="G251" s="179">
        <v>5076599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8102133</v>
      </c>
      <c r="N251" s="179">
        <v>5076599</v>
      </c>
    </row>
    <row r="252" spans="1:14" s="156" customFormat="1" x14ac:dyDescent="0.25">
      <c r="A252" s="156" t="s">
        <v>545</v>
      </c>
      <c r="B252" s="156" t="s">
        <v>210</v>
      </c>
      <c r="C252" s="156" t="s">
        <v>211</v>
      </c>
      <c r="D252" s="156" t="s">
        <v>541</v>
      </c>
      <c r="E252" s="179">
        <v>305000</v>
      </c>
      <c r="F252" s="179">
        <v>305000</v>
      </c>
      <c r="G252" s="179">
        <v>228750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305000</v>
      </c>
      <c r="N252" s="179">
        <v>228750</v>
      </c>
    </row>
    <row r="253" spans="1:14" s="156" customFormat="1" x14ac:dyDescent="0.25">
      <c r="A253" s="156" t="s">
        <v>545</v>
      </c>
      <c r="B253" s="156" t="s">
        <v>216</v>
      </c>
      <c r="C253" s="156" t="s">
        <v>217</v>
      </c>
      <c r="D253" s="156" t="s">
        <v>541</v>
      </c>
      <c r="E253" s="179">
        <v>2978000</v>
      </c>
      <c r="F253" s="179">
        <v>2978000</v>
      </c>
      <c r="G253" s="179">
        <v>1983500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2978000</v>
      </c>
      <c r="N253" s="179">
        <v>1983500</v>
      </c>
    </row>
    <row r="254" spans="1:14" s="156" customFormat="1" x14ac:dyDescent="0.25">
      <c r="A254" s="156" t="s">
        <v>545</v>
      </c>
      <c r="B254" s="156" t="s">
        <v>218</v>
      </c>
      <c r="C254" s="156" t="s">
        <v>219</v>
      </c>
      <c r="D254" s="156" t="s">
        <v>541</v>
      </c>
      <c r="E254" s="179">
        <v>830000</v>
      </c>
      <c r="F254" s="179">
        <v>830000</v>
      </c>
      <c r="G254" s="179">
        <v>522500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830000</v>
      </c>
      <c r="N254" s="179">
        <v>522500</v>
      </c>
    </row>
    <row r="255" spans="1:14" s="156" customFormat="1" x14ac:dyDescent="0.25">
      <c r="A255" s="156" t="s">
        <v>545</v>
      </c>
      <c r="B255" s="156" t="s">
        <v>336</v>
      </c>
      <c r="C255" s="156" t="s">
        <v>337</v>
      </c>
      <c r="D255" s="156" t="s">
        <v>541</v>
      </c>
      <c r="E255" s="179">
        <v>67000</v>
      </c>
      <c r="F255" s="179">
        <v>67000</v>
      </c>
      <c r="G255" s="179">
        <v>50250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67000</v>
      </c>
      <c r="N255" s="179">
        <v>50250</v>
      </c>
    </row>
    <row r="256" spans="1:14" s="156" customFormat="1" x14ac:dyDescent="0.25">
      <c r="A256" s="156" t="s">
        <v>545</v>
      </c>
      <c r="B256" s="156" t="s">
        <v>338</v>
      </c>
      <c r="C256" s="156" t="s">
        <v>339</v>
      </c>
      <c r="D256" s="156" t="s">
        <v>541</v>
      </c>
      <c r="E256" s="179">
        <v>99000</v>
      </c>
      <c r="F256" s="179">
        <v>99000</v>
      </c>
      <c r="G256" s="179">
        <v>74250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99000</v>
      </c>
      <c r="N256" s="179">
        <v>74250</v>
      </c>
    </row>
    <row r="257" spans="1:14" s="156" customFormat="1" x14ac:dyDescent="0.25">
      <c r="A257" s="156" t="s">
        <v>545</v>
      </c>
      <c r="B257" s="156" t="s">
        <v>220</v>
      </c>
      <c r="C257" s="156" t="s">
        <v>221</v>
      </c>
      <c r="D257" s="156" t="s">
        <v>541</v>
      </c>
      <c r="E257" s="179">
        <v>1345000</v>
      </c>
      <c r="F257" s="179">
        <v>1345000</v>
      </c>
      <c r="G257" s="179">
        <v>858750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1345000</v>
      </c>
      <c r="N257" s="179">
        <v>858750</v>
      </c>
    </row>
    <row r="258" spans="1:14" s="156" customFormat="1" x14ac:dyDescent="0.25">
      <c r="A258" s="156" t="s">
        <v>545</v>
      </c>
      <c r="B258" s="156" t="s">
        <v>222</v>
      </c>
      <c r="C258" s="156" t="s">
        <v>223</v>
      </c>
      <c r="D258" s="156" t="s">
        <v>541</v>
      </c>
      <c r="E258" s="179">
        <v>40000</v>
      </c>
      <c r="F258" s="179">
        <v>40000</v>
      </c>
      <c r="G258" s="179">
        <v>30000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40000</v>
      </c>
      <c r="N258" s="179">
        <v>30000</v>
      </c>
    </row>
    <row r="259" spans="1:14" s="156" customFormat="1" x14ac:dyDescent="0.25">
      <c r="A259" s="156" t="s">
        <v>545</v>
      </c>
      <c r="B259" s="156" t="s">
        <v>224</v>
      </c>
      <c r="C259" s="156" t="s">
        <v>225</v>
      </c>
      <c r="D259" s="156" t="s">
        <v>541</v>
      </c>
      <c r="E259" s="179">
        <v>198000</v>
      </c>
      <c r="F259" s="179">
        <v>198000</v>
      </c>
      <c r="G259" s="179">
        <v>148500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198000</v>
      </c>
      <c r="N259" s="179">
        <v>148500</v>
      </c>
    </row>
    <row r="260" spans="1:14" s="156" customFormat="1" x14ac:dyDescent="0.25">
      <c r="A260" s="156" t="s">
        <v>545</v>
      </c>
      <c r="B260" s="156" t="s">
        <v>226</v>
      </c>
      <c r="C260" s="156" t="s">
        <v>227</v>
      </c>
      <c r="D260" s="156" t="s">
        <v>541</v>
      </c>
      <c r="E260" s="179">
        <v>399000</v>
      </c>
      <c r="F260" s="179">
        <v>399000</v>
      </c>
      <c r="G260" s="179">
        <v>299250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399000</v>
      </c>
      <c r="N260" s="179">
        <v>299250</v>
      </c>
    </row>
    <row r="261" spans="1:14" s="156" customFormat="1" x14ac:dyDescent="0.25">
      <c r="A261" s="156" t="s">
        <v>545</v>
      </c>
      <c r="B261" s="156" t="s">
        <v>228</v>
      </c>
      <c r="C261" s="156" t="s">
        <v>229</v>
      </c>
      <c r="D261" s="156" t="s">
        <v>541</v>
      </c>
      <c r="E261" s="179">
        <v>3047000</v>
      </c>
      <c r="F261" s="179">
        <v>3047000</v>
      </c>
      <c r="G261" s="179">
        <v>1960250</v>
      </c>
      <c r="H261" s="179">
        <v>248958.71</v>
      </c>
      <c r="I261" s="179">
        <v>0</v>
      </c>
      <c r="J261" s="179">
        <v>0</v>
      </c>
      <c r="K261" s="179">
        <v>0</v>
      </c>
      <c r="L261" s="179">
        <v>0</v>
      </c>
      <c r="M261" s="179">
        <v>2798041.29</v>
      </c>
      <c r="N261" s="179">
        <v>1711291.29</v>
      </c>
    </row>
    <row r="262" spans="1:14" s="156" customFormat="1" x14ac:dyDescent="0.25">
      <c r="A262" s="156" t="s">
        <v>545</v>
      </c>
      <c r="B262" s="156" t="s">
        <v>230</v>
      </c>
      <c r="C262" s="156" t="s">
        <v>231</v>
      </c>
      <c r="D262" s="156" t="s">
        <v>541</v>
      </c>
      <c r="E262" s="179">
        <v>251000</v>
      </c>
      <c r="F262" s="179">
        <v>251000</v>
      </c>
      <c r="G262" s="179">
        <v>188250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251000</v>
      </c>
      <c r="N262" s="179">
        <v>188250</v>
      </c>
    </row>
    <row r="263" spans="1:14" s="156" customFormat="1" x14ac:dyDescent="0.25">
      <c r="A263" s="156" t="s">
        <v>545</v>
      </c>
      <c r="B263" s="156" t="s">
        <v>232</v>
      </c>
      <c r="C263" s="156" t="s">
        <v>233</v>
      </c>
      <c r="D263" s="156" t="s">
        <v>541</v>
      </c>
      <c r="E263" s="179">
        <v>2796000</v>
      </c>
      <c r="F263" s="179">
        <v>2796000</v>
      </c>
      <c r="G263" s="179">
        <v>1772000</v>
      </c>
      <c r="H263" s="179">
        <v>248958.71</v>
      </c>
      <c r="I263" s="179">
        <v>0</v>
      </c>
      <c r="J263" s="179">
        <v>0</v>
      </c>
      <c r="K263" s="179">
        <v>0</v>
      </c>
      <c r="L263" s="179">
        <v>0</v>
      </c>
      <c r="M263" s="179">
        <v>2547041.29</v>
      </c>
      <c r="N263" s="179">
        <v>1523041.29</v>
      </c>
    </row>
    <row r="264" spans="1:14" s="156" customFormat="1" x14ac:dyDescent="0.25">
      <c r="A264" s="156" t="s">
        <v>545</v>
      </c>
      <c r="B264" s="156" t="s">
        <v>234</v>
      </c>
      <c r="C264" s="156" t="s">
        <v>601</v>
      </c>
      <c r="D264" s="156" t="s">
        <v>541</v>
      </c>
      <c r="E264" s="179">
        <v>24502693</v>
      </c>
      <c r="F264" s="179">
        <v>24502693</v>
      </c>
      <c r="G264" s="179">
        <v>16312020</v>
      </c>
      <c r="H264" s="179">
        <v>0</v>
      </c>
      <c r="I264" s="179">
        <v>2077423.4</v>
      </c>
      <c r="J264" s="179">
        <v>1850871.06</v>
      </c>
      <c r="K264" s="179">
        <v>920400</v>
      </c>
      <c r="L264" s="179">
        <v>920400</v>
      </c>
      <c r="M264" s="179">
        <v>19653998.539999999</v>
      </c>
      <c r="N264" s="179">
        <v>11463325.539999999</v>
      </c>
    </row>
    <row r="265" spans="1:14" s="156" customFormat="1" x14ac:dyDescent="0.25">
      <c r="A265" s="156" t="s">
        <v>545</v>
      </c>
      <c r="B265" s="156" t="s">
        <v>235</v>
      </c>
      <c r="C265" s="156" t="s">
        <v>236</v>
      </c>
      <c r="D265" s="156" t="s">
        <v>541</v>
      </c>
      <c r="E265" s="179">
        <v>7116000</v>
      </c>
      <c r="F265" s="179">
        <v>7116000</v>
      </c>
      <c r="G265" s="179">
        <v>5812000</v>
      </c>
      <c r="H265" s="179">
        <v>0</v>
      </c>
      <c r="I265" s="179">
        <v>289852.21999999997</v>
      </c>
      <c r="J265" s="179">
        <v>1850871.06</v>
      </c>
      <c r="K265" s="179">
        <v>119000</v>
      </c>
      <c r="L265" s="179">
        <v>119000</v>
      </c>
      <c r="M265" s="179">
        <v>4856276.72</v>
      </c>
      <c r="N265" s="179">
        <v>3552276.72</v>
      </c>
    </row>
    <row r="266" spans="1:14" s="156" customFormat="1" x14ac:dyDescent="0.25">
      <c r="A266" s="156" t="s">
        <v>545</v>
      </c>
      <c r="B266" s="156" t="s">
        <v>237</v>
      </c>
      <c r="C266" s="156" t="s">
        <v>238</v>
      </c>
      <c r="D266" s="156" t="s">
        <v>541</v>
      </c>
      <c r="E266" s="179">
        <v>0</v>
      </c>
      <c r="F266" s="179">
        <v>0</v>
      </c>
      <c r="G266" s="179">
        <v>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0</v>
      </c>
      <c r="N266" s="179">
        <v>0</v>
      </c>
    </row>
    <row r="267" spans="1:14" s="156" customFormat="1" x14ac:dyDescent="0.25">
      <c r="A267" s="156" t="s">
        <v>545</v>
      </c>
      <c r="B267" s="156" t="s">
        <v>239</v>
      </c>
      <c r="C267" s="156" t="s">
        <v>240</v>
      </c>
      <c r="D267" s="156" t="s">
        <v>541</v>
      </c>
      <c r="E267" s="179">
        <v>15203693</v>
      </c>
      <c r="F267" s="179">
        <v>15203693</v>
      </c>
      <c r="G267" s="179">
        <v>8837770</v>
      </c>
      <c r="H267" s="179">
        <v>0</v>
      </c>
      <c r="I267" s="179">
        <v>1650231.18</v>
      </c>
      <c r="J267" s="179">
        <v>0</v>
      </c>
      <c r="K267" s="179">
        <v>410000</v>
      </c>
      <c r="L267" s="179">
        <v>410000</v>
      </c>
      <c r="M267" s="179">
        <v>13143461.82</v>
      </c>
      <c r="N267" s="179">
        <v>6777538.8200000003</v>
      </c>
    </row>
    <row r="268" spans="1:14" s="156" customFormat="1" x14ac:dyDescent="0.25">
      <c r="A268" s="156" t="s">
        <v>545</v>
      </c>
      <c r="B268" s="156" t="s">
        <v>241</v>
      </c>
      <c r="C268" s="156" t="s">
        <v>242</v>
      </c>
      <c r="D268" s="156" t="s">
        <v>541</v>
      </c>
      <c r="E268" s="179">
        <v>133000</v>
      </c>
      <c r="F268" s="179">
        <v>133000</v>
      </c>
      <c r="G268" s="179">
        <v>99750</v>
      </c>
      <c r="H268" s="179">
        <v>0</v>
      </c>
      <c r="I268" s="179">
        <v>0</v>
      </c>
      <c r="J268" s="179">
        <v>0</v>
      </c>
      <c r="K268" s="179">
        <v>0</v>
      </c>
      <c r="L268" s="179">
        <v>0</v>
      </c>
      <c r="M268" s="179">
        <v>133000</v>
      </c>
      <c r="N268" s="179">
        <v>99750</v>
      </c>
    </row>
    <row r="269" spans="1:14" s="156" customFormat="1" x14ac:dyDescent="0.25">
      <c r="A269" s="156" t="s">
        <v>545</v>
      </c>
      <c r="B269" s="156" t="s">
        <v>243</v>
      </c>
      <c r="C269" s="156" t="s">
        <v>244</v>
      </c>
      <c r="D269" s="156" t="s">
        <v>541</v>
      </c>
      <c r="E269" s="179">
        <v>1356000</v>
      </c>
      <c r="F269" s="179">
        <v>1356000</v>
      </c>
      <c r="G269" s="179">
        <v>1042000</v>
      </c>
      <c r="H269" s="179">
        <v>0</v>
      </c>
      <c r="I269" s="179">
        <v>0</v>
      </c>
      <c r="J269" s="179">
        <v>0</v>
      </c>
      <c r="K269" s="179">
        <v>386600</v>
      </c>
      <c r="L269" s="179">
        <v>386600</v>
      </c>
      <c r="M269" s="179">
        <v>969400</v>
      </c>
      <c r="N269" s="179">
        <v>655400</v>
      </c>
    </row>
    <row r="270" spans="1:14" s="156" customFormat="1" x14ac:dyDescent="0.25">
      <c r="A270" s="156" t="s">
        <v>545</v>
      </c>
      <c r="B270" s="156" t="s">
        <v>245</v>
      </c>
      <c r="C270" s="156" t="s">
        <v>246</v>
      </c>
      <c r="D270" s="156" t="s">
        <v>541</v>
      </c>
      <c r="E270" s="179">
        <v>123000</v>
      </c>
      <c r="F270" s="179">
        <v>123000</v>
      </c>
      <c r="G270" s="179">
        <v>92250</v>
      </c>
      <c r="H270" s="179">
        <v>0</v>
      </c>
      <c r="I270" s="179">
        <v>0</v>
      </c>
      <c r="J270" s="179">
        <v>0</v>
      </c>
      <c r="K270" s="179">
        <v>4800</v>
      </c>
      <c r="L270" s="179">
        <v>4800</v>
      </c>
      <c r="M270" s="179">
        <v>118200</v>
      </c>
      <c r="N270" s="179">
        <v>87450</v>
      </c>
    </row>
    <row r="271" spans="1:14" s="156" customFormat="1" x14ac:dyDescent="0.25">
      <c r="A271" s="156" t="s">
        <v>545</v>
      </c>
      <c r="B271" s="156" t="s">
        <v>249</v>
      </c>
      <c r="C271" s="156" t="s">
        <v>250</v>
      </c>
      <c r="D271" s="156" t="s">
        <v>541</v>
      </c>
      <c r="E271" s="179">
        <v>571000</v>
      </c>
      <c r="F271" s="179">
        <v>571000</v>
      </c>
      <c r="G271" s="179">
        <v>428250</v>
      </c>
      <c r="H271" s="179">
        <v>0</v>
      </c>
      <c r="I271" s="179">
        <v>137340</v>
      </c>
      <c r="J271" s="179">
        <v>0</v>
      </c>
      <c r="K271" s="179">
        <v>0</v>
      </c>
      <c r="L271" s="179">
        <v>0</v>
      </c>
      <c r="M271" s="179">
        <v>433660</v>
      </c>
      <c r="N271" s="179">
        <v>290910</v>
      </c>
    </row>
    <row r="272" spans="1:14" s="156" customFormat="1" x14ac:dyDescent="0.25">
      <c r="A272" s="156" t="s">
        <v>545</v>
      </c>
      <c r="B272" s="156" t="s">
        <v>251</v>
      </c>
      <c r="C272" s="156" t="s">
        <v>252</v>
      </c>
      <c r="D272" s="156" t="s">
        <v>541</v>
      </c>
      <c r="E272" s="179">
        <v>298129000</v>
      </c>
      <c r="F272" s="179">
        <v>306729000</v>
      </c>
      <c r="G272" s="179">
        <v>240451150</v>
      </c>
      <c r="H272" s="179">
        <v>0</v>
      </c>
      <c r="I272" s="179">
        <v>61924035.049999997</v>
      </c>
      <c r="J272" s="179">
        <v>0</v>
      </c>
      <c r="K272" s="179">
        <v>96299210.709999993</v>
      </c>
      <c r="L272" s="179">
        <v>96299210.709999993</v>
      </c>
      <c r="M272" s="179">
        <v>148505754.24000001</v>
      </c>
      <c r="N272" s="179">
        <v>82227904.239999995</v>
      </c>
    </row>
    <row r="273" spans="1:14" s="156" customFormat="1" x14ac:dyDescent="0.25">
      <c r="A273" s="156" t="s">
        <v>545</v>
      </c>
      <c r="B273" s="156" t="s">
        <v>253</v>
      </c>
      <c r="C273" s="156" t="s">
        <v>254</v>
      </c>
      <c r="D273" s="156" t="s">
        <v>541</v>
      </c>
      <c r="E273" s="179">
        <v>115667000</v>
      </c>
      <c r="F273" s="179">
        <v>115667000</v>
      </c>
      <c r="G273" s="179">
        <v>115667000</v>
      </c>
      <c r="H273" s="179">
        <v>0</v>
      </c>
      <c r="I273" s="179">
        <v>61918653.039999999</v>
      </c>
      <c r="J273" s="179">
        <v>0</v>
      </c>
      <c r="K273" s="179">
        <v>53748346.960000001</v>
      </c>
      <c r="L273" s="179">
        <v>53748346.960000001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344</v>
      </c>
      <c r="C274" s="156" t="s">
        <v>602</v>
      </c>
      <c r="D274" s="156" t="s">
        <v>541</v>
      </c>
      <c r="E274" s="179">
        <v>96260000</v>
      </c>
      <c r="F274" s="179">
        <v>96260000</v>
      </c>
      <c r="G274" s="179">
        <v>96260000</v>
      </c>
      <c r="H274" s="179">
        <v>0</v>
      </c>
      <c r="I274" s="179">
        <v>51529832.07</v>
      </c>
      <c r="J274" s="179">
        <v>0</v>
      </c>
      <c r="K274" s="179">
        <v>44730167.93</v>
      </c>
      <c r="L274" s="179">
        <v>44730167.93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345</v>
      </c>
      <c r="C275" s="156" t="s">
        <v>603</v>
      </c>
      <c r="D275" s="156" t="s">
        <v>541</v>
      </c>
      <c r="E275" s="179">
        <v>19407000</v>
      </c>
      <c r="F275" s="179">
        <v>19407000</v>
      </c>
      <c r="G275" s="179">
        <v>19407000</v>
      </c>
      <c r="H275" s="179">
        <v>0</v>
      </c>
      <c r="I275" s="179">
        <v>10388820.970000001</v>
      </c>
      <c r="J275" s="179">
        <v>0</v>
      </c>
      <c r="K275" s="179">
        <v>9018179.0299999993</v>
      </c>
      <c r="L275" s="179">
        <v>9018179.0299999993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261</v>
      </c>
      <c r="C276" s="156" t="s">
        <v>262</v>
      </c>
      <c r="D276" s="156" t="s">
        <v>541</v>
      </c>
      <c r="E276" s="179">
        <v>179462000</v>
      </c>
      <c r="F276" s="179">
        <v>179462000</v>
      </c>
      <c r="G276" s="179">
        <v>113184150</v>
      </c>
      <c r="H276" s="179">
        <v>0</v>
      </c>
      <c r="I276" s="179">
        <v>5382.01</v>
      </c>
      <c r="J276" s="179">
        <v>0</v>
      </c>
      <c r="K276" s="179">
        <v>31161400.489999998</v>
      </c>
      <c r="L276" s="179">
        <v>31161400.489999998</v>
      </c>
      <c r="M276" s="179">
        <v>148295217.5</v>
      </c>
      <c r="N276" s="179">
        <v>82017367.5</v>
      </c>
    </row>
    <row r="277" spans="1:14" s="156" customFormat="1" x14ac:dyDescent="0.25">
      <c r="A277" s="156" t="s">
        <v>545</v>
      </c>
      <c r="B277" s="156" t="s">
        <v>263</v>
      </c>
      <c r="C277" s="156" t="s">
        <v>264</v>
      </c>
      <c r="D277" s="156" t="s">
        <v>541</v>
      </c>
      <c r="E277" s="179">
        <v>150000000</v>
      </c>
      <c r="F277" s="179">
        <v>150000000</v>
      </c>
      <c r="G277" s="179">
        <v>83722150</v>
      </c>
      <c r="H277" s="179">
        <v>0</v>
      </c>
      <c r="I277" s="179">
        <v>5382.01</v>
      </c>
      <c r="J277" s="179">
        <v>0</v>
      </c>
      <c r="K277" s="179">
        <v>16857945.489999998</v>
      </c>
      <c r="L277" s="179">
        <v>16857945.489999998</v>
      </c>
      <c r="M277" s="179">
        <v>133136672.5</v>
      </c>
      <c r="N277" s="179">
        <v>66858822.5</v>
      </c>
    </row>
    <row r="278" spans="1:14" s="156" customFormat="1" x14ac:dyDescent="0.25">
      <c r="A278" s="156" t="s">
        <v>545</v>
      </c>
      <c r="B278" s="156" t="s">
        <v>265</v>
      </c>
      <c r="C278" s="156" t="s">
        <v>266</v>
      </c>
      <c r="D278" s="156" t="s">
        <v>541</v>
      </c>
      <c r="E278" s="179">
        <v>29462000</v>
      </c>
      <c r="F278" s="179">
        <v>29462000</v>
      </c>
      <c r="G278" s="179">
        <v>29462000</v>
      </c>
      <c r="H278" s="179">
        <v>0</v>
      </c>
      <c r="I278" s="179">
        <v>0</v>
      </c>
      <c r="J278" s="179">
        <v>0</v>
      </c>
      <c r="K278" s="179">
        <v>14303455</v>
      </c>
      <c r="L278" s="179">
        <v>14303455</v>
      </c>
      <c r="M278" s="179">
        <v>15158545</v>
      </c>
      <c r="N278" s="179">
        <v>15158545</v>
      </c>
    </row>
    <row r="279" spans="1:14" s="156" customFormat="1" x14ac:dyDescent="0.25">
      <c r="A279" s="156" t="s">
        <v>545</v>
      </c>
      <c r="B279" s="156" t="s">
        <v>267</v>
      </c>
      <c r="C279" s="156" t="s">
        <v>268</v>
      </c>
      <c r="D279" s="156" t="s">
        <v>541</v>
      </c>
      <c r="E279" s="179">
        <v>3000000</v>
      </c>
      <c r="F279" s="179">
        <v>11600000</v>
      </c>
      <c r="G279" s="179">
        <v>11600000</v>
      </c>
      <c r="H279" s="179">
        <v>0</v>
      </c>
      <c r="I279" s="179">
        <v>0</v>
      </c>
      <c r="J279" s="179">
        <v>0</v>
      </c>
      <c r="K279" s="179">
        <v>11389463.26</v>
      </c>
      <c r="L279" s="179">
        <v>11389463.26</v>
      </c>
      <c r="M279" s="179">
        <v>210536.74</v>
      </c>
      <c r="N279" s="179">
        <v>210536.74</v>
      </c>
    </row>
    <row r="280" spans="1:14" s="156" customFormat="1" x14ac:dyDescent="0.25">
      <c r="A280" s="156" t="s">
        <v>545</v>
      </c>
      <c r="B280" s="156" t="s">
        <v>269</v>
      </c>
      <c r="C280" s="156" t="s">
        <v>270</v>
      </c>
      <c r="D280" s="156" t="s">
        <v>541</v>
      </c>
      <c r="E280" s="179">
        <v>3000000</v>
      </c>
      <c r="F280" s="179">
        <v>11600000</v>
      </c>
      <c r="G280" s="179">
        <v>11600000</v>
      </c>
      <c r="H280" s="179">
        <v>0</v>
      </c>
      <c r="I280" s="179">
        <v>0</v>
      </c>
      <c r="J280" s="179">
        <v>0</v>
      </c>
      <c r="K280" s="179">
        <v>11389463.26</v>
      </c>
      <c r="L280" s="179">
        <v>11389463.26</v>
      </c>
      <c r="M280" s="179">
        <v>210536.74</v>
      </c>
      <c r="N280" s="179">
        <v>210536.74</v>
      </c>
    </row>
    <row r="281" spans="1:14" s="156" customFormat="1" x14ac:dyDescent="0.25">
      <c r="A281" s="156" t="s">
        <v>545</v>
      </c>
      <c r="B281" s="156" t="s">
        <v>279</v>
      </c>
      <c r="C281" s="156" t="s">
        <v>280</v>
      </c>
      <c r="D281" s="156" t="s">
        <v>543</v>
      </c>
      <c r="E281" s="179">
        <v>47031000</v>
      </c>
      <c r="F281" s="179">
        <v>47031000</v>
      </c>
      <c r="G281" s="179">
        <v>39729500</v>
      </c>
      <c r="H281" s="179">
        <v>0</v>
      </c>
      <c r="I281" s="179">
        <v>0</v>
      </c>
      <c r="J281" s="179">
        <v>5911980.6600000001</v>
      </c>
      <c r="K281" s="179">
        <v>16655095.76</v>
      </c>
      <c r="L281" s="179">
        <v>15361913.76</v>
      </c>
      <c r="M281" s="179">
        <v>24463923.579999998</v>
      </c>
      <c r="N281" s="179">
        <v>17162423.579999998</v>
      </c>
    </row>
    <row r="282" spans="1:14" s="156" customFormat="1" x14ac:dyDescent="0.25">
      <c r="A282" s="156" t="s">
        <v>545</v>
      </c>
      <c r="B282" s="156" t="s">
        <v>281</v>
      </c>
      <c r="C282" s="156" t="s">
        <v>282</v>
      </c>
      <c r="D282" s="156" t="s">
        <v>543</v>
      </c>
      <c r="E282" s="179">
        <v>25000000</v>
      </c>
      <c r="F282" s="179">
        <v>17047517.809999999</v>
      </c>
      <c r="G282" s="179">
        <v>16347517.810000001</v>
      </c>
      <c r="H282" s="179">
        <v>0</v>
      </c>
      <c r="I282" s="179">
        <v>0</v>
      </c>
      <c r="J282" s="179">
        <v>0</v>
      </c>
      <c r="K282" s="179">
        <v>13762283.65</v>
      </c>
      <c r="L282" s="179">
        <v>13762283.65</v>
      </c>
      <c r="M282" s="179">
        <v>3285234.16</v>
      </c>
      <c r="N282" s="179">
        <v>2585234.16</v>
      </c>
    </row>
    <row r="283" spans="1:14" s="156" customFormat="1" x14ac:dyDescent="0.25">
      <c r="A283" s="156" t="s">
        <v>545</v>
      </c>
      <c r="B283" s="156" t="s">
        <v>398</v>
      </c>
      <c r="C283" s="156" t="s">
        <v>501</v>
      </c>
      <c r="D283" s="156" t="s">
        <v>543</v>
      </c>
      <c r="E283" s="179">
        <v>15000000</v>
      </c>
      <c r="F283" s="179">
        <v>13762284</v>
      </c>
      <c r="G283" s="179">
        <v>13762284</v>
      </c>
      <c r="H283" s="179">
        <v>0</v>
      </c>
      <c r="I283" s="179">
        <v>0</v>
      </c>
      <c r="J283" s="179">
        <v>0</v>
      </c>
      <c r="K283" s="179">
        <v>13762283.65</v>
      </c>
      <c r="L283" s="179">
        <v>13762283.65</v>
      </c>
      <c r="M283" s="179">
        <v>0.35</v>
      </c>
      <c r="N283" s="179">
        <v>0.35</v>
      </c>
    </row>
    <row r="284" spans="1:14" s="156" customFormat="1" x14ac:dyDescent="0.25">
      <c r="A284" s="156" t="s">
        <v>545</v>
      </c>
      <c r="B284" s="156" t="s">
        <v>285</v>
      </c>
      <c r="C284" s="156" t="s">
        <v>286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287</v>
      </c>
      <c r="C285" s="156" t="s">
        <v>288</v>
      </c>
      <c r="D285" s="156" t="s">
        <v>543</v>
      </c>
      <c r="E285" s="179">
        <v>0</v>
      </c>
      <c r="F285" s="179">
        <v>0</v>
      </c>
      <c r="G285" s="179">
        <v>0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289</v>
      </c>
      <c r="C286" s="156" t="s">
        <v>290</v>
      </c>
      <c r="D286" s="156" t="s">
        <v>543</v>
      </c>
      <c r="E286" s="179">
        <v>10000000</v>
      </c>
      <c r="F286" s="179">
        <v>2585233.81</v>
      </c>
      <c r="G286" s="179">
        <v>2585233.81</v>
      </c>
      <c r="H286" s="179">
        <v>0</v>
      </c>
      <c r="I286" s="179">
        <v>0</v>
      </c>
      <c r="J286" s="179">
        <v>0</v>
      </c>
      <c r="K286" s="179">
        <v>0</v>
      </c>
      <c r="L286" s="179">
        <v>0</v>
      </c>
      <c r="M286" s="179">
        <v>2585233.81</v>
      </c>
      <c r="N286" s="179">
        <v>2585233.81</v>
      </c>
    </row>
    <row r="287" spans="1:14" s="156" customFormat="1" x14ac:dyDescent="0.25">
      <c r="A287" s="156" t="s">
        <v>545</v>
      </c>
      <c r="B287" s="156" t="s">
        <v>291</v>
      </c>
      <c r="C287" s="156" t="s">
        <v>292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295</v>
      </c>
      <c r="C288" s="156" t="s">
        <v>296</v>
      </c>
      <c r="D288" s="156" t="s">
        <v>543</v>
      </c>
      <c r="E288" s="179">
        <v>0</v>
      </c>
      <c r="F288" s="179">
        <v>700000</v>
      </c>
      <c r="G288" s="179">
        <v>0</v>
      </c>
      <c r="H288" s="179">
        <v>0</v>
      </c>
      <c r="I288" s="179">
        <v>0</v>
      </c>
      <c r="J288" s="179">
        <v>0</v>
      </c>
      <c r="K288" s="179">
        <v>0</v>
      </c>
      <c r="L288" s="179">
        <v>0</v>
      </c>
      <c r="M288" s="179">
        <v>700000</v>
      </c>
      <c r="N288" s="179">
        <v>0</v>
      </c>
    </row>
    <row r="289" spans="1:14" s="156" customFormat="1" x14ac:dyDescent="0.25">
      <c r="A289" s="156" t="s">
        <v>545</v>
      </c>
      <c r="B289" s="156" t="s">
        <v>297</v>
      </c>
      <c r="C289" s="156" t="s">
        <v>298</v>
      </c>
      <c r="D289" s="156" t="s">
        <v>543</v>
      </c>
      <c r="E289" s="179">
        <v>0</v>
      </c>
      <c r="F289" s="179">
        <v>1350982.19</v>
      </c>
      <c r="G289" s="179">
        <v>1350982.19</v>
      </c>
      <c r="H289" s="179">
        <v>0</v>
      </c>
      <c r="I289" s="179">
        <v>0</v>
      </c>
      <c r="J289" s="179">
        <v>0</v>
      </c>
      <c r="K289" s="179">
        <v>1350982.19</v>
      </c>
      <c r="L289" s="179">
        <v>1350982.19</v>
      </c>
      <c r="M289" s="179">
        <v>0</v>
      </c>
      <c r="N289" s="179">
        <v>0</v>
      </c>
    </row>
    <row r="290" spans="1:14" s="156" customFormat="1" x14ac:dyDescent="0.25">
      <c r="A290" s="156" t="s">
        <v>545</v>
      </c>
      <c r="B290" s="156" t="s">
        <v>299</v>
      </c>
      <c r="C290" s="156" t="s">
        <v>300</v>
      </c>
      <c r="D290" s="156" t="s">
        <v>543</v>
      </c>
      <c r="E290" s="179">
        <v>0</v>
      </c>
      <c r="F290" s="179">
        <v>1350982.19</v>
      </c>
      <c r="G290" s="179">
        <v>1350982.19</v>
      </c>
      <c r="H290" s="179">
        <v>0</v>
      </c>
      <c r="I290" s="179">
        <v>0</v>
      </c>
      <c r="J290" s="179">
        <v>0</v>
      </c>
      <c r="K290" s="179">
        <v>1350982.19</v>
      </c>
      <c r="L290" s="179">
        <v>1350982.19</v>
      </c>
      <c r="M290" s="179">
        <v>0</v>
      </c>
      <c r="N290" s="179">
        <v>0</v>
      </c>
    </row>
    <row r="291" spans="1:14" s="156" customFormat="1" x14ac:dyDescent="0.25">
      <c r="A291" s="156" t="s">
        <v>545</v>
      </c>
      <c r="B291" s="156" t="s">
        <v>340</v>
      </c>
      <c r="C291" s="156" t="s">
        <v>341</v>
      </c>
      <c r="D291" s="156" t="s">
        <v>543</v>
      </c>
      <c r="E291" s="179">
        <v>22031000</v>
      </c>
      <c r="F291" s="179">
        <v>28632500</v>
      </c>
      <c r="G291" s="179">
        <v>22031000</v>
      </c>
      <c r="H291" s="179">
        <v>0</v>
      </c>
      <c r="I291" s="179">
        <v>0</v>
      </c>
      <c r="J291" s="179">
        <v>5911980.6600000001</v>
      </c>
      <c r="K291" s="179">
        <v>1541829.92</v>
      </c>
      <c r="L291" s="179">
        <v>248647.92</v>
      </c>
      <c r="M291" s="179">
        <v>21178689.420000002</v>
      </c>
      <c r="N291" s="179">
        <v>14577189.42</v>
      </c>
    </row>
    <row r="292" spans="1:14" s="156" customFormat="1" x14ac:dyDescent="0.25">
      <c r="A292" s="156" t="s">
        <v>545</v>
      </c>
      <c r="B292" s="156" t="s">
        <v>342</v>
      </c>
      <c r="C292" s="156" t="s">
        <v>343</v>
      </c>
      <c r="D292" s="156" t="s">
        <v>543</v>
      </c>
      <c r="E292" s="179">
        <v>22031000</v>
      </c>
      <c r="F292" s="179">
        <v>28632500</v>
      </c>
      <c r="G292" s="179">
        <v>22031000</v>
      </c>
      <c r="H292" s="179">
        <v>0</v>
      </c>
      <c r="I292" s="179">
        <v>0</v>
      </c>
      <c r="J292" s="179">
        <v>5911980.6600000001</v>
      </c>
      <c r="K292" s="179">
        <v>1541829.92</v>
      </c>
      <c r="L292" s="179">
        <v>248647.92</v>
      </c>
      <c r="M292" s="179">
        <v>21178689.420000002</v>
      </c>
      <c r="N292" s="179">
        <v>14577189.42</v>
      </c>
    </row>
    <row r="293" spans="1:14" s="156" customFormat="1" x14ac:dyDescent="0.25">
      <c r="A293" s="156">
        <v>214783</v>
      </c>
      <c r="B293" s="156" t="s">
        <v>587</v>
      </c>
      <c r="C293" s="156" t="s">
        <v>587</v>
      </c>
      <c r="D293" s="156" t="s">
        <v>541</v>
      </c>
      <c r="E293" s="179">
        <v>106163237755</v>
      </c>
      <c r="F293" s="179">
        <v>112163237755</v>
      </c>
      <c r="G293" s="179">
        <v>98411102686.899994</v>
      </c>
      <c r="H293" s="179">
        <v>144164793.27000001</v>
      </c>
      <c r="I293" s="179">
        <v>10591793852.66</v>
      </c>
      <c r="J293" s="179">
        <v>401776419.77999997</v>
      </c>
      <c r="K293" s="182">
        <v>44350718922.050003</v>
      </c>
      <c r="L293" s="179">
        <v>43936635224.970001</v>
      </c>
      <c r="M293" s="179">
        <v>56674783767.239998</v>
      </c>
      <c r="N293" s="179">
        <v>42922648699.139999</v>
      </c>
    </row>
    <row r="294" spans="1:14" s="156" customFormat="1" x14ac:dyDescent="0.25">
      <c r="A294" s="156" t="s">
        <v>546</v>
      </c>
      <c r="B294" s="156" t="s">
        <v>92</v>
      </c>
      <c r="C294" s="156" t="s">
        <v>93</v>
      </c>
      <c r="D294" s="156" t="s">
        <v>541</v>
      </c>
      <c r="E294" s="179">
        <v>69224041000</v>
      </c>
      <c r="F294" s="179">
        <v>69224041000</v>
      </c>
      <c r="G294" s="179">
        <v>69224041000</v>
      </c>
      <c r="H294" s="179">
        <v>0</v>
      </c>
      <c r="I294" s="179">
        <v>5214393537.5</v>
      </c>
      <c r="J294" s="179">
        <v>0</v>
      </c>
      <c r="K294" s="179">
        <v>32753111194.16</v>
      </c>
      <c r="L294" s="179">
        <v>32753111194.16</v>
      </c>
      <c r="M294" s="179">
        <v>31256536268.34</v>
      </c>
      <c r="N294" s="179">
        <v>31256536268.34</v>
      </c>
    </row>
    <row r="295" spans="1:14" s="156" customFormat="1" x14ac:dyDescent="0.25">
      <c r="A295" s="156" t="s">
        <v>546</v>
      </c>
      <c r="B295" s="156" t="s">
        <v>94</v>
      </c>
      <c r="C295" s="156" t="s">
        <v>95</v>
      </c>
      <c r="D295" s="156" t="s">
        <v>541</v>
      </c>
      <c r="E295" s="179">
        <v>25618223000</v>
      </c>
      <c r="F295" s="179">
        <v>25618223000</v>
      </c>
      <c r="G295" s="179">
        <v>25618223000</v>
      </c>
      <c r="H295" s="179">
        <v>0</v>
      </c>
      <c r="I295" s="179">
        <v>160325</v>
      </c>
      <c r="J295" s="179">
        <v>0</v>
      </c>
      <c r="K295" s="179">
        <v>11785079809.74</v>
      </c>
      <c r="L295" s="179">
        <v>11785079809.74</v>
      </c>
      <c r="M295" s="179">
        <v>13832982865.26</v>
      </c>
      <c r="N295" s="179">
        <v>13832982865.26</v>
      </c>
    </row>
    <row r="296" spans="1:14" s="156" customFormat="1" x14ac:dyDescent="0.25">
      <c r="A296" s="156" t="s">
        <v>546</v>
      </c>
      <c r="B296" s="156" t="s">
        <v>96</v>
      </c>
      <c r="C296" s="156" t="s">
        <v>97</v>
      </c>
      <c r="D296" s="156" t="s">
        <v>541</v>
      </c>
      <c r="E296" s="179">
        <v>25601107000</v>
      </c>
      <c r="F296" s="179">
        <v>25601107000</v>
      </c>
      <c r="G296" s="179">
        <v>25601107000</v>
      </c>
      <c r="H296" s="179">
        <v>0</v>
      </c>
      <c r="I296" s="179">
        <v>160325</v>
      </c>
      <c r="J296" s="179">
        <v>0</v>
      </c>
      <c r="K296" s="179">
        <v>11769808009.74</v>
      </c>
      <c r="L296" s="179">
        <v>11769808009.74</v>
      </c>
      <c r="M296" s="179">
        <v>13831138665.26</v>
      </c>
      <c r="N296" s="179">
        <v>13831138665.26</v>
      </c>
    </row>
    <row r="297" spans="1:14" s="156" customFormat="1" x14ac:dyDescent="0.25">
      <c r="A297" s="156" t="s">
        <v>546</v>
      </c>
      <c r="B297" s="156" t="s">
        <v>346</v>
      </c>
      <c r="C297" s="156" t="s">
        <v>347</v>
      </c>
      <c r="D297" s="156" t="s">
        <v>541</v>
      </c>
      <c r="E297" s="179">
        <v>17116000</v>
      </c>
      <c r="F297" s="179">
        <v>17116000</v>
      </c>
      <c r="G297" s="179">
        <v>17116000</v>
      </c>
      <c r="H297" s="179">
        <v>0</v>
      </c>
      <c r="I297" s="179">
        <v>0</v>
      </c>
      <c r="J297" s="179">
        <v>0</v>
      </c>
      <c r="K297" s="179">
        <v>15271800</v>
      </c>
      <c r="L297" s="179">
        <v>15271800</v>
      </c>
      <c r="M297" s="179">
        <v>1844200</v>
      </c>
      <c r="N297" s="179">
        <v>1844200</v>
      </c>
    </row>
    <row r="298" spans="1:14" s="156" customFormat="1" x14ac:dyDescent="0.25">
      <c r="A298" s="156" t="s">
        <v>546</v>
      </c>
      <c r="B298" s="156" t="s">
        <v>98</v>
      </c>
      <c r="C298" s="156" t="s">
        <v>99</v>
      </c>
      <c r="D298" s="156" t="s">
        <v>541</v>
      </c>
      <c r="E298" s="179">
        <v>3406791000</v>
      </c>
      <c r="F298" s="179">
        <v>3606791000</v>
      </c>
      <c r="G298" s="179">
        <v>3606791000</v>
      </c>
      <c r="H298" s="179">
        <v>0</v>
      </c>
      <c r="I298" s="179">
        <v>40081.25</v>
      </c>
      <c r="J298" s="179">
        <v>0</v>
      </c>
      <c r="K298" s="179">
        <v>1806864984.0999999</v>
      </c>
      <c r="L298" s="179">
        <v>1806864984.0999999</v>
      </c>
      <c r="M298" s="179">
        <v>1799885934.6500001</v>
      </c>
      <c r="N298" s="179">
        <v>1799885934.6500001</v>
      </c>
    </row>
    <row r="299" spans="1:14" s="156" customFormat="1" x14ac:dyDescent="0.25">
      <c r="A299" s="156" t="s">
        <v>546</v>
      </c>
      <c r="B299" s="156" t="s">
        <v>100</v>
      </c>
      <c r="C299" s="156" t="s">
        <v>101</v>
      </c>
      <c r="D299" s="156" t="s">
        <v>541</v>
      </c>
      <c r="E299" s="179">
        <v>8000000</v>
      </c>
      <c r="F299" s="179">
        <v>8000000</v>
      </c>
      <c r="G299" s="179">
        <v>8000000</v>
      </c>
      <c r="H299" s="179">
        <v>0</v>
      </c>
      <c r="I299" s="179">
        <v>0</v>
      </c>
      <c r="J299" s="179">
        <v>0</v>
      </c>
      <c r="K299" s="179">
        <v>3008346.56</v>
      </c>
      <c r="L299" s="179">
        <v>3008346.56</v>
      </c>
      <c r="M299" s="179">
        <v>4991653.4400000004</v>
      </c>
      <c r="N299" s="179">
        <v>4991653.4400000004</v>
      </c>
    </row>
    <row r="300" spans="1:14" s="156" customFormat="1" x14ac:dyDescent="0.25">
      <c r="A300" s="156" t="s">
        <v>546</v>
      </c>
      <c r="B300" s="156" t="s">
        <v>348</v>
      </c>
      <c r="C300" s="156" t="s">
        <v>349</v>
      </c>
      <c r="D300" s="156" t="s">
        <v>541</v>
      </c>
      <c r="E300" s="179">
        <v>24994000</v>
      </c>
      <c r="F300" s="179">
        <v>24994000</v>
      </c>
      <c r="G300" s="179">
        <v>24994000</v>
      </c>
      <c r="H300" s="179">
        <v>0</v>
      </c>
      <c r="I300" s="179">
        <v>0</v>
      </c>
      <c r="J300" s="179">
        <v>0</v>
      </c>
      <c r="K300" s="179">
        <v>3451575</v>
      </c>
      <c r="L300" s="179">
        <v>3451575</v>
      </c>
      <c r="M300" s="179">
        <v>21542425</v>
      </c>
      <c r="N300" s="179">
        <v>21542425</v>
      </c>
    </row>
    <row r="301" spans="1:14" s="156" customFormat="1" x14ac:dyDescent="0.25">
      <c r="A301" s="156" t="s">
        <v>546</v>
      </c>
      <c r="B301" s="156" t="s">
        <v>350</v>
      </c>
      <c r="C301" s="156" t="s">
        <v>351</v>
      </c>
      <c r="D301" s="156" t="s">
        <v>541</v>
      </c>
      <c r="E301" s="179">
        <v>3373797000</v>
      </c>
      <c r="F301" s="179">
        <v>3573797000</v>
      </c>
      <c r="G301" s="179">
        <v>3573797000</v>
      </c>
      <c r="H301" s="179">
        <v>0</v>
      </c>
      <c r="I301" s="179">
        <v>40081.25</v>
      </c>
      <c r="J301" s="179">
        <v>0</v>
      </c>
      <c r="K301" s="179">
        <v>1800405062.54</v>
      </c>
      <c r="L301" s="179">
        <v>1800405062.54</v>
      </c>
      <c r="M301" s="179">
        <v>1773351856.21</v>
      </c>
      <c r="N301" s="179">
        <v>1773351856.21</v>
      </c>
    </row>
    <row r="302" spans="1:14" s="156" customFormat="1" x14ac:dyDescent="0.25">
      <c r="A302" s="156" t="s">
        <v>546</v>
      </c>
      <c r="B302" s="156" t="s">
        <v>102</v>
      </c>
      <c r="C302" s="156" t="s">
        <v>103</v>
      </c>
      <c r="D302" s="156" t="s">
        <v>541</v>
      </c>
      <c r="E302" s="179">
        <v>29694590000</v>
      </c>
      <c r="F302" s="179">
        <v>29494590000</v>
      </c>
      <c r="G302" s="179">
        <v>29494590000</v>
      </c>
      <c r="H302" s="179">
        <v>0</v>
      </c>
      <c r="I302" s="179">
        <v>118113.25</v>
      </c>
      <c r="J302" s="179">
        <v>0</v>
      </c>
      <c r="K302" s="179">
        <v>13870804418.32</v>
      </c>
      <c r="L302" s="179">
        <v>13870804418.32</v>
      </c>
      <c r="M302" s="179">
        <v>15623667468.43</v>
      </c>
      <c r="N302" s="179">
        <v>15623667468.43</v>
      </c>
    </row>
    <row r="303" spans="1:14" s="156" customFormat="1" x14ac:dyDescent="0.25">
      <c r="A303" s="156" t="s">
        <v>546</v>
      </c>
      <c r="B303" s="156" t="s">
        <v>104</v>
      </c>
      <c r="C303" s="156" t="s">
        <v>105</v>
      </c>
      <c r="D303" s="156" t="s">
        <v>541</v>
      </c>
      <c r="E303" s="179">
        <v>9856906000</v>
      </c>
      <c r="F303" s="179">
        <v>9656906000</v>
      </c>
      <c r="G303" s="179">
        <v>9656906000</v>
      </c>
      <c r="H303" s="179">
        <v>0</v>
      </c>
      <c r="I303" s="179">
        <v>49881.5</v>
      </c>
      <c r="J303" s="179">
        <v>0</v>
      </c>
      <c r="K303" s="179">
        <v>4628603841.2600002</v>
      </c>
      <c r="L303" s="179">
        <v>4628603841.2600002</v>
      </c>
      <c r="M303" s="179">
        <v>5028252277.2399998</v>
      </c>
      <c r="N303" s="179">
        <v>5028252277.2399998</v>
      </c>
    </row>
    <row r="304" spans="1:14" s="156" customFormat="1" x14ac:dyDescent="0.25">
      <c r="A304" s="156" t="s">
        <v>546</v>
      </c>
      <c r="B304" s="156" t="s">
        <v>106</v>
      </c>
      <c r="C304" s="156" t="s">
        <v>107</v>
      </c>
      <c r="D304" s="156" t="s">
        <v>541</v>
      </c>
      <c r="E304" s="179">
        <v>3637068000</v>
      </c>
      <c r="F304" s="179">
        <v>3637068000</v>
      </c>
      <c r="G304" s="179">
        <v>3637068000</v>
      </c>
      <c r="H304" s="179">
        <v>0</v>
      </c>
      <c r="I304" s="179">
        <v>0</v>
      </c>
      <c r="J304" s="179">
        <v>0</v>
      </c>
      <c r="K304" s="179">
        <v>1620867109.55</v>
      </c>
      <c r="L304" s="179">
        <v>1620867109.55</v>
      </c>
      <c r="M304" s="179">
        <v>2016200890.45</v>
      </c>
      <c r="N304" s="179">
        <v>2016200890.45</v>
      </c>
    </row>
    <row r="305" spans="1:14" s="156" customFormat="1" x14ac:dyDescent="0.25">
      <c r="A305" s="156" t="s">
        <v>546</v>
      </c>
      <c r="B305" s="156" t="s">
        <v>108</v>
      </c>
      <c r="C305" s="156" t="s">
        <v>109</v>
      </c>
      <c r="D305" s="156" t="s">
        <v>541</v>
      </c>
      <c r="E305" s="179">
        <v>3859929000</v>
      </c>
      <c r="F305" s="179">
        <v>3859929000</v>
      </c>
      <c r="G305" s="179">
        <v>3859929000</v>
      </c>
      <c r="H305" s="179">
        <v>0</v>
      </c>
      <c r="I305" s="179">
        <v>0</v>
      </c>
      <c r="J305" s="179">
        <v>0</v>
      </c>
      <c r="K305" s="179">
        <v>3840936693.79</v>
      </c>
      <c r="L305" s="179">
        <v>3840936693.79</v>
      </c>
      <c r="M305" s="179">
        <v>18992306.210000001</v>
      </c>
      <c r="N305" s="179">
        <v>18992306.210000001</v>
      </c>
    </row>
    <row r="306" spans="1:14" s="156" customFormat="1" x14ac:dyDescent="0.25">
      <c r="A306" s="156" t="s">
        <v>546</v>
      </c>
      <c r="B306" s="156" t="s">
        <v>110</v>
      </c>
      <c r="C306" s="156" t="s">
        <v>111</v>
      </c>
      <c r="D306" s="156" t="s">
        <v>541</v>
      </c>
      <c r="E306" s="179">
        <v>7961754000</v>
      </c>
      <c r="F306" s="179">
        <v>7961754000</v>
      </c>
      <c r="G306" s="179">
        <v>7961754000</v>
      </c>
      <c r="H306" s="179">
        <v>0</v>
      </c>
      <c r="I306" s="179">
        <v>68231.75</v>
      </c>
      <c r="J306" s="179">
        <v>0</v>
      </c>
      <c r="K306" s="179">
        <v>3774594554.8299999</v>
      </c>
      <c r="L306" s="179">
        <v>3774594554.8299999</v>
      </c>
      <c r="M306" s="179">
        <v>4187091213.4200001</v>
      </c>
      <c r="N306" s="179">
        <v>4187091213.4200001</v>
      </c>
    </row>
    <row r="307" spans="1:14" s="156" customFormat="1" x14ac:dyDescent="0.25">
      <c r="A307" s="156" t="s">
        <v>546</v>
      </c>
      <c r="B307" s="156" t="s">
        <v>112</v>
      </c>
      <c r="C307" s="156" t="s">
        <v>113</v>
      </c>
      <c r="D307" s="156" t="s">
        <v>543</v>
      </c>
      <c r="E307" s="179">
        <v>4378933000</v>
      </c>
      <c r="F307" s="179">
        <v>4378933000</v>
      </c>
      <c r="G307" s="179">
        <v>4378933000</v>
      </c>
      <c r="H307" s="179">
        <v>0</v>
      </c>
      <c r="I307" s="179">
        <v>0</v>
      </c>
      <c r="J307" s="179">
        <v>0</v>
      </c>
      <c r="K307" s="179">
        <v>5802218.8899999997</v>
      </c>
      <c r="L307" s="179">
        <v>5802218.8899999997</v>
      </c>
      <c r="M307" s="179">
        <v>4373130781.1099997</v>
      </c>
      <c r="N307" s="179">
        <v>4373130781.1099997</v>
      </c>
    </row>
    <row r="308" spans="1:14" s="156" customFormat="1" x14ac:dyDescent="0.25">
      <c r="A308" s="156" t="s">
        <v>546</v>
      </c>
      <c r="B308" s="156" t="s">
        <v>114</v>
      </c>
      <c r="C308" s="156" t="s">
        <v>115</v>
      </c>
      <c r="D308" s="156" t="s">
        <v>541</v>
      </c>
      <c r="E308" s="179">
        <v>5298410000</v>
      </c>
      <c r="F308" s="179">
        <v>5298410000</v>
      </c>
      <c r="G308" s="179">
        <v>5298410000</v>
      </c>
      <c r="H308" s="179">
        <v>0</v>
      </c>
      <c r="I308" s="179">
        <v>2629342063</v>
      </c>
      <c r="J308" s="179">
        <v>0</v>
      </c>
      <c r="K308" s="179">
        <v>2669067937</v>
      </c>
      <c r="L308" s="179">
        <v>2669067937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352</v>
      </c>
      <c r="C309" s="156" t="s">
        <v>597</v>
      </c>
      <c r="D309" s="156" t="s">
        <v>541</v>
      </c>
      <c r="E309" s="179">
        <v>5026697000</v>
      </c>
      <c r="F309" s="179">
        <v>5026697000</v>
      </c>
      <c r="G309" s="179">
        <v>5026697000</v>
      </c>
      <c r="H309" s="179">
        <v>0</v>
      </c>
      <c r="I309" s="179">
        <v>2494477575</v>
      </c>
      <c r="J309" s="179">
        <v>0</v>
      </c>
      <c r="K309" s="179">
        <v>2532219425</v>
      </c>
      <c r="L309" s="179">
        <v>2532219425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353</v>
      </c>
      <c r="C310" s="156" t="s">
        <v>583</v>
      </c>
      <c r="D310" s="156" t="s">
        <v>541</v>
      </c>
      <c r="E310" s="179">
        <v>271713000</v>
      </c>
      <c r="F310" s="179">
        <v>271713000</v>
      </c>
      <c r="G310" s="179">
        <v>271713000</v>
      </c>
      <c r="H310" s="179">
        <v>0</v>
      </c>
      <c r="I310" s="179">
        <v>134864488</v>
      </c>
      <c r="J310" s="179">
        <v>0</v>
      </c>
      <c r="K310" s="179">
        <v>136848512</v>
      </c>
      <c r="L310" s="179">
        <v>136848512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118</v>
      </c>
      <c r="C311" s="156" t="s">
        <v>119</v>
      </c>
      <c r="D311" s="156" t="s">
        <v>541</v>
      </c>
      <c r="E311" s="179">
        <v>5206027000</v>
      </c>
      <c r="F311" s="179">
        <v>5206027000</v>
      </c>
      <c r="G311" s="179">
        <v>5206027000</v>
      </c>
      <c r="H311" s="179">
        <v>0</v>
      </c>
      <c r="I311" s="179">
        <v>2584732955</v>
      </c>
      <c r="J311" s="179">
        <v>0</v>
      </c>
      <c r="K311" s="179">
        <v>2621294045</v>
      </c>
      <c r="L311" s="179">
        <v>2621294045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354</v>
      </c>
      <c r="C312" s="156" t="s">
        <v>598</v>
      </c>
      <c r="D312" s="156" t="s">
        <v>541</v>
      </c>
      <c r="E312" s="179">
        <v>2760607000</v>
      </c>
      <c r="F312" s="179">
        <v>2760607000</v>
      </c>
      <c r="G312" s="179">
        <v>2760607000</v>
      </c>
      <c r="H312" s="179">
        <v>0</v>
      </c>
      <c r="I312" s="179">
        <v>1370952983</v>
      </c>
      <c r="J312" s="179">
        <v>0</v>
      </c>
      <c r="K312" s="179">
        <v>1389654017</v>
      </c>
      <c r="L312" s="179">
        <v>1389654017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355</v>
      </c>
      <c r="C313" s="156" t="s">
        <v>599</v>
      </c>
      <c r="D313" s="156" t="s">
        <v>541</v>
      </c>
      <c r="E313" s="179">
        <v>815140000</v>
      </c>
      <c r="F313" s="179">
        <v>815140000</v>
      </c>
      <c r="G313" s="179">
        <v>815140000</v>
      </c>
      <c r="H313" s="179">
        <v>0</v>
      </c>
      <c r="I313" s="179">
        <v>404592740</v>
      </c>
      <c r="J313" s="179">
        <v>0</v>
      </c>
      <c r="K313" s="179">
        <v>410547260</v>
      </c>
      <c r="L313" s="179">
        <v>410547260</v>
      </c>
      <c r="M313" s="179">
        <v>0</v>
      </c>
      <c r="N313" s="179">
        <v>0</v>
      </c>
    </row>
    <row r="314" spans="1:14" s="156" customFormat="1" x14ac:dyDescent="0.25">
      <c r="A314" s="156" t="s">
        <v>546</v>
      </c>
      <c r="B314" s="156" t="s">
        <v>356</v>
      </c>
      <c r="C314" s="156" t="s">
        <v>600</v>
      </c>
      <c r="D314" s="156" t="s">
        <v>541</v>
      </c>
      <c r="E314" s="179">
        <v>1630280000</v>
      </c>
      <c r="F314" s="179">
        <v>1630280000</v>
      </c>
      <c r="G314" s="179">
        <v>1630280000</v>
      </c>
      <c r="H314" s="179">
        <v>0</v>
      </c>
      <c r="I314" s="179">
        <v>809187232</v>
      </c>
      <c r="J314" s="179">
        <v>0</v>
      </c>
      <c r="K314" s="179">
        <v>821092768</v>
      </c>
      <c r="L314" s="179">
        <v>821092768</v>
      </c>
      <c r="M314" s="179">
        <v>0</v>
      </c>
      <c r="N314" s="179">
        <v>0</v>
      </c>
    </row>
    <row r="315" spans="1:14" s="156" customFormat="1" x14ac:dyDescent="0.25">
      <c r="A315" s="156" t="s">
        <v>546</v>
      </c>
      <c r="B315" s="156" t="s">
        <v>123</v>
      </c>
      <c r="C315" s="156" t="s">
        <v>124</v>
      </c>
      <c r="D315" s="156" t="s">
        <v>541</v>
      </c>
      <c r="E315" s="179">
        <v>9869454182</v>
      </c>
      <c r="F315" s="179">
        <v>13869454182</v>
      </c>
      <c r="G315" s="179">
        <v>11094656639.4</v>
      </c>
      <c r="H315" s="179">
        <v>2131100</v>
      </c>
      <c r="I315" s="179">
        <v>708055544.00999999</v>
      </c>
      <c r="J315" s="179">
        <v>6655980.5800000001</v>
      </c>
      <c r="K315" s="179">
        <v>4829458649.46</v>
      </c>
      <c r="L315" s="179">
        <v>4692998917.4899998</v>
      </c>
      <c r="M315" s="179">
        <v>8323152907.9499998</v>
      </c>
      <c r="N315" s="179">
        <v>5548355365.3500004</v>
      </c>
    </row>
    <row r="316" spans="1:14" s="156" customFormat="1" x14ac:dyDescent="0.25">
      <c r="A316" s="156" t="s">
        <v>546</v>
      </c>
      <c r="B316" s="156" t="s">
        <v>125</v>
      </c>
      <c r="C316" s="156" t="s">
        <v>126</v>
      </c>
      <c r="D316" s="156" t="s">
        <v>541</v>
      </c>
      <c r="E316" s="179">
        <v>3181468559</v>
      </c>
      <c r="F316" s="179">
        <v>7181468559</v>
      </c>
      <c r="G316" s="179">
        <v>6353943668.8999996</v>
      </c>
      <c r="H316" s="179">
        <v>0</v>
      </c>
      <c r="I316" s="179">
        <v>165173584.87</v>
      </c>
      <c r="J316" s="179">
        <v>0</v>
      </c>
      <c r="K316" s="179">
        <v>2540811512.0700002</v>
      </c>
      <c r="L316" s="179">
        <v>2462163219.1100001</v>
      </c>
      <c r="M316" s="179">
        <v>4475483462.0600004</v>
      </c>
      <c r="N316" s="179">
        <v>3647958571.96</v>
      </c>
    </row>
    <row r="317" spans="1:14" s="156" customFormat="1" x14ac:dyDescent="0.25">
      <c r="A317" s="156" t="s">
        <v>546</v>
      </c>
      <c r="B317" s="156" t="s">
        <v>306</v>
      </c>
      <c r="C317" s="156" t="s">
        <v>307</v>
      </c>
      <c r="D317" s="156" t="s">
        <v>541</v>
      </c>
      <c r="E317" s="179">
        <v>431740903</v>
      </c>
      <c r="F317" s="179">
        <v>431740903</v>
      </c>
      <c r="G317" s="179">
        <v>315870451.80000001</v>
      </c>
      <c r="H317" s="179">
        <v>0</v>
      </c>
      <c r="I317" s="179">
        <v>36617758.369999997</v>
      </c>
      <c r="J317" s="179">
        <v>0</v>
      </c>
      <c r="K317" s="179">
        <v>179024531.69999999</v>
      </c>
      <c r="L317" s="179">
        <v>179024531.69999999</v>
      </c>
      <c r="M317" s="179">
        <v>216098612.93000001</v>
      </c>
      <c r="N317" s="179">
        <v>100228161.73</v>
      </c>
    </row>
    <row r="318" spans="1:14" s="156" customFormat="1" x14ac:dyDescent="0.25">
      <c r="A318" s="156" t="s">
        <v>546</v>
      </c>
      <c r="B318" s="156" t="s">
        <v>127</v>
      </c>
      <c r="C318" s="156" t="s">
        <v>128</v>
      </c>
      <c r="D318" s="156" t="s">
        <v>541</v>
      </c>
      <c r="E318" s="179">
        <v>719138329</v>
      </c>
      <c r="F318" s="179">
        <v>719138329</v>
      </c>
      <c r="G318" s="179">
        <v>719138328.29999995</v>
      </c>
      <c r="H318" s="179">
        <v>0</v>
      </c>
      <c r="I318" s="179">
        <v>32864262.620000001</v>
      </c>
      <c r="J318" s="179">
        <v>0</v>
      </c>
      <c r="K318" s="179">
        <v>272164144.31</v>
      </c>
      <c r="L318" s="179">
        <v>272164144.31</v>
      </c>
      <c r="M318" s="179">
        <v>414109922.06999999</v>
      </c>
      <c r="N318" s="179">
        <v>414109921.37</v>
      </c>
    </row>
    <row r="319" spans="1:14" s="156" customFormat="1" x14ac:dyDescent="0.25">
      <c r="A319" s="156" t="s">
        <v>546</v>
      </c>
      <c r="B319" s="156" t="s">
        <v>322</v>
      </c>
      <c r="C319" s="156" t="s">
        <v>323</v>
      </c>
      <c r="D319" s="156" t="s">
        <v>541</v>
      </c>
      <c r="E319" s="179">
        <v>23472000</v>
      </c>
      <c r="F319" s="179">
        <v>23472000</v>
      </c>
      <c r="G319" s="179">
        <v>23472000</v>
      </c>
      <c r="H319" s="179">
        <v>0</v>
      </c>
      <c r="I319" s="179">
        <v>3475687.79</v>
      </c>
      <c r="J319" s="179">
        <v>0</v>
      </c>
      <c r="K319" s="179">
        <v>5006080.67</v>
      </c>
      <c r="L319" s="179">
        <v>5006080.67</v>
      </c>
      <c r="M319" s="179">
        <v>14990231.539999999</v>
      </c>
      <c r="N319" s="179">
        <v>14990231.539999999</v>
      </c>
    </row>
    <row r="320" spans="1:14" s="156" customFormat="1" x14ac:dyDescent="0.25">
      <c r="A320" s="156" t="s">
        <v>546</v>
      </c>
      <c r="B320" s="156" t="s">
        <v>129</v>
      </c>
      <c r="C320" s="156" t="s">
        <v>130</v>
      </c>
      <c r="D320" s="156" t="s">
        <v>541</v>
      </c>
      <c r="E320" s="179">
        <v>2007117327</v>
      </c>
      <c r="F320" s="179">
        <v>2007117327</v>
      </c>
      <c r="G320" s="179">
        <v>1295462888.8</v>
      </c>
      <c r="H320" s="179">
        <v>0</v>
      </c>
      <c r="I320" s="179">
        <v>92215876.090000004</v>
      </c>
      <c r="J320" s="179">
        <v>0</v>
      </c>
      <c r="K320" s="179">
        <v>351966369.57999998</v>
      </c>
      <c r="L320" s="179">
        <v>273318076.62</v>
      </c>
      <c r="M320" s="179">
        <v>1562935081.3299999</v>
      </c>
      <c r="N320" s="179">
        <v>851280643.13</v>
      </c>
    </row>
    <row r="321" spans="1:14" s="156" customFormat="1" x14ac:dyDescent="0.25">
      <c r="A321" s="156" t="s">
        <v>546</v>
      </c>
      <c r="B321" s="156" t="s">
        <v>129</v>
      </c>
      <c r="C321" s="156" t="s">
        <v>130</v>
      </c>
      <c r="D321" s="156" t="s">
        <v>543</v>
      </c>
      <c r="E321" s="179">
        <v>0</v>
      </c>
      <c r="F321" s="179">
        <v>4000000000</v>
      </c>
      <c r="G321" s="179">
        <v>4000000000</v>
      </c>
      <c r="H321" s="179">
        <v>0</v>
      </c>
      <c r="I321" s="179">
        <v>0</v>
      </c>
      <c r="J321" s="179">
        <v>0</v>
      </c>
      <c r="K321" s="179">
        <v>1732650385.8099999</v>
      </c>
      <c r="L321" s="179">
        <v>1732650385.8099999</v>
      </c>
      <c r="M321" s="179">
        <v>2267349614.1900001</v>
      </c>
      <c r="N321" s="179">
        <v>2267349614.1900001</v>
      </c>
    </row>
    <row r="322" spans="1:14" s="156" customFormat="1" x14ac:dyDescent="0.25">
      <c r="A322" s="156" t="s">
        <v>546</v>
      </c>
      <c r="B322" s="156" t="s">
        <v>131</v>
      </c>
      <c r="C322" s="156" t="s">
        <v>132</v>
      </c>
      <c r="D322" s="156" t="s">
        <v>541</v>
      </c>
      <c r="E322" s="179">
        <v>4328674526</v>
      </c>
      <c r="F322" s="179">
        <v>4329984526</v>
      </c>
      <c r="G322" s="179">
        <v>3546829232.5</v>
      </c>
      <c r="H322" s="179">
        <v>0</v>
      </c>
      <c r="I322" s="179">
        <v>150081979.66</v>
      </c>
      <c r="J322" s="179">
        <v>0</v>
      </c>
      <c r="K322" s="179">
        <v>1954482602.23</v>
      </c>
      <c r="L322" s="179">
        <v>1898836568.02</v>
      </c>
      <c r="M322" s="179">
        <v>2225419944.1100001</v>
      </c>
      <c r="N322" s="179">
        <v>1442264650.6099999</v>
      </c>
    </row>
    <row r="323" spans="1:14" s="156" customFormat="1" x14ac:dyDescent="0.25">
      <c r="A323" s="156" t="s">
        <v>546</v>
      </c>
      <c r="B323" s="156" t="s">
        <v>133</v>
      </c>
      <c r="C323" s="156" t="s">
        <v>134</v>
      </c>
      <c r="D323" s="156" t="s">
        <v>541</v>
      </c>
      <c r="E323" s="179">
        <v>2503011786</v>
      </c>
      <c r="F323" s="179">
        <v>2503011786</v>
      </c>
      <c r="G323" s="179">
        <v>2117921646.5</v>
      </c>
      <c r="H323" s="179">
        <v>0</v>
      </c>
      <c r="I323" s="179">
        <v>78829466.5</v>
      </c>
      <c r="J323" s="179">
        <v>0</v>
      </c>
      <c r="K323" s="179">
        <v>1172474996</v>
      </c>
      <c r="L323" s="179">
        <v>1172301414</v>
      </c>
      <c r="M323" s="179">
        <v>1251707323.5</v>
      </c>
      <c r="N323" s="179">
        <v>866617184</v>
      </c>
    </row>
    <row r="324" spans="1:14" s="156" customFormat="1" x14ac:dyDescent="0.25">
      <c r="A324" s="156" t="s">
        <v>546</v>
      </c>
      <c r="B324" s="156" t="s">
        <v>135</v>
      </c>
      <c r="C324" s="156" t="s">
        <v>136</v>
      </c>
      <c r="D324" s="156" t="s">
        <v>541</v>
      </c>
      <c r="E324" s="179">
        <v>973642474</v>
      </c>
      <c r="F324" s="179">
        <v>973642474</v>
      </c>
      <c r="G324" s="179">
        <v>763884570.5</v>
      </c>
      <c r="H324" s="179">
        <v>0</v>
      </c>
      <c r="I324" s="179">
        <v>17160021.550000001</v>
      </c>
      <c r="J324" s="179">
        <v>0</v>
      </c>
      <c r="K324" s="179">
        <v>442218712.94999999</v>
      </c>
      <c r="L324" s="179">
        <v>440193117.37</v>
      </c>
      <c r="M324" s="179">
        <v>514263739.5</v>
      </c>
      <c r="N324" s="179">
        <v>304505836</v>
      </c>
    </row>
    <row r="325" spans="1:14" s="156" customFormat="1" x14ac:dyDescent="0.25">
      <c r="A325" s="156" t="s">
        <v>546</v>
      </c>
      <c r="B325" s="156" t="s">
        <v>137</v>
      </c>
      <c r="C325" s="156" t="s">
        <v>138</v>
      </c>
      <c r="D325" s="156" t="s">
        <v>541</v>
      </c>
      <c r="E325" s="179">
        <v>3942858</v>
      </c>
      <c r="F325" s="179">
        <v>3942858</v>
      </c>
      <c r="G325" s="179">
        <v>3942857.5</v>
      </c>
      <c r="H325" s="179">
        <v>0</v>
      </c>
      <c r="I325" s="179">
        <v>3026092.5</v>
      </c>
      <c r="J325" s="179">
        <v>0</v>
      </c>
      <c r="K325" s="179">
        <v>477870</v>
      </c>
      <c r="L325" s="179">
        <v>477870</v>
      </c>
      <c r="M325" s="179">
        <v>438895.5</v>
      </c>
      <c r="N325" s="179">
        <v>438895</v>
      </c>
    </row>
    <row r="326" spans="1:14" s="156" customFormat="1" x14ac:dyDescent="0.25">
      <c r="A326" s="156" t="s">
        <v>546</v>
      </c>
      <c r="B326" s="156" t="s">
        <v>139</v>
      </c>
      <c r="C326" s="156" t="s">
        <v>140</v>
      </c>
      <c r="D326" s="156" t="s">
        <v>541</v>
      </c>
      <c r="E326" s="179">
        <v>753229000</v>
      </c>
      <c r="F326" s="179">
        <v>753229000</v>
      </c>
      <c r="G326" s="179">
        <v>564921750</v>
      </c>
      <c r="H326" s="179">
        <v>0</v>
      </c>
      <c r="I326" s="179">
        <v>36289034.439999998</v>
      </c>
      <c r="J326" s="179">
        <v>0</v>
      </c>
      <c r="K326" s="179">
        <v>282347755.69</v>
      </c>
      <c r="L326" s="179">
        <v>230971649.06</v>
      </c>
      <c r="M326" s="179">
        <v>434592209.87</v>
      </c>
      <c r="N326" s="179">
        <v>246284959.87</v>
      </c>
    </row>
    <row r="327" spans="1:14" s="156" customFormat="1" x14ac:dyDescent="0.25">
      <c r="A327" s="156" t="s">
        <v>546</v>
      </c>
      <c r="B327" s="156" t="s">
        <v>141</v>
      </c>
      <c r="C327" s="156" t="s">
        <v>142</v>
      </c>
      <c r="D327" s="156" t="s">
        <v>541</v>
      </c>
      <c r="E327" s="179">
        <v>94848408</v>
      </c>
      <c r="F327" s="179">
        <v>96158408</v>
      </c>
      <c r="G327" s="179">
        <v>96158408</v>
      </c>
      <c r="H327" s="179">
        <v>0</v>
      </c>
      <c r="I327" s="179">
        <v>14777364.67</v>
      </c>
      <c r="J327" s="179">
        <v>0</v>
      </c>
      <c r="K327" s="179">
        <v>56963267.590000004</v>
      </c>
      <c r="L327" s="179">
        <v>54892517.590000004</v>
      </c>
      <c r="M327" s="179">
        <v>24417775.739999998</v>
      </c>
      <c r="N327" s="179">
        <v>24417775.739999998</v>
      </c>
    </row>
    <row r="328" spans="1:14" s="156" customFormat="1" x14ac:dyDescent="0.25">
      <c r="A328" s="156" t="s">
        <v>546</v>
      </c>
      <c r="B328" s="156" t="s">
        <v>143</v>
      </c>
      <c r="C328" s="156" t="s">
        <v>144</v>
      </c>
      <c r="D328" s="156" t="s">
        <v>541</v>
      </c>
      <c r="E328" s="179">
        <v>4451091</v>
      </c>
      <c r="F328" s="179">
        <v>3141091</v>
      </c>
      <c r="G328" s="179">
        <v>3141090.75</v>
      </c>
      <c r="H328" s="179">
        <v>0</v>
      </c>
      <c r="I328" s="179">
        <v>926640</v>
      </c>
      <c r="J328" s="179">
        <v>459308.88</v>
      </c>
      <c r="K328" s="179">
        <v>493470</v>
      </c>
      <c r="L328" s="179">
        <v>493470</v>
      </c>
      <c r="M328" s="179">
        <v>1261672.1200000001</v>
      </c>
      <c r="N328" s="179">
        <v>1261671.8700000001</v>
      </c>
    </row>
    <row r="329" spans="1:14" s="156" customFormat="1" x14ac:dyDescent="0.25">
      <c r="A329" s="156" t="s">
        <v>546</v>
      </c>
      <c r="B329" s="156" t="s">
        <v>145</v>
      </c>
      <c r="C329" s="156" t="s">
        <v>146</v>
      </c>
      <c r="D329" s="156" t="s">
        <v>541</v>
      </c>
      <c r="E329" s="179">
        <v>1831091</v>
      </c>
      <c r="F329" s="179">
        <v>1831091</v>
      </c>
      <c r="G329" s="179">
        <v>1831090.75</v>
      </c>
      <c r="H329" s="179">
        <v>0</v>
      </c>
      <c r="I329" s="179">
        <v>0</v>
      </c>
      <c r="J329" s="179">
        <v>459308.88</v>
      </c>
      <c r="K329" s="179">
        <v>413470</v>
      </c>
      <c r="L329" s="179">
        <v>413470</v>
      </c>
      <c r="M329" s="179">
        <v>958312.12</v>
      </c>
      <c r="N329" s="179">
        <v>958311.87</v>
      </c>
    </row>
    <row r="330" spans="1:14" s="156" customFormat="1" x14ac:dyDescent="0.25">
      <c r="A330" s="156" t="s">
        <v>546</v>
      </c>
      <c r="B330" s="156" t="s">
        <v>147</v>
      </c>
      <c r="C330" s="156" t="s">
        <v>148</v>
      </c>
      <c r="D330" s="156" t="s">
        <v>541</v>
      </c>
      <c r="E330" s="179">
        <v>2620000</v>
      </c>
      <c r="F330" s="179">
        <v>1310000</v>
      </c>
      <c r="G330" s="179">
        <v>1310000</v>
      </c>
      <c r="H330" s="179">
        <v>0</v>
      </c>
      <c r="I330" s="179">
        <v>926640</v>
      </c>
      <c r="J330" s="179">
        <v>0</v>
      </c>
      <c r="K330" s="179">
        <v>80000</v>
      </c>
      <c r="L330" s="179">
        <v>80000</v>
      </c>
      <c r="M330" s="179">
        <v>303360</v>
      </c>
      <c r="N330" s="179">
        <v>303360</v>
      </c>
    </row>
    <row r="331" spans="1:14" s="156" customFormat="1" x14ac:dyDescent="0.25">
      <c r="A331" s="156" t="s">
        <v>546</v>
      </c>
      <c r="B331" s="156" t="s">
        <v>151</v>
      </c>
      <c r="C331" s="156" t="s">
        <v>152</v>
      </c>
      <c r="D331" s="156" t="s">
        <v>541</v>
      </c>
      <c r="E331" s="179">
        <v>310063679</v>
      </c>
      <c r="F331" s="179">
        <v>304063679</v>
      </c>
      <c r="G331" s="179">
        <v>246033928.68000001</v>
      </c>
      <c r="H331" s="179">
        <v>0</v>
      </c>
      <c r="I331" s="179">
        <v>52823721.460000001</v>
      </c>
      <c r="J331" s="179">
        <v>5046671.7</v>
      </c>
      <c r="K331" s="179">
        <v>46704337.490000002</v>
      </c>
      <c r="L331" s="179">
        <v>46560357.490000002</v>
      </c>
      <c r="M331" s="179">
        <v>199488948.34999999</v>
      </c>
      <c r="N331" s="179">
        <v>141459198.03</v>
      </c>
    </row>
    <row r="332" spans="1:14" s="156" customFormat="1" x14ac:dyDescent="0.25">
      <c r="A332" s="156" t="s">
        <v>546</v>
      </c>
      <c r="B332" s="156" t="s">
        <v>359</v>
      </c>
      <c r="C332" s="156" t="s">
        <v>605</v>
      </c>
      <c r="D332" s="156" t="s">
        <v>541</v>
      </c>
      <c r="E332" s="179">
        <v>21381819</v>
      </c>
      <c r="F332" s="179">
        <v>21381819</v>
      </c>
      <c r="G332" s="179">
        <v>21381818.75</v>
      </c>
      <c r="H332" s="179">
        <v>0</v>
      </c>
      <c r="I332" s="179">
        <v>17138264</v>
      </c>
      <c r="J332" s="179">
        <v>0</v>
      </c>
      <c r="K332" s="179">
        <v>4166088</v>
      </c>
      <c r="L332" s="179">
        <v>4166088</v>
      </c>
      <c r="M332" s="179">
        <v>77467</v>
      </c>
      <c r="N332" s="179">
        <v>77466.75</v>
      </c>
    </row>
    <row r="333" spans="1:14" s="156" customFormat="1" x14ac:dyDescent="0.25">
      <c r="A333" s="156" t="s">
        <v>546</v>
      </c>
      <c r="B333" s="156" t="s">
        <v>330</v>
      </c>
      <c r="C333" s="156" t="s">
        <v>604</v>
      </c>
      <c r="D333" s="156" t="s">
        <v>541</v>
      </c>
      <c r="E333" s="179">
        <v>106119000</v>
      </c>
      <c r="F333" s="179">
        <v>106119000</v>
      </c>
      <c r="G333" s="179">
        <v>79589250</v>
      </c>
      <c r="H333" s="179">
        <v>0</v>
      </c>
      <c r="I333" s="179">
        <v>32041837.780000001</v>
      </c>
      <c r="J333" s="179">
        <v>0</v>
      </c>
      <c r="K333" s="179">
        <v>7172425</v>
      </c>
      <c r="L333" s="179">
        <v>7172425</v>
      </c>
      <c r="M333" s="179">
        <v>66904737.219999999</v>
      </c>
      <c r="N333" s="179">
        <v>40374987.219999999</v>
      </c>
    </row>
    <row r="334" spans="1:14" s="156" customFormat="1" x14ac:dyDescent="0.25">
      <c r="A334" s="156" t="s">
        <v>546</v>
      </c>
      <c r="B334" s="156" t="s">
        <v>154</v>
      </c>
      <c r="C334" s="156" t="s">
        <v>155</v>
      </c>
      <c r="D334" s="156" t="s">
        <v>541</v>
      </c>
      <c r="E334" s="179">
        <v>126000000</v>
      </c>
      <c r="F334" s="179">
        <v>120000000</v>
      </c>
      <c r="G334" s="179">
        <v>88500000</v>
      </c>
      <c r="H334" s="179">
        <v>0</v>
      </c>
      <c r="I334" s="179">
        <v>577454.6</v>
      </c>
      <c r="J334" s="179">
        <v>5046671.7</v>
      </c>
      <c r="K334" s="179">
        <v>26044025.59</v>
      </c>
      <c r="L334" s="179">
        <v>26044025.59</v>
      </c>
      <c r="M334" s="179">
        <v>88331848.109999999</v>
      </c>
      <c r="N334" s="179">
        <v>56831848.109999999</v>
      </c>
    </row>
    <row r="335" spans="1:14" s="156" customFormat="1" x14ac:dyDescent="0.25">
      <c r="A335" s="156" t="s">
        <v>546</v>
      </c>
      <c r="B335" s="156" t="s">
        <v>156</v>
      </c>
      <c r="C335" s="156" t="s">
        <v>157</v>
      </c>
      <c r="D335" s="156" t="s">
        <v>541</v>
      </c>
      <c r="E335" s="179">
        <v>56562860</v>
      </c>
      <c r="F335" s="179">
        <v>56562860</v>
      </c>
      <c r="G335" s="179">
        <v>56562859.93</v>
      </c>
      <c r="H335" s="179">
        <v>0</v>
      </c>
      <c r="I335" s="179">
        <v>3066165.08</v>
      </c>
      <c r="J335" s="179">
        <v>0</v>
      </c>
      <c r="K335" s="179">
        <v>9321798.9000000004</v>
      </c>
      <c r="L335" s="179">
        <v>9177818.9000000004</v>
      </c>
      <c r="M335" s="179">
        <v>44174896.020000003</v>
      </c>
      <c r="N335" s="179">
        <v>44174895.950000003</v>
      </c>
    </row>
    <row r="336" spans="1:14" s="156" customFormat="1" x14ac:dyDescent="0.25">
      <c r="A336" s="156" t="s">
        <v>546</v>
      </c>
      <c r="B336" s="156" t="s">
        <v>158</v>
      </c>
      <c r="C336" s="156" t="s">
        <v>159</v>
      </c>
      <c r="D336" s="156" t="s">
        <v>541</v>
      </c>
      <c r="E336" s="179">
        <v>128523280</v>
      </c>
      <c r="F336" s="179">
        <v>128523280</v>
      </c>
      <c r="G336" s="179">
        <v>98744687.019999996</v>
      </c>
      <c r="H336" s="179">
        <v>331850</v>
      </c>
      <c r="I336" s="179">
        <v>22428810</v>
      </c>
      <c r="J336" s="179">
        <v>0</v>
      </c>
      <c r="K336" s="179">
        <v>41647590</v>
      </c>
      <c r="L336" s="179">
        <v>41421840</v>
      </c>
      <c r="M336" s="179">
        <v>64115030</v>
      </c>
      <c r="N336" s="179">
        <v>34336437.020000003</v>
      </c>
    </row>
    <row r="337" spans="1:14" s="156" customFormat="1" x14ac:dyDescent="0.25">
      <c r="A337" s="156" t="s">
        <v>546</v>
      </c>
      <c r="B337" s="156" t="s">
        <v>160</v>
      </c>
      <c r="C337" s="156" t="s">
        <v>161</v>
      </c>
      <c r="D337" s="156" t="s">
        <v>541</v>
      </c>
      <c r="E337" s="179">
        <v>4829000</v>
      </c>
      <c r="F337" s="179">
        <v>4829000</v>
      </c>
      <c r="G337" s="179">
        <v>4829000</v>
      </c>
      <c r="H337" s="179">
        <v>0</v>
      </c>
      <c r="I337" s="179">
        <v>1208615</v>
      </c>
      <c r="J337" s="179">
        <v>0</v>
      </c>
      <c r="K337" s="179">
        <v>1431045</v>
      </c>
      <c r="L337" s="179">
        <v>1427845</v>
      </c>
      <c r="M337" s="179">
        <v>2189340</v>
      </c>
      <c r="N337" s="179">
        <v>2189340</v>
      </c>
    </row>
    <row r="338" spans="1:14" s="156" customFormat="1" x14ac:dyDescent="0.25">
      <c r="A338" s="156" t="s">
        <v>546</v>
      </c>
      <c r="B338" s="156" t="s">
        <v>162</v>
      </c>
      <c r="C338" s="156" t="s">
        <v>163</v>
      </c>
      <c r="D338" s="156" t="s">
        <v>541</v>
      </c>
      <c r="E338" s="179">
        <v>119154137</v>
      </c>
      <c r="F338" s="179">
        <v>119154137</v>
      </c>
      <c r="G338" s="179">
        <v>92780651.269999996</v>
      </c>
      <c r="H338" s="179">
        <v>331850</v>
      </c>
      <c r="I338" s="179">
        <v>21220195</v>
      </c>
      <c r="J338" s="179">
        <v>0</v>
      </c>
      <c r="K338" s="179">
        <v>40216545</v>
      </c>
      <c r="L338" s="179">
        <v>39993995</v>
      </c>
      <c r="M338" s="179">
        <v>57385547</v>
      </c>
      <c r="N338" s="179">
        <v>31012061.27</v>
      </c>
    </row>
    <row r="339" spans="1:14" s="156" customFormat="1" x14ac:dyDescent="0.25">
      <c r="A339" s="156" t="s">
        <v>546</v>
      </c>
      <c r="B339" s="156" t="s">
        <v>164</v>
      </c>
      <c r="C339" s="156" t="s">
        <v>165</v>
      </c>
      <c r="D339" s="156" t="s">
        <v>541</v>
      </c>
      <c r="E339" s="179">
        <v>2851000</v>
      </c>
      <c r="F339" s="179">
        <v>2851000</v>
      </c>
      <c r="G339" s="179">
        <v>712750</v>
      </c>
      <c r="H339" s="179">
        <v>0</v>
      </c>
      <c r="I339" s="179">
        <v>0</v>
      </c>
      <c r="J339" s="179">
        <v>0</v>
      </c>
      <c r="K339" s="179">
        <v>0</v>
      </c>
      <c r="L339" s="179">
        <v>0</v>
      </c>
      <c r="M339" s="179">
        <v>2851000</v>
      </c>
      <c r="N339" s="179">
        <v>712750</v>
      </c>
    </row>
    <row r="340" spans="1:14" s="156" customFormat="1" x14ac:dyDescent="0.25">
      <c r="A340" s="156" t="s">
        <v>546</v>
      </c>
      <c r="B340" s="156" t="s">
        <v>166</v>
      </c>
      <c r="C340" s="156" t="s">
        <v>167</v>
      </c>
      <c r="D340" s="156" t="s">
        <v>541</v>
      </c>
      <c r="E340" s="179">
        <v>1689143</v>
      </c>
      <c r="F340" s="179">
        <v>1689143</v>
      </c>
      <c r="G340" s="179">
        <v>422285.75</v>
      </c>
      <c r="H340" s="179">
        <v>0</v>
      </c>
      <c r="I340" s="179">
        <v>0</v>
      </c>
      <c r="J340" s="179">
        <v>0</v>
      </c>
      <c r="K340" s="179">
        <v>0</v>
      </c>
      <c r="L340" s="179">
        <v>0</v>
      </c>
      <c r="M340" s="179">
        <v>1689143</v>
      </c>
      <c r="N340" s="179">
        <v>422285.75</v>
      </c>
    </row>
    <row r="341" spans="1:14" s="156" customFormat="1" x14ac:dyDescent="0.25">
      <c r="A341" s="156" t="s">
        <v>546</v>
      </c>
      <c r="B341" s="156" t="s">
        <v>168</v>
      </c>
      <c r="C341" s="156" t="s">
        <v>169</v>
      </c>
      <c r="D341" s="156" t="s">
        <v>541</v>
      </c>
      <c r="E341" s="179">
        <v>1290997262</v>
      </c>
      <c r="F341" s="179">
        <v>1244459372.29</v>
      </c>
      <c r="G341" s="179">
        <v>247929108.78999999</v>
      </c>
      <c r="H341" s="179">
        <v>0</v>
      </c>
      <c r="I341" s="179">
        <v>130403630.40000001</v>
      </c>
      <c r="J341" s="179">
        <v>0</v>
      </c>
      <c r="K341" s="179">
        <v>109156057.59999999</v>
      </c>
      <c r="L341" s="179">
        <v>109156057.59999999</v>
      </c>
      <c r="M341" s="179">
        <v>1004899684.29</v>
      </c>
      <c r="N341" s="179">
        <v>8369420.79</v>
      </c>
    </row>
    <row r="342" spans="1:14" s="156" customFormat="1" x14ac:dyDescent="0.25">
      <c r="A342" s="156" t="s">
        <v>546</v>
      </c>
      <c r="B342" s="156" t="s">
        <v>170</v>
      </c>
      <c r="C342" s="156" t="s">
        <v>171</v>
      </c>
      <c r="D342" s="156" t="s">
        <v>541</v>
      </c>
      <c r="E342" s="179">
        <v>1290997262</v>
      </c>
      <c r="F342" s="179">
        <v>1244459372.29</v>
      </c>
      <c r="G342" s="179">
        <v>247929108.78999999</v>
      </c>
      <c r="H342" s="179">
        <v>0</v>
      </c>
      <c r="I342" s="179">
        <v>130403630.40000001</v>
      </c>
      <c r="J342" s="179">
        <v>0</v>
      </c>
      <c r="K342" s="179">
        <v>109156057.59999999</v>
      </c>
      <c r="L342" s="179">
        <v>109156057.59999999</v>
      </c>
      <c r="M342" s="179">
        <v>1004899684.29</v>
      </c>
      <c r="N342" s="179">
        <v>8369420.79</v>
      </c>
    </row>
    <row r="343" spans="1:14" s="156" customFormat="1" x14ac:dyDescent="0.25">
      <c r="A343" s="156" t="s">
        <v>546</v>
      </c>
      <c r="B343" s="156" t="s">
        <v>172</v>
      </c>
      <c r="C343" s="156" t="s">
        <v>173</v>
      </c>
      <c r="D343" s="156" t="s">
        <v>541</v>
      </c>
      <c r="E343" s="179">
        <v>1413715</v>
      </c>
      <c r="F343" s="179">
        <v>1413715</v>
      </c>
      <c r="G343" s="179">
        <v>1413714.75</v>
      </c>
      <c r="H343" s="179">
        <v>0</v>
      </c>
      <c r="I343" s="179">
        <v>0</v>
      </c>
      <c r="J343" s="179">
        <v>0</v>
      </c>
      <c r="K343" s="179">
        <v>0</v>
      </c>
      <c r="L343" s="179">
        <v>0</v>
      </c>
      <c r="M343" s="179">
        <v>1413715</v>
      </c>
      <c r="N343" s="179">
        <v>1413714.75</v>
      </c>
    </row>
    <row r="344" spans="1:14" s="156" customFormat="1" x14ac:dyDescent="0.25">
      <c r="A344" s="156" t="s">
        <v>546</v>
      </c>
      <c r="B344" s="156" t="s">
        <v>309</v>
      </c>
      <c r="C344" s="156" t="s">
        <v>310</v>
      </c>
      <c r="D344" s="156" t="s">
        <v>541</v>
      </c>
      <c r="E344" s="179">
        <v>1413715</v>
      </c>
      <c r="F344" s="179">
        <v>1413715</v>
      </c>
      <c r="G344" s="179">
        <v>1413714.75</v>
      </c>
      <c r="H344" s="179">
        <v>0</v>
      </c>
      <c r="I344" s="179">
        <v>0</v>
      </c>
      <c r="J344" s="179">
        <v>0</v>
      </c>
      <c r="K344" s="179">
        <v>0</v>
      </c>
      <c r="L344" s="179">
        <v>0</v>
      </c>
      <c r="M344" s="179">
        <v>1413715</v>
      </c>
      <c r="N344" s="179">
        <v>1413714.75</v>
      </c>
    </row>
    <row r="345" spans="1:14" s="156" customFormat="1" x14ac:dyDescent="0.25">
      <c r="A345" s="156" t="s">
        <v>546</v>
      </c>
      <c r="B345" s="156" t="s">
        <v>178</v>
      </c>
      <c r="C345" s="156" t="s">
        <v>179</v>
      </c>
      <c r="D345" s="156" t="s">
        <v>541</v>
      </c>
      <c r="E345" s="179">
        <v>594069615</v>
      </c>
      <c r="F345" s="179">
        <v>600069615</v>
      </c>
      <c r="G345" s="179">
        <v>527483105.55000001</v>
      </c>
      <c r="H345" s="179">
        <v>1799250</v>
      </c>
      <c r="I345" s="179">
        <v>176230371.16</v>
      </c>
      <c r="J345" s="179">
        <v>1150000</v>
      </c>
      <c r="K345" s="179">
        <v>131231552.12</v>
      </c>
      <c r="L345" s="179">
        <v>129502464.3</v>
      </c>
      <c r="M345" s="179">
        <v>289658441.72000003</v>
      </c>
      <c r="N345" s="179">
        <v>217071932.27000001</v>
      </c>
    </row>
    <row r="346" spans="1:14" s="156" customFormat="1" x14ac:dyDescent="0.25">
      <c r="A346" s="156" t="s">
        <v>546</v>
      </c>
      <c r="B346" s="156" t="s">
        <v>180</v>
      </c>
      <c r="C346" s="156" t="s">
        <v>181</v>
      </c>
      <c r="D346" s="156" t="s">
        <v>541</v>
      </c>
      <c r="E346" s="179">
        <v>125656000</v>
      </c>
      <c r="F346" s="179">
        <v>125656000</v>
      </c>
      <c r="G346" s="179">
        <v>62828000</v>
      </c>
      <c r="H346" s="179">
        <v>0</v>
      </c>
      <c r="I346" s="179">
        <v>0</v>
      </c>
      <c r="J346" s="179">
        <v>0</v>
      </c>
      <c r="K346" s="179">
        <v>13349017</v>
      </c>
      <c r="L346" s="179">
        <v>13349017</v>
      </c>
      <c r="M346" s="179">
        <v>112306983</v>
      </c>
      <c r="N346" s="179">
        <v>49478983</v>
      </c>
    </row>
    <row r="347" spans="1:14" s="156" customFormat="1" x14ac:dyDescent="0.25">
      <c r="A347" s="156" t="s">
        <v>546</v>
      </c>
      <c r="B347" s="156" t="s">
        <v>332</v>
      </c>
      <c r="C347" s="156" t="s">
        <v>333</v>
      </c>
      <c r="D347" s="156" t="s">
        <v>541</v>
      </c>
      <c r="E347" s="179">
        <v>188229817</v>
      </c>
      <c r="F347" s="179">
        <v>188229817</v>
      </c>
      <c r="G347" s="179">
        <v>188229817</v>
      </c>
      <c r="H347" s="179">
        <v>0</v>
      </c>
      <c r="I347" s="179">
        <v>92391849.049999997</v>
      </c>
      <c r="J347" s="179">
        <v>0</v>
      </c>
      <c r="K347" s="179">
        <v>80000242.319999993</v>
      </c>
      <c r="L347" s="179">
        <v>78436154.5</v>
      </c>
      <c r="M347" s="179">
        <v>15837725.630000001</v>
      </c>
      <c r="N347" s="179">
        <v>15837725.630000001</v>
      </c>
    </row>
    <row r="348" spans="1:14" s="156" customFormat="1" x14ac:dyDescent="0.25">
      <c r="A348" s="156" t="s">
        <v>546</v>
      </c>
      <c r="B348" s="156" t="s">
        <v>182</v>
      </c>
      <c r="C348" s="156" t="s">
        <v>183</v>
      </c>
      <c r="D348" s="156" t="s">
        <v>541</v>
      </c>
      <c r="E348" s="179">
        <v>95028648</v>
      </c>
      <c r="F348" s="179">
        <v>95028648</v>
      </c>
      <c r="G348" s="179">
        <v>95028648</v>
      </c>
      <c r="H348" s="179">
        <v>0</v>
      </c>
      <c r="I348" s="179">
        <v>21382947.079999998</v>
      </c>
      <c r="J348" s="179">
        <v>1150000</v>
      </c>
      <c r="K348" s="179">
        <v>15302107.720000001</v>
      </c>
      <c r="L348" s="179">
        <v>15302107.720000001</v>
      </c>
      <c r="M348" s="179">
        <v>57193593.200000003</v>
      </c>
      <c r="N348" s="179">
        <v>57193593.200000003</v>
      </c>
    </row>
    <row r="349" spans="1:14" s="156" customFormat="1" x14ac:dyDescent="0.25">
      <c r="A349" s="156" t="s">
        <v>546</v>
      </c>
      <c r="B349" s="156" t="s">
        <v>184</v>
      </c>
      <c r="C349" s="156" t="s">
        <v>185</v>
      </c>
      <c r="D349" s="156" t="s">
        <v>541</v>
      </c>
      <c r="E349" s="179">
        <v>6300000</v>
      </c>
      <c r="F349" s="179">
        <v>6300000</v>
      </c>
      <c r="G349" s="179">
        <v>6300000</v>
      </c>
      <c r="H349" s="179">
        <v>1799250</v>
      </c>
      <c r="I349" s="179">
        <v>0</v>
      </c>
      <c r="J349" s="179">
        <v>0</v>
      </c>
      <c r="K349" s="179">
        <v>0</v>
      </c>
      <c r="L349" s="179">
        <v>0</v>
      </c>
      <c r="M349" s="179">
        <v>4500750</v>
      </c>
      <c r="N349" s="179">
        <v>4500750</v>
      </c>
    </row>
    <row r="350" spans="1:14" s="156" customFormat="1" x14ac:dyDescent="0.25">
      <c r="A350" s="156" t="s">
        <v>546</v>
      </c>
      <c r="B350" s="156" t="s">
        <v>186</v>
      </c>
      <c r="C350" s="156" t="s">
        <v>187</v>
      </c>
      <c r="D350" s="156" t="s">
        <v>541</v>
      </c>
      <c r="E350" s="179">
        <v>11141667</v>
      </c>
      <c r="F350" s="179">
        <v>11141667</v>
      </c>
      <c r="G350" s="179">
        <v>11141666.75</v>
      </c>
      <c r="H350" s="179">
        <v>0</v>
      </c>
      <c r="I350" s="179">
        <v>0</v>
      </c>
      <c r="J350" s="179">
        <v>0</v>
      </c>
      <c r="K350" s="179">
        <v>3564000</v>
      </c>
      <c r="L350" s="179">
        <v>3564000</v>
      </c>
      <c r="M350" s="179">
        <v>7577667</v>
      </c>
      <c r="N350" s="179">
        <v>7577666.75</v>
      </c>
    </row>
    <row r="351" spans="1:14" s="156" customFormat="1" x14ac:dyDescent="0.25">
      <c r="A351" s="156" t="s">
        <v>546</v>
      </c>
      <c r="B351" s="156" t="s">
        <v>188</v>
      </c>
      <c r="C351" s="156" t="s">
        <v>189</v>
      </c>
      <c r="D351" s="156" t="s">
        <v>541</v>
      </c>
      <c r="E351" s="179">
        <v>40562000</v>
      </c>
      <c r="F351" s="179">
        <v>40562000</v>
      </c>
      <c r="G351" s="179">
        <v>30803491</v>
      </c>
      <c r="H351" s="179">
        <v>0</v>
      </c>
      <c r="I351" s="179">
        <v>465000</v>
      </c>
      <c r="J351" s="179">
        <v>0</v>
      </c>
      <c r="K351" s="179">
        <v>4519712.9800000004</v>
      </c>
      <c r="L351" s="179">
        <v>4354712.9800000004</v>
      </c>
      <c r="M351" s="179">
        <v>35577287.020000003</v>
      </c>
      <c r="N351" s="179">
        <v>25818778.02</v>
      </c>
    </row>
    <row r="352" spans="1:14" s="156" customFormat="1" x14ac:dyDescent="0.25">
      <c r="A352" s="156" t="s">
        <v>546</v>
      </c>
      <c r="B352" s="156" t="s">
        <v>190</v>
      </c>
      <c r="C352" s="156" t="s">
        <v>191</v>
      </c>
      <c r="D352" s="156" t="s">
        <v>541</v>
      </c>
      <c r="E352" s="179">
        <v>127151483</v>
      </c>
      <c r="F352" s="179">
        <v>133151483</v>
      </c>
      <c r="G352" s="179">
        <v>133151482.8</v>
      </c>
      <c r="H352" s="179">
        <v>0</v>
      </c>
      <c r="I352" s="179">
        <v>61990575.030000001</v>
      </c>
      <c r="J352" s="179">
        <v>0</v>
      </c>
      <c r="K352" s="179">
        <v>14496472.1</v>
      </c>
      <c r="L352" s="179">
        <v>14496472.1</v>
      </c>
      <c r="M352" s="179">
        <v>56664435.869999997</v>
      </c>
      <c r="N352" s="179">
        <v>56664435.670000002</v>
      </c>
    </row>
    <row r="353" spans="1:14" s="156" customFormat="1" x14ac:dyDescent="0.25">
      <c r="A353" s="156" t="s">
        <v>546</v>
      </c>
      <c r="B353" s="156" t="s">
        <v>192</v>
      </c>
      <c r="C353" s="156" t="s">
        <v>193</v>
      </c>
      <c r="D353" s="156" t="s">
        <v>541</v>
      </c>
      <c r="E353" s="179">
        <v>11126154</v>
      </c>
      <c r="F353" s="179">
        <v>11126154</v>
      </c>
      <c r="G353" s="179">
        <v>11126153.5</v>
      </c>
      <c r="H353" s="179">
        <v>0</v>
      </c>
      <c r="I353" s="179">
        <v>1732219</v>
      </c>
      <c r="J353" s="179">
        <v>0</v>
      </c>
      <c r="K353" s="179">
        <v>78882</v>
      </c>
      <c r="L353" s="179">
        <v>78882</v>
      </c>
      <c r="M353" s="179">
        <v>9315053</v>
      </c>
      <c r="N353" s="179">
        <v>9315052.5</v>
      </c>
    </row>
    <row r="354" spans="1:14" s="156" customFormat="1" x14ac:dyDescent="0.25">
      <c r="A354" s="156" t="s">
        <v>546</v>
      </c>
      <c r="B354" s="156" t="s">
        <v>194</v>
      </c>
      <c r="C354" s="156" t="s">
        <v>195</v>
      </c>
      <c r="D354" s="156" t="s">
        <v>541</v>
      </c>
      <c r="E354" s="179">
        <v>11126154</v>
      </c>
      <c r="F354" s="179">
        <v>11126154</v>
      </c>
      <c r="G354" s="179">
        <v>11126153.5</v>
      </c>
      <c r="H354" s="179">
        <v>0</v>
      </c>
      <c r="I354" s="179">
        <v>1732219</v>
      </c>
      <c r="J354" s="179">
        <v>0</v>
      </c>
      <c r="K354" s="179">
        <v>78882</v>
      </c>
      <c r="L354" s="179">
        <v>78882</v>
      </c>
      <c r="M354" s="179">
        <v>9315053</v>
      </c>
      <c r="N354" s="179">
        <v>9315052.5</v>
      </c>
    </row>
    <row r="355" spans="1:14" s="156" customFormat="1" x14ac:dyDescent="0.25">
      <c r="A355" s="156" t="s">
        <v>546</v>
      </c>
      <c r="B355" s="156" t="s">
        <v>196</v>
      </c>
      <c r="C355" s="156" t="s">
        <v>197</v>
      </c>
      <c r="D355" s="156" t="s">
        <v>541</v>
      </c>
      <c r="E355" s="179">
        <v>18666301</v>
      </c>
      <c r="F355" s="179">
        <v>65204190.710000001</v>
      </c>
      <c r="G355" s="179">
        <v>58011948.960000001</v>
      </c>
      <c r="H355" s="179">
        <v>0</v>
      </c>
      <c r="I355" s="179">
        <v>8254587.46</v>
      </c>
      <c r="J355" s="179">
        <v>0</v>
      </c>
      <c r="K355" s="179">
        <v>4852645.95</v>
      </c>
      <c r="L355" s="179">
        <v>4786058.97</v>
      </c>
      <c r="M355" s="179">
        <v>52096957.299999997</v>
      </c>
      <c r="N355" s="179">
        <v>44904715.549999997</v>
      </c>
    </row>
    <row r="356" spans="1:14" s="156" customFormat="1" x14ac:dyDescent="0.25">
      <c r="A356" s="156" t="s">
        <v>546</v>
      </c>
      <c r="B356" s="156" t="s">
        <v>360</v>
      </c>
      <c r="C356" s="156" t="s">
        <v>361</v>
      </c>
      <c r="D356" s="156" t="s">
        <v>541</v>
      </c>
      <c r="E356" s="179">
        <v>3000000</v>
      </c>
      <c r="F356" s="179">
        <v>3000000</v>
      </c>
      <c r="G356" s="179">
        <v>3000000</v>
      </c>
      <c r="H356" s="179">
        <v>0</v>
      </c>
      <c r="I356" s="179">
        <v>248971.98</v>
      </c>
      <c r="J356" s="179">
        <v>0</v>
      </c>
      <c r="K356" s="179">
        <v>1190453.46</v>
      </c>
      <c r="L356" s="179">
        <v>1190453.46</v>
      </c>
      <c r="M356" s="179">
        <v>1560574.56</v>
      </c>
      <c r="N356" s="179">
        <v>1560574.56</v>
      </c>
    </row>
    <row r="357" spans="1:14" s="156" customFormat="1" x14ac:dyDescent="0.25">
      <c r="A357" s="156" t="s">
        <v>546</v>
      </c>
      <c r="B357" s="156" t="s">
        <v>334</v>
      </c>
      <c r="C357" s="156" t="s">
        <v>335</v>
      </c>
      <c r="D357" s="156" t="s">
        <v>541</v>
      </c>
      <c r="E357" s="179">
        <v>1275676</v>
      </c>
      <c r="F357" s="179">
        <v>47166460.710000001</v>
      </c>
      <c r="G357" s="179">
        <v>39974219.710000001</v>
      </c>
      <c r="H357" s="179">
        <v>0</v>
      </c>
      <c r="I357" s="179">
        <v>5063952.4800000004</v>
      </c>
      <c r="J357" s="179">
        <v>0</v>
      </c>
      <c r="K357" s="179">
        <v>498437.49</v>
      </c>
      <c r="L357" s="179">
        <v>431850.51</v>
      </c>
      <c r="M357" s="179">
        <v>41604070.740000002</v>
      </c>
      <c r="N357" s="179">
        <v>34411829.740000002</v>
      </c>
    </row>
    <row r="358" spans="1:14" s="156" customFormat="1" x14ac:dyDescent="0.25">
      <c r="A358" s="156" t="s">
        <v>546</v>
      </c>
      <c r="B358" s="156" t="s">
        <v>198</v>
      </c>
      <c r="C358" s="156" t="s">
        <v>199</v>
      </c>
      <c r="D358" s="156" t="s">
        <v>541</v>
      </c>
      <c r="E358" s="179">
        <v>14390625</v>
      </c>
      <c r="F358" s="179">
        <v>15037730</v>
      </c>
      <c r="G358" s="179">
        <v>15037729.25</v>
      </c>
      <c r="H358" s="179">
        <v>0</v>
      </c>
      <c r="I358" s="179">
        <v>2941663</v>
      </c>
      <c r="J358" s="179">
        <v>0</v>
      </c>
      <c r="K358" s="179">
        <v>3163755</v>
      </c>
      <c r="L358" s="179">
        <v>3163755</v>
      </c>
      <c r="M358" s="179">
        <v>8932312</v>
      </c>
      <c r="N358" s="179">
        <v>8932311.25</v>
      </c>
    </row>
    <row r="359" spans="1:14" s="156" customFormat="1" x14ac:dyDescent="0.25">
      <c r="A359" s="156" t="s">
        <v>546</v>
      </c>
      <c r="B359" s="156" t="s">
        <v>200</v>
      </c>
      <c r="C359" s="156" t="s">
        <v>201</v>
      </c>
      <c r="D359" s="156" t="s">
        <v>541</v>
      </c>
      <c r="E359" s="179">
        <v>14015826994</v>
      </c>
      <c r="F359" s="179">
        <v>14015826994</v>
      </c>
      <c r="G359" s="179">
        <v>11010050862.5</v>
      </c>
      <c r="H359" s="179">
        <v>18001805.27</v>
      </c>
      <c r="I359" s="179">
        <v>1060527332.63</v>
      </c>
      <c r="J359" s="179">
        <v>395120439.19999999</v>
      </c>
      <c r="K359" s="179">
        <v>4840833591.0699997</v>
      </c>
      <c r="L359" s="179">
        <v>4723473078.5100002</v>
      </c>
      <c r="M359" s="179">
        <v>7701343825.8299999</v>
      </c>
      <c r="N359" s="179">
        <v>4695567694.3299999</v>
      </c>
    </row>
    <row r="360" spans="1:14" s="156" customFormat="1" x14ac:dyDescent="0.25">
      <c r="A360" s="156" t="s">
        <v>546</v>
      </c>
      <c r="B360" s="156" t="s">
        <v>202</v>
      </c>
      <c r="C360" s="156" t="s">
        <v>203</v>
      </c>
      <c r="D360" s="156" t="s">
        <v>541</v>
      </c>
      <c r="E360" s="179">
        <v>777682724</v>
      </c>
      <c r="F360" s="179">
        <v>777682724</v>
      </c>
      <c r="G360" s="179">
        <v>646928543</v>
      </c>
      <c r="H360" s="179">
        <v>0</v>
      </c>
      <c r="I360" s="179">
        <v>4931633.25</v>
      </c>
      <c r="J360" s="179">
        <v>45194973.200000003</v>
      </c>
      <c r="K360" s="179">
        <v>315974590.55000001</v>
      </c>
      <c r="L360" s="179">
        <v>268995580.88999999</v>
      </c>
      <c r="M360" s="179">
        <v>411581527</v>
      </c>
      <c r="N360" s="179">
        <v>280827346</v>
      </c>
    </row>
    <row r="361" spans="1:14" s="156" customFormat="1" x14ac:dyDescent="0.25">
      <c r="A361" s="156" t="s">
        <v>546</v>
      </c>
      <c r="B361" s="156" t="s">
        <v>204</v>
      </c>
      <c r="C361" s="156" t="s">
        <v>205</v>
      </c>
      <c r="D361" s="156" t="s">
        <v>541</v>
      </c>
      <c r="E361" s="179">
        <v>543016724</v>
      </c>
      <c r="F361" s="179">
        <v>543016724</v>
      </c>
      <c r="G361" s="179">
        <v>412262543</v>
      </c>
      <c r="H361" s="179">
        <v>0</v>
      </c>
      <c r="I361" s="179">
        <v>493846.83</v>
      </c>
      <c r="J361" s="179">
        <v>45194973.200000003</v>
      </c>
      <c r="K361" s="179">
        <v>232976714.31</v>
      </c>
      <c r="L361" s="179">
        <v>232976714.31</v>
      </c>
      <c r="M361" s="179">
        <v>264351189.66</v>
      </c>
      <c r="N361" s="179">
        <v>133597008.66</v>
      </c>
    </row>
    <row r="362" spans="1:14" s="156" customFormat="1" x14ac:dyDescent="0.25">
      <c r="A362" s="156" t="s">
        <v>546</v>
      </c>
      <c r="B362" s="156" t="s">
        <v>206</v>
      </c>
      <c r="C362" s="156" t="s">
        <v>207</v>
      </c>
      <c r="D362" s="156" t="s">
        <v>541</v>
      </c>
      <c r="E362" s="179">
        <v>195656000</v>
      </c>
      <c r="F362" s="179">
        <v>195656000</v>
      </c>
      <c r="G362" s="179">
        <v>195656000</v>
      </c>
      <c r="H362" s="179">
        <v>0</v>
      </c>
      <c r="I362" s="179">
        <v>3477100</v>
      </c>
      <c r="J362" s="179">
        <v>0</v>
      </c>
      <c r="K362" s="179">
        <v>70771800</v>
      </c>
      <c r="L362" s="179">
        <v>35912800</v>
      </c>
      <c r="M362" s="179">
        <v>121407100</v>
      </c>
      <c r="N362" s="179">
        <v>121407100</v>
      </c>
    </row>
    <row r="363" spans="1:14" s="156" customFormat="1" x14ac:dyDescent="0.25">
      <c r="A363" s="156" t="s">
        <v>546</v>
      </c>
      <c r="B363" s="156" t="s">
        <v>362</v>
      </c>
      <c r="C363" s="156" t="s">
        <v>363</v>
      </c>
      <c r="D363" s="156" t="s">
        <v>541</v>
      </c>
      <c r="E363" s="179">
        <v>2674000</v>
      </c>
      <c r="F363" s="179">
        <v>2674000</v>
      </c>
      <c r="G363" s="179">
        <v>2674000</v>
      </c>
      <c r="H363" s="179">
        <v>0</v>
      </c>
      <c r="I363" s="179">
        <v>141746</v>
      </c>
      <c r="J363" s="179">
        <v>0</v>
      </c>
      <c r="K363" s="179">
        <v>77925</v>
      </c>
      <c r="L363" s="179">
        <v>77925</v>
      </c>
      <c r="M363" s="179">
        <v>2454329</v>
      </c>
      <c r="N363" s="179">
        <v>2454329</v>
      </c>
    </row>
    <row r="364" spans="1:14" s="156" customFormat="1" x14ac:dyDescent="0.25">
      <c r="A364" s="156" t="s">
        <v>546</v>
      </c>
      <c r="B364" s="156" t="s">
        <v>208</v>
      </c>
      <c r="C364" s="156" t="s">
        <v>209</v>
      </c>
      <c r="D364" s="156" t="s">
        <v>541</v>
      </c>
      <c r="E364" s="179">
        <v>30373000</v>
      </c>
      <c r="F364" s="179">
        <v>30373000</v>
      </c>
      <c r="G364" s="179">
        <v>30373000</v>
      </c>
      <c r="H364" s="179">
        <v>0</v>
      </c>
      <c r="I364" s="179">
        <v>818940.42</v>
      </c>
      <c r="J364" s="179">
        <v>0</v>
      </c>
      <c r="K364" s="179">
        <v>12148151.24</v>
      </c>
      <c r="L364" s="179">
        <v>28141.58</v>
      </c>
      <c r="M364" s="179">
        <v>17405908.34</v>
      </c>
      <c r="N364" s="179">
        <v>17405908.34</v>
      </c>
    </row>
    <row r="365" spans="1:14" s="156" customFormat="1" x14ac:dyDescent="0.25">
      <c r="A365" s="156" t="s">
        <v>546</v>
      </c>
      <c r="B365" s="156" t="s">
        <v>210</v>
      </c>
      <c r="C365" s="156" t="s">
        <v>211</v>
      </c>
      <c r="D365" s="156" t="s">
        <v>541</v>
      </c>
      <c r="E365" s="179">
        <v>5963000</v>
      </c>
      <c r="F365" s="179">
        <v>5963000</v>
      </c>
      <c r="G365" s="179">
        <v>5963000</v>
      </c>
      <c r="H365" s="179">
        <v>0</v>
      </c>
      <c r="I365" s="179">
        <v>0</v>
      </c>
      <c r="J365" s="179">
        <v>0</v>
      </c>
      <c r="K365" s="179">
        <v>0</v>
      </c>
      <c r="L365" s="179">
        <v>0</v>
      </c>
      <c r="M365" s="179">
        <v>5963000</v>
      </c>
      <c r="N365" s="179">
        <v>5963000</v>
      </c>
    </row>
    <row r="366" spans="1:14" s="156" customFormat="1" x14ac:dyDescent="0.25">
      <c r="A366" s="156" t="s">
        <v>546</v>
      </c>
      <c r="B366" s="156" t="s">
        <v>212</v>
      </c>
      <c r="C366" s="156" t="s">
        <v>213</v>
      </c>
      <c r="D366" s="156" t="s">
        <v>541</v>
      </c>
      <c r="E366" s="179">
        <v>10984366500</v>
      </c>
      <c r="F366" s="179">
        <v>10984366500</v>
      </c>
      <c r="G366" s="179">
        <v>8241185000</v>
      </c>
      <c r="H366" s="179">
        <v>0</v>
      </c>
      <c r="I366" s="179">
        <v>618950722.63</v>
      </c>
      <c r="J366" s="179">
        <v>0</v>
      </c>
      <c r="K366" s="179">
        <v>4217754376.9699998</v>
      </c>
      <c r="L366" s="179">
        <v>4217754376.9699998</v>
      </c>
      <c r="M366" s="179">
        <v>6147661400.3999996</v>
      </c>
      <c r="N366" s="179">
        <v>3404479900.4000001</v>
      </c>
    </row>
    <row r="367" spans="1:14" s="156" customFormat="1" x14ac:dyDescent="0.25">
      <c r="A367" s="156" t="s">
        <v>546</v>
      </c>
      <c r="B367" s="156" t="s">
        <v>214</v>
      </c>
      <c r="C367" s="156" t="s">
        <v>215</v>
      </c>
      <c r="D367" s="156" t="s">
        <v>541</v>
      </c>
      <c r="E367" s="179">
        <v>10972726000</v>
      </c>
      <c r="F367" s="179">
        <v>10972726000</v>
      </c>
      <c r="G367" s="179">
        <v>8229544500</v>
      </c>
      <c r="H367" s="179">
        <v>0</v>
      </c>
      <c r="I367" s="179">
        <v>616723222.63</v>
      </c>
      <c r="J367" s="179">
        <v>0</v>
      </c>
      <c r="K367" s="179">
        <v>4214161876.9699998</v>
      </c>
      <c r="L367" s="179">
        <v>4214161876.9699998</v>
      </c>
      <c r="M367" s="179">
        <v>6141840900.3999996</v>
      </c>
      <c r="N367" s="179">
        <v>3398659400.4000001</v>
      </c>
    </row>
    <row r="368" spans="1:14" s="156" customFormat="1" x14ac:dyDescent="0.25">
      <c r="A368" s="156" t="s">
        <v>546</v>
      </c>
      <c r="B368" s="156" t="s">
        <v>364</v>
      </c>
      <c r="C368" s="156" t="s">
        <v>365</v>
      </c>
      <c r="D368" s="156" t="s">
        <v>541</v>
      </c>
      <c r="E368" s="179">
        <v>11640500</v>
      </c>
      <c r="F368" s="179">
        <v>11640500</v>
      </c>
      <c r="G368" s="179">
        <v>11640500</v>
      </c>
      <c r="H368" s="179">
        <v>0</v>
      </c>
      <c r="I368" s="179">
        <v>2227500</v>
      </c>
      <c r="J368" s="179">
        <v>0</v>
      </c>
      <c r="K368" s="179">
        <v>3592500</v>
      </c>
      <c r="L368" s="179">
        <v>3592500</v>
      </c>
      <c r="M368" s="179">
        <v>5820500</v>
      </c>
      <c r="N368" s="179">
        <v>5820500</v>
      </c>
    </row>
    <row r="369" spans="1:14" s="156" customFormat="1" x14ac:dyDescent="0.25">
      <c r="A369" s="156" t="s">
        <v>546</v>
      </c>
      <c r="B369" s="156" t="s">
        <v>216</v>
      </c>
      <c r="C369" s="156" t="s">
        <v>217</v>
      </c>
      <c r="D369" s="156" t="s">
        <v>541</v>
      </c>
      <c r="E369" s="179">
        <v>446867786</v>
      </c>
      <c r="F369" s="179">
        <v>442289969</v>
      </c>
      <c r="G369" s="179">
        <v>367242785.5</v>
      </c>
      <c r="H369" s="179">
        <v>11860521</v>
      </c>
      <c r="I369" s="179">
        <v>37155353.549999997</v>
      </c>
      <c r="J369" s="179">
        <v>0</v>
      </c>
      <c r="K369" s="179">
        <v>66161565.960000001</v>
      </c>
      <c r="L369" s="179">
        <v>52075015.960000001</v>
      </c>
      <c r="M369" s="179">
        <v>327112528.49000001</v>
      </c>
      <c r="N369" s="179">
        <v>252065344.99000001</v>
      </c>
    </row>
    <row r="370" spans="1:14" s="156" customFormat="1" x14ac:dyDescent="0.25">
      <c r="A370" s="156" t="s">
        <v>546</v>
      </c>
      <c r="B370" s="156" t="s">
        <v>218</v>
      </c>
      <c r="C370" s="156" t="s">
        <v>219</v>
      </c>
      <c r="D370" s="156" t="s">
        <v>541</v>
      </c>
      <c r="E370" s="179">
        <v>122902000</v>
      </c>
      <c r="F370" s="179">
        <v>122902000</v>
      </c>
      <c r="G370" s="179">
        <v>96261314</v>
      </c>
      <c r="H370" s="179">
        <v>0</v>
      </c>
      <c r="I370" s="179">
        <v>2884724</v>
      </c>
      <c r="J370" s="179">
        <v>0</v>
      </c>
      <c r="K370" s="179">
        <v>8371052.8099999996</v>
      </c>
      <c r="L370" s="179">
        <v>8371052.8099999996</v>
      </c>
      <c r="M370" s="179">
        <v>111646223.19</v>
      </c>
      <c r="N370" s="179">
        <v>85005537.189999998</v>
      </c>
    </row>
    <row r="371" spans="1:14" s="156" customFormat="1" x14ac:dyDescent="0.25">
      <c r="A371" s="156" t="s">
        <v>546</v>
      </c>
      <c r="B371" s="156" t="s">
        <v>336</v>
      </c>
      <c r="C371" s="156" t="s">
        <v>337</v>
      </c>
      <c r="D371" s="156" t="s">
        <v>541</v>
      </c>
      <c r="E371" s="179">
        <v>50168000</v>
      </c>
      <c r="F371" s="179">
        <v>50168000</v>
      </c>
      <c r="G371" s="179">
        <v>37626000</v>
      </c>
      <c r="H371" s="179">
        <v>0</v>
      </c>
      <c r="I371" s="179">
        <v>0</v>
      </c>
      <c r="J371" s="179">
        <v>0</v>
      </c>
      <c r="K371" s="179">
        <v>3935643</v>
      </c>
      <c r="L371" s="179">
        <v>3935643</v>
      </c>
      <c r="M371" s="179">
        <v>46232357</v>
      </c>
      <c r="N371" s="179">
        <v>33690357</v>
      </c>
    </row>
    <row r="372" spans="1:14" s="156" customFormat="1" x14ac:dyDescent="0.25">
      <c r="A372" s="156" t="s">
        <v>546</v>
      </c>
      <c r="B372" s="156" t="s">
        <v>338</v>
      </c>
      <c r="C372" s="156" t="s">
        <v>339</v>
      </c>
      <c r="D372" s="156" t="s">
        <v>541</v>
      </c>
      <c r="E372" s="179">
        <v>89195672</v>
      </c>
      <c r="F372" s="179">
        <v>89195672</v>
      </c>
      <c r="G372" s="179">
        <v>72520647</v>
      </c>
      <c r="H372" s="179">
        <v>0</v>
      </c>
      <c r="I372" s="179">
        <v>0</v>
      </c>
      <c r="J372" s="179">
        <v>0</v>
      </c>
      <c r="K372" s="179">
        <v>53066598</v>
      </c>
      <c r="L372" s="179">
        <v>39170598</v>
      </c>
      <c r="M372" s="179">
        <v>36129074</v>
      </c>
      <c r="N372" s="179">
        <v>19454049</v>
      </c>
    </row>
    <row r="373" spans="1:14" s="156" customFormat="1" x14ac:dyDescent="0.25">
      <c r="A373" s="156" t="s">
        <v>546</v>
      </c>
      <c r="B373" s="156" t="s">
        <v>220</v>
      </c>
      <c r="C373" s="156" t="s">
        <v>221</v>
      </c>
      <c r="D373" s="156" t="s">
        <v>541</v>
      </c>
      <c r="E373" s="179">
        <v>90316000</v>
      </c>
      <c r="F373" s="179">
        <v>90316000</v>
      </c>
      <c r="G373" s="179">
        <v>90316000</v>
      </c>
      <c r="H373" s="179">
        <v>11860521</v>
      </c>
      <c r="I373" s="179">
        <v>17604140.059999999</v>
      </c>
      <c r="J373" s="179">
        <v>0</v>
      </c>
      <c r="K373" s="179">
        <v>582884.37</v>
      </c>
      <c r="L373" s="179">
        <v>392334.37</v>
      </c>
      <c r="M373" s="179">
        <v>60268454.57</v>
      </c>
      <c r="N373" s="179">
        <v>60268454.57</v>
      </c>
    </row>
    <row r="374" spans="1:14" s="156" customFormat="1" x14ac:dyDescent="0.25">
      <c r="A374" s="156" t="s">
        <v>546</v>
      </c>
      <c r="B374" s="156" t="s">
        <v>222</v>
      </c>
      <c r="C374" s="156" t="s">
        <v>223</v>
      </c>
      <c r="D374" s="156" t="s">
        <v>541</v>
      </c>
      <c r="E374" s="179">
        <v>7059000</v>
      </c>
      <c r="F374" s="179">
        <v>2481183</v>
      </c>
      <c r="G374" s="179">
        <v>2481183</v>
      </c>
      <c r="H374" s="179">
        <v>0</v>
      </c>
      <c r="I374" s="179">
        <v>0</v>
      </c>
      <c r="J374" s="179">
        <v>0</v>
      </c>
      <c r="K374" s="179">
        <v>185000</v>
      </c>
      <c r="L374" s="179">
        <v>185000</v>
      </c>
      <c r="M374" s="179">
        <v>2296183</v>
      </c>
      <c r="N374" s="179">
        <v>2296183</v>
      </c>
    </row>
    <row r="375" spans="1:14" s="156" customFormat="1" x14ac:dyDescent="0.25">
      <c r="A375" s="156" t="s">
        <v>546</v>
      </c>
      <c r="B375" s="156" t="s">
        <v>224</v>
      </c>
      <c r="C375" s="156" t="s">
        <v>225</v>
      </c>
      <c r="D375" s="156" t="s">
        <v>541</v>
      </c>
      <c r="E375" s="179">
        <v>61279000</v>
      </c>
      <c r="F375" s="179">
        <v>61279000</v>
      </c>
      <c r="G375" s="179">
        <v>42089528</v>
      </c>
      <c r="H375" s="179">
        <v>0</v>
      </c>
      <c r="I375" s="179">
        <v>16666489.49</v>
      </c>
      <c r="J375" s="179">
        <v>0</v>
      </c>
      <c r="K375" s="179">
        <v>20387.78</v>
      </c>
      <c r="L375" s="179">
        <v>20387.78</v>
      </c>
      <c r="M375" s="179">
        <v>44592122.729999997</v>
      </c>
      <c r="N375" s="179">
        <v>25402650.73</v>
      </c>
    </row>
    <row r="376" spans="1:14" s="156" customFormat="1" x14ac:dyDescent="0.25">
      <c r="A376" s="156" t="s">
        <v>546</v>
      </c>
      <c r="B376" s="156" t="s">
        <v>226</v>
      </c>
      <c r="C376" s="156" t="s">
        <v>227</v>
      </c>
      <c r="D376" s="156" t="s">
        <v>541</v>
      </c>
      <c r="E376" s="179">
        <v>25948114</v>
      </c>
      <c r="F376" s="179">
        <v>25948114</v>
      </c>
      <c r="G376" s="179">
        <v>25948113.5</v>
      </c>
      <c r="H376" s="179">
        <v>0</v>
      </c>
      <c r="I376" s="179">
        <v>0</v>
      </c>
      <c r="J376" s="179">
        <v>0</v>
      </c>
      <c r="K376" s="179">
        <v>0</v>
      </c>
      <c r="L376" s="179">
        <v>0</v>
      </c>
      <c r="M376" s="179">
        <v>25948114</v>
      </c>
      <c r="N376" s="179">
        <v>25948113.5</v>
      </c>
    </row>
    <row r="377" spans="1:14" s="156" customFormat="1" x14ac:dyDescent="0.25">
      <c r="A377" s="156" t="s">
        <v>546</v>
      </c>
      <c r="B377" s="156" t="s">
        <v>228</v>
      </c>
      <c r="C377" s="156" t="s">
        <v>229</v>
      </c>
      <c r="D377" s="156" t="s">
        <v>541</v>
      </c>
      <c r="E377" s="179">
        <v>150560000</v>
      </c>
      <c r="F377" s="179">
        <v>150560000</v>
      </c>
      <c r="G377" s="179">
        <v>138306860</v>
      </c>
      <c r="H377" s="179">
        <v>5998284.2699999996</v>
      </c>
      <c r="I377" s="179">
        <v>42917953.600000001</v>
      </c>
      <c r="J377" s="179">
        <v>0</v>
      </c>
      <c r="K377" s="179">
        <v>47086985.420000002</v>
      </c>
      <c r="L377" s="179">
        <v>37564546.229999997</v>
      </c>
      <c r="M377" s="179">
        <v>54556776.710000001</v>
      </c>
      <c r="N377" s="179">
        <v>42303636.710000001</v>
      </c>
    </row>
    <row r="378" spans="1:14" s="156" customFormat="1" x14ac:dyDescent="0.25">
      <c r="A378" s="156" t="s">
        <v>546</v>
      </c>
      <c r="B378" s="156" t="s">
        <v>230</v>
      </c>
      <c r="C378" s="156" t="s">
        <v>231</v>
      </c>
      <c r="D378" s="156" t="s">
        <v>541</v>
      </c>
      <c r="E378" s="179">
        <v>53615000</v>
      </c>
      <c r="F378" s="179">
        <v>53615000</v>
      </c>
      <c r="G378" s="179">
        <v>41361860</v>
      </c>
      <c r="H378" s="179">
        <v>0</v>
      </c>
      <c r="I378" s="179">
        <v>42000</v>
      </c>
      <c r="J378" s="179">
        <v>0</v>
      </c>
      <c r="K378" s="179">
        <v>16813580</v>
      </c>
      <c r="L378" s="179">
        <v>16813580</v>
      </c>
      <c r="M378" s="179">
        <v>36759420</v>
      </c>
      <c r="N378" s="179">
        <v>24506280</v>
      </c>
    </row>
    <row r="379" spans="1:14" s="156" customFormat="1" x14ac:dyDescent="0.25">
      <c r="A379" s="156" t="s">
        <v>546</v>
      </c>
      <c r="B379" s="156" t="s">
        <v>232</v>
      </c>
      <c r="C379" s="156" t="s">
        <v>233</v>
      </c>
      <c r="D379" s="156" t="s">
        <v>541</v>
      </c>
      <c r="E379" s="179">
        <v>96945000</v>
      </c>
      <c r="F379" s="179">
        <v>96945000</v>
      </c>
      <c r="G379" s="179">
        <v>96945000</v>
      </c>
      <c r="H379" s="179">
        <v>5998284.2699999996</v>
      </c>
      <c r="I379" s="179">
        <v>42875953.600000001</v>
      </c>
      <c r="J379" s="179">
        <v>0</v>
      </c>
      <c r="K379" s="179">
        <v>30273405.420000002</v>
      </c>
      <c r="L379" s="179">
        <v>20750966.23</v>
      </c>
      <c r="M379" s="179">
        <v>17797356.710000001</v>
      </c>
      <c r="N379" s="179">
        <v>17797356.710000001</v>
      </c>
    </row>
    <row r="380" spans="1:14" s="156" customFormat="1" x14ac:dyDescent="0.25">
      <c r="A380" s="156" t="s">
        <v>546</v>
      </c>
      <c r="B380" s="156" t="s">
        <v>609</v>
      </c>
      <c r="C380" s="156" t="s">
        <v>610</v>
      </c>
      <c r="D380" s="156" t="s">
        <v>541</v>
      </c>
      <c r="E380" s="179">
        <v>0</v>
      </c>
      <c r="F380" s="179">
        <v>4577817</v>
      </c>
      <c r="G380" s="179">
        <v>4577817</v>
      </c>
      <c r="H380" s="179">
        <v>0</v>
      </c>
      <c r="I380" s="179">
        <v>0</v>
      </c>
      <c r="J380" s="179">
        <v>0</v>
      </c>
      <c r="K380" s="179">
        <v>0</v>
      </c>
      <c r="L380" s="179">
        <v>0</v>
      </c>
      <c r="M380" s="179">
        <v>4577817</v>
      </c>
      <c r="N380" s="179">
        <v>4577817</v>
      </c>
    </row>
    <row r="381" spans="1:14" s="156" customFormat="1" x14ac:dyDescent="0.25">
      <c r="A381" s="156" t="s">
        <v>546</v>
      </c>
      <c r="B381" s="156" t="s">
        <v>611</v>
      </c>
      <c r="C381" s="156" t="s">
        <v>612</v>
      </c>
      <c r="D381" s="156" t="s">
        <v>541</v>
      </c>
      <c r="E381" s="179">
        <v>0</v>
      </c>
      <c r="F381" s="179">
        <v>4577817</v>
      </c>
      <c r="G381" s="179">
        <v>4577817</v>
      </c>
      <c r="H381" s="179">
        <v>0</v>
      </c>
      <c r="I381" s="179">
        <v>0</v>
      </c>
      <c r="J381" s="179">
        <v>0</v>
      </c>
      <c r="K381" s="179">
        <v>0</v>
      </c>
      <c r="L381" s="179">
        <v>0</v>
      </c>
      <c r="M381" s="179">
        <v>4577817</v>
      </c>
      <c r="N381" s="179">
        <v>4577817</v>
      </c>
    </row>
    <row r="382" spans="1:14" s="156" customFormat="1" x14ac:dyDescent="0.25">
      <c r="A382" s="156" t="s">
        <v>546</v>
      </c>
      <c r="B382" s="156" t="s">
        <v>234</v>
      </c>
      <c r="C382" s="156" t="s">
        <v>601</v>
      </c>
      <c r="D382" s="156" t="s">
        <v>541</v>
      </c>
      <c r="E382" s="179">
        <v>1656349984</v>
      </c>
      <c r="F382" s="179">
        <v>1656349984</v>
      </c>
      <c r="G382" s="179">
        <v>1611809857</v>
      </c>
      <c r="H382" s="179">
        <v>143000</v>
      </c>
      <c r="I382" s="179">
        <v>356571669.60000002</v>
      </c>
      <c r="J382" s="179">
        <v>349925466</v>
      </c>
      <c r="K382" s="179">
        <v>193856072.16999999</v>
      </c>
      <c r="L382" s="179">
        <v>147083558.46000001</v>
      </c>
      <c r="M382" s="179">
        <v>755853776.23000002</v>
      </c>
      <c r="N382" s="179">
        <v>711313649.23000002</v>
      </c>
    </row>
    <row r="383" spans="1:14" s="156" customFormat="1" x14ac:dyDescent="0.25">
      <c r="A383" s="156" t="s">
        <v>546</v>
      </c>
      <c r="B383" s="156" t="s">
        <v>235</v>
      </c>
      <c r="C383" s="156" t="s">
        <v>236</v>
      </c>
      <c r="D383" s="156" t="s">
        <v>541</v>
      </c>
      <c r="E383" s="179">
        <v>34070136</v>
      </c>
      <c r="F383" s="179">
        <v>34070136</v>
      </c>
      <c r="G383" s="179">
        <v>25552602</v>
      </c>
      <c r="H383" s="179">
        <v>0</v>
      </c>
      <c r="I383" s="179">
        <v>0</v>
      </c>
      <c r="J383" s="179">
        <v>0</v>
      </c>
      <c r="K383" s="179">
        <v>0</v>
      </c>
      <c r="L383" s="179">
        <v>0</v>
      </c>
      <c r="M383" s="179">
        <v>34070136</v>
      </c>
      <c r="N383" s="179">
        <v>25552602</v>
      </c>
    </row>
    <row r="384" spans="1:14" s="156" customFormat="1" x14ac:dyDescent="0.25">
      <c r="A384" s="156" t="s">
        <v>546</v>
      </c>
      <c r="B384" s="156" t="s">
        <v>237</v>
      </c>
      <c r="C384" s="156" t="s">
        <v>238</v>
      </c>
      <c r="D384" s="156" t="s">
        <v>541</v>
      </c>
      <c r="E384" s="179">
        <v>65363019</v>
      </c>
      <c r="F384" s="179">
        <v>65363019</v>
      </c>
      <c r="G384" s="179">
        <v>52522263.75</v>
      </c>
      <c r="H384" s="179">
        <v>0</v>
      </c>
      <c r="I384" s="179">
        <v>107123.71</v>
      </c>
      <c r="J384" s="179">
        <v>55630.48</v>
      </c>
      <c r="K384" s="179">
        <v>5277259.2699999996</v>
      </c>
      <c r="L384" s="179">
        <v>5245293.7</v>
      </c>
      <c r="M384" s="179">
        <v>59923005.539999999</v>
      </c>
      <c r="N384" s="179">
        <v>47082250.289999999</v>
      </c>
    </row>
    <row r="385" spans="1:14" s="156" customFormat="1" x14ac:dyDescent="0.25">
      <c r="A385" s="156" t="s">
        <v>546</v>
      </c>
      <c r="B385" s="156" t="s">
        <v>239</v>
      </c>
      <c r="C385" s="156" t="s">
        <v>240</v>
      </c>
      <c r="D385" s="156" t="s">
        <v>541</v>
      </c>
      <c r="E385" s="179">
        <v>146259000</v>
      </c>
      <c r="F385" s="179">
        <v>146259000</v>
      </c>
      <c r="G385" s="179">
        <v>146259000</v>
      </c>
      <c r="H385" s="179">
        <v>0</v>
      </c>
      <c r="I385" s="179">
        <v>53327216</v>
      </c>
      <c r="J385" s="179">
        <v>0</v>
      </c>
      <c r="K385" s="179">
        <v>9545144.6999999993</v>
      </c>
      <c r="L385" s="179">
        <v>9545144.6999999993</v>
      </c>
      <c r="M385" s="179">
        <v>83386639.299999997</v>
      </c>
      <c r="N385" s="179">
        <v>83386639.299999997</v>
      </c>
    </row>
    <row r="386" spans="1:14" s="156" customFormat="1" x14ac:dyDescent="0.25">
      <c r="A386" s="156" t="s">
        <v>546</v>
      </c>
      <c r="B386" s="156" t="s">
        <v>241</v>
      </c>
      <c r="C386" s="156" t="s">
        <v>242</v>
      </c>
      <c r="D386" s="156" t="s">
        <v>541</v>
      </c>
      <c r="E386" s="179">
        <v>643150000</v>
      </c>
      <c r="F386" s="179">
        <v>643150000</v>
      </c>
      <c r="G386" s="179">
        <v>643150000</v>
      </c>
      <c r="H386" s="179">
        <v>0</v>
      </c>
      <c r="I386" s="179">
        <v>456790</v>
      </c>
      <c r="J386" s="179">
        <v>288356335</v>
      </c>
      <c r="K386" s="179">
        <v>12787658.99</v>
      </c>
      <c r="L386" s="179">
        <v>5099692</v>
      </c>
      <c r="M386" s="179">
        <v>341549216.00999999</v>
      </c>
      <c r="N386" s="179">
        <v>341549216.00999999</v>
      </c>
    </row>
    <row r="387" spans="1:14" s="156" customFormat="1" x14ac:dyDescent="0.25">
      <c r="A387" s="156" t="s">
        <v>546</v>
      </c>
      <c r="B387" s="156" t="s">
        <v>243</v>
      </c>
      <c r="C387" s="156" t="s">
        <v>244</v>
      </c>
      <c r="D387" s="156" t="s">
        <v>541</v>
      </c>
      <c r="E387" s="179">
        <v>302355000</v>
      </c>
      <c r="F387" s="179">
        <v>302355000</v>
      </c>
      <c r="G387" s="179">
        <v>302355000</v>
      </c>
      <c r="H387" s="179">
        <v>0</v>
      </c>
      <c r="I387" s="179">
        <v>113720667.3</v>
      </c>
      <c r="J387" s="179">
        <v>52217500.520000003</v>
      </c>
      <c r="K387" s="179">
        <v>66506952.990000002</v>
      </c>
      <c r="L387" s="179">
        <v>59966902.590000004</v>
      </c>
      <c r="M387" s="179">
        <v>69909879.189999998</v>
      </c>
      <c r="N387" s="179">
        <v>69909879.189999998</v>
      </c>
    </row>
    <row r="388" spans="1:14" s="156" customFormat="1" x14ac:dyDescent="0.25">
      <c r="A388" s="156" t="s">
        <v>546</v>
      </c>
      <c r="B388" s="156" t="s">
        <v>245</v>
      </c>
      <c r="C388" s="156" t="s">
        <v>246</v>
      </c>
      <c r="D388" s="156" t="s">
        <v>541</v>
      </c>
      <c r="E388" s="179">
        <v>182921000</v>
      </c>
      <c r="F388" s="179">
        <v>182921000</v>
      </c>
      <c r="G388" s="179">
        <v>182921000</v>
      </c>
      <c r="H388" s="179">
        <v>143000</v>
      </c>
      <c r="I388" s="179">
        <v>159473634.99000001</v>
      </c>
      <c r="J388" s="179">
        <v>0</v>
      </c>
      <c r="K388" s="179">
        <v>456463.25</v>
      </c>
      <c r="L388" s="179">
        <v>456463.25</v>
      </c>
      <c r="M388" s="179">
        <v>22847901.760000002</v>
      </c>
      <c r="N388" s="179">
        <v>22847901.760000002</v>
      </c>
    </row>
    <row r="389" spans="1:14" s="156" customFormat="1" x14ac:dyDescent="0.25">
      <c r="A389" s="156" t="s">
        <v>546</v>
      </c>
      <c r="B389" s="156" t="s">
        <v>247</v>
      </c>
      <c r="C389" s="156" t="s">
        <v>248</v>
      </c>
      <c r="D389" s="156" t="s">
        <v>541</v>
      </c>
      <c r="E389" s="179">
        <v>92727347</v>
      </c>
      <c r="F389" s="179">
        <v>92727347</v>
      </c>
      <c r="G389" s="179">
        <v>69545509.75</v>
      </c>
      <c r="H389" s="179">
        <v>0</v>
      </c>
      <c r="I389" s="179">
        <v>2250313.66</v>
      </c>
      <c r="J389" s="179">
        <v>0</v>
      </c>
      <c r="K389" s="179">
        <v>14830959.550000001</v>
      </c>
      <c r="L389" s="179">
        <v>14830959.550000001</v>
      </c>
      <c r="M389" s="179">
        <v>75646073.790000007</v>
      </c>
      <c r="N389" s="179">
        <v>52464236.539999999</v>
      </c>
    </row>
    <row r="390" spans="1:14" s="156" customFormat="1" x14ac:dyDescent="0.25">
      <c r="A390" s="156" t="s">
        <v>546</v>
      </c>
      <c r="B390" s="156" t="s">
        <v>249</v>
      </c>
      <c r="C390" s="156" t="s">
        <v>250</v>
      </c>
      <c r="D390" s="156" t="s">
        <v>541</v>
      </c>
      <c r="E390" s="179">
        <v>189504482</v>
      </c>
      <c r="F390" s="179">
        <v>189504482</v>
      </c>
      <c r="G390" s="179">
        <v>189504481.5</v>
      </c>
      <c r="H390" s="179">
        <v>0</v>
      </c>
      <c r="I390" s="179">
        <v>27235923.940000001</v>
      </c>
      <c r="J390" s="179">
        <v>9296000</v>
      </c>
      <c r="K390" s="179">
        <v>84451633.420000002</v>
      </c>
      <c r="L390" s="179">
        <v>51939102.670000002</v>
      </c>
      <c r="M390" s="179">
        <v>68520924.640000001</v>
      </c>
      <c r="N390" s="179">
        <v>68520924.140000001</v>
      </c>
    </row>
    <row r="391" spans="1:14" s="156" customFormat="1" x14ac:dyDescent="0.25">
      <c r="A391" s="156" t="s">
        <v>546</v>
      </c>
      <c r="B391" s="156" t="s">
        <v>279</v>
      </c>
      <c r="C391" s="156" t="s">
        <v>280</v>
      </c>
      <c r="D391" s="156" t="s">
        <v>541</v>
      </c>
      <c r="E391" s="179">
        <v>883769579</v>
      </c>
      <c r="F391" s="179">
        <v>2629734727</v>
      </c>
      <c r="G391" s="179">
        <v>1611520504.75</v>
      </c>
      <c r="H391" s="179">
        <v>124031888</v>
      </c>
      <c r="I391" s="179">
        <v>120718708.55</v>
      </c>
      <c r="J391" s="179">
        <v>0</v>
      </c>
      <c r="K391" s="179">
        <v>737297652.63</v>
      </c>
      <c r="L391" s="179">
        <v>577034200.08000004</v>
      </c>
      <c r="M391" s="179">
        <v>1647686477.8199999</v>
      </c>
      <c r="N391" s="179">
        <v>629472255.57000005</v>
      </c>
    </row>
    <row r="392" spans="1:14" s="156" customFormat="1" x14ac:dyDescent="0.25">
      <c r="A392" s="156" t="s">
        <v>546</v>
      </c>
      <c r="B392" s="156" t="s">
        <v>281</v>
      </c>
      <c r="C392" s="156" t="s">
        <v>282</v>
      </c>
      <c r="D392" s="156" t="s">
        <v>541</v>
      </c>
      <c r="E392" s="179">
        <v>667187579</v>
      </c>
      <c r="F392" s="179">
        <v>667187579</v>
      </c>
      <c r="G392" s="179">
        <v>667187578.75</v>
      </c>
      <c r="H392" s="179">
        <v>124031888</v>
      </c>
      <c r="I392" s="179">
        <v>86912754.280000001</v>
      </c>
      <c r="J392" s="179">
        <v>0</v>
      </c>
      <c r="K392" s="179">
        <v>128614931.86</v>
      </c>
      <c r="L392" s="179">
        <v>128614931.86</v>
      </c>
      <c r="M392" s="179">
        <v>327628004.86000001</v>
      </c>
      <c r="N392" s="179">
        <v>327628004.61000001</v>
      </c>
    </row>
    <row r="393" spans="1:14" s="156" customFormat="1" x14ac:dyDescent="0.25">
      <c r="A393" s="156" t="s">
        <v>546</v>
      </c>
      <c r="B393" s="156" t="s">
        <v>285</v>
      </c>
      <c r="C393" s="156" t="s">
        <v>286</v>
      </c>
      <c r="D393" s="156" t="s">
        <v>541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9">
        <v>0</v>
      </c>
      <c r="K393" s="179">
        <v>0</v>
      </c>
      <c r="L393" s="179">
        <v>0</v>
      </c>
      <c r="M393" s="179">
        <v>0</v>
      </c>
      <c r="N393" s="179">
        <v>0</v>
      </c>
    </row>
    <row r="394" spans="1:14" s="156" customFormat="1" x14ac:dyDescent="0.25">
      <c r="A394" s="156" t="s">
        <v>546</v>
      </c>
      <c r="B394" s="156" t="s">
        <v>287</v>
      </c>
      <c r="C394" s="156" t="s">
        <v>288</v>
      </c>
      <c r="D394" s="156" t="s">
        <v>541</v>
      </c>
      <c r="E394" s="179">
        <v>0</v>
      </c>
      <c r="F394" s="179">
        <v>0</v>
      </c>
      <c r="G394" s="179">
        <v>0</v>
      </c>
      <c r="H394" s="179">
        <v>0</v>
      </c>
      <c r="I394" s="179">
        <v>0</v>
      </c>
      <c r="J394" s="179">
        <v>0</v>
      </c>
      <c r="K394" s="179">
        <v>0</v>
      </c>
      <c r="L394" s="179">
        <v>0</v>
      </c>
      <c r="M394" s="179">
        <v>0</v>
      </c>
      <c r="N394" s="179">
        <v>0</v>
      </c>
    </row>
    <row r="395" spans="1:14" s="156" customFormat="1" x14ac:dyDescent="0.25">
      <c r="A395" s="156" t="s">
        <v>546</v>
      </c>
      <c r="B395" s="156" t="s">
        <v>283</v>
      </c>
      <c r="C395" s="156" t="s">
        <v>284</v>
      </c>
      <c r="D395" s="156" t="s">
        <v>543</v>
      </c>
      <c r="E395" s="179">
        <v>33062000</v>
      </c>
      <c r="F395" s="179">
        <v>19951724</v>
      </c>
      <c r="G395" s="179">
        <v>19951724</v>
      </c>
      <c r="H395" s="179">
        <v>0</v>
      </c>
      <c r="I395" s="179">
        <v>0</v>
      </c>
      <c r="J395" s="179">
        <v>0</v>
      </c>
      <c r="K395" s="179">
        <v>0</v>
      </c>
      <c r="L395" s="179">
        <v>0</v>
      </c>
      <c r="M395" s="179">
        <v>19951724</v>
      </c>
      <c r="N395" s="179">
        <v>19951724</v>
      </c>
    </row>
    <row r="396" spans="1:14" s="156" customFormat="1" x14ac:dyDescent="0.25">
      <c r="A396" s="156" t="s">
        <v>546</v>
      </c>
      <c r="B396" s="156" t="s">
        <v>398</v>
      </c>
      <c r="C396" s="156" t="s">
        <v>501</v>
      </c>
      <c r="D396" s="156" t="s">
        <v>543</v>
      </c>
      <c r="E396" s="179">
        <v>72100000</v>
      </c>
      <c r="F396" s="179">
        <v>72100000</v>
      </c>
      <c r="G396" s="179">
        <v>72100000</v>
      </c>
      <c r="H396" s="179">
        <v>0</v>
      </c>
      <c r="I396" s="179">
        <v>0</v>
      </c>
      <c r="J396" s="179">
        <v>0</v>
      </c>
      <c r="K396" s="179">
        <v>16883370</v>
      </c>
      <c r="L396" s="179">
        <v>16883370</v>
      </c>
      <c r="M396" s="179">
        <v>55216630</v>
      </c>
      <c r="N396" s="179">
        <v>55216630</v>
      </c>
    </row>
    <row r="397" spans="1:14" s="156" customFormat="1" x14ac:dyDescent="0.25">
      <c r="A397" s="156" t="s">
        <v>546</v>
      </c>
      <c r="B397" s="156" t="s">
        <v>285</v>
      </c>
      <c r="C397" s="156" t="s">
        <v>286</v>
      </c>
      <c r="D397" s="156" t="s">
        <v>543</v>
      </c>
      <c r="E397" s="179">
        <v>147248000</v>
      </c>
      <c r="F397" s="179">
        <v>141523000</v>
      </c>
      <c r="G397" s="179">
        <v>141523000</v>
      </c>
      <c r="H397" s="179">
        <v>0</v>
      </c>
      <c r="I397" s="179">
        <v>16197.33</v>
      </c>
      <c r="J397" s="179">
        <v>0</v>
      </c>
      <c r="K397" s="179">
        <v>7645100</v>
      </c>
      <c r="L397" s="179">
        <v>7645100</v>
      </c>
      <c r="M397" s="179">
        <v>133861702.67</v>
      </c>
      <c r="N397" s="179">
        <v>133861702.67</v>
      </c>
    </row>
    <row r="398" spans="1:14" s="156" customFormat="1" x14ac:dyDescent="0.25">
      <c r="A398" s="156" t="s">
        <v>546</v>
      </c>
      <c r="B398" s="156" t="s">
        <v>287</v>
      </c>
      <c r="C398" s="156" t="s">
        <v>288</v>
      </c>
      <c r="D398" s="156" t="s">
        <v>543</v>
      </c>
      <c r="E398" s="179">
        <v>69415579</v>
      </c>
      <c r="F398" s="179">
        <v>88250855</v>
      </c>
      <c r="G398" s="179">
        <v>88250854.75</v>
      </c>
      <c r="H398" s="179">
        <v>0</v>
      </c>
      <c r="I398" s="179">
        <v>1091800</v>
      </c>
      <c r="J398" s="179">
        <v>0</v>
      </c>
      <c r="K398" s="179">
        <v>14204254</v>
      </c>
      <c r="L398" s="179">
        <v>14204254</v>
      </c>
      <c r="M398" s="179">
        <v>72954801</v>
      </c>
      <c r="N398" s="179">
        <v>72954800.75</v>
      </c>
    </row>
    <row r="399" spans="1:14" s="156" customFormat="1" x14ac:dyDescent="0.25">
      <c r="A399" s="156" t="s">
        <v>546</v>
      </c>
      <c r="B399" s="156" t="s">
        <v>289</v>
      </c>
      <c r="C399" s="156" t="s">
        <v>290</v>
      </c>
      <c r="D399" s="156" t="s">
        <v>543</v>
      </c>
      <c r="E399" s="179">
        <v>21137000</v>
      </c>
      <c r="F399" s="179">
        <v>21137000</v>
      </c>
      <c r="G399" s="179">
        <v>21137000</v>
      </c>
      <c r="H399" s="179">
        <v>0</v>
      </c>
      <c r="I399" s="179">
        <v>0</v>
      </c>
      <c r="J399" s="179">
        <v>0</v>
      </c>
      <c r="K399" s="179">
        <v>13982594.789999999</v>
      </c>
      <c r="L399" s="179">
        <v>13982594.789999999</v>
      </c>
      <c r="M399" s="179">
        <v>7154405.21</v>
      </c>
      <c r="N399" s="179">
        <v>7154405.21</v>
      </c>
    </row>
    <row r="400" spans="1:14" s="156" customFormat="1" x14ac:dyDescent="0.25">
      <c r="A400" s="156" t="s">
        <v>546</v>
      </c>
      <c r="B400" s="156" t="s">
        <v>291</v>
      </c>
      <c r="C400" s="156" t="s">
        <v>292</v>
      </c>
      <c r="D400" s="156" t="s">
        <v>543</v>
      </c>
      <c r="E400" s="179">
        <v>29458000</v>
      </c>
      <c r="F400" s="179">
        <v>29458000</v>
      </c>
      <c r="G400" s="179">
        <v>29458000</v>
      </c>
      <c r="H400" s="179">
        <v>0</v>
      </c>
      <c r="I400" s="179">
        <v>0</v>
      </c>
      <c r="J400" s="179">
        <v>0</v>
      </c>
      <c r="K400" s="179">
        <v>16265225.01</v>
      </c>
      <c r="L400" s="179">
        <v>16265225.01</v>
      </c>
      <c r="M400" s="179">
        <v>13192774.99</v>
      </c>
      <c r="N400" s="179">
        <v>13192774.99</v>
      </c>
    </row>
    <row r="401" spans="1:14" s="156" customFormat="1" x14ac:dyDescent="0.25">
      <c r="A401" s="156" t="s">
        <v>546</v>
      </c>
      <c r="B401" s="156" t="s">
        <v>293</v>
      </c>
      <c r="C401" s="156" t="s">
        <v>294</v>
      </c>
      <c r="D401" s="156" t="s">
        <v>543</v>
      </c>
      <c r="E401" s="179">
        <v>5405000</v>
      </c>
      <c r="F401" s="179">
        <v>5405000</v>
      </c>
      <c r="G401" s="179">
        <v>5405000</v>
      </c>
      <c r="H401" s="179">
        <v>0</v>
      </c>
      <c r="I401" s="179">
        <v>0</v>
      </c>
      <c r="J401" s="179">
        <v>0</v>
      </c>
      <c r="K401" s="179">
        <v>3981450</v>
      </c>
      <c r="L401" s="179">
        <v>3981450</v>
      </c>
      <c r="M401" s="179">
        <v>1423550</v>
      </c>
      <c r="N401" s="179">
        <v>1423550</v>
      </c>
    </row>
    <row r="402" spans="1:14" s="156" customFormat="1" x14ac:dyDescent="0.25">
      <c r="A402" s="156" t="s">
        <v>546</v>
      </c>
      <c r="B402" s="156" t="s">
        <v>295</v>
      </c>
      <c r="C402" s="156" t="s">
        <v>296</v>
      </c>
      <c r="D402" s="156" t="s">
        <v>543</v>
      </c>
      <c r="E402" s="179">
        <v>289362000</v>
      </c>
      <c r="F402" s="179">
        <v>289362000</v>
      </c>
      <c r="G402" s="179">
        <v>289362000</v>
      </c>
      <c r="H402" s="179">
        <v>124031888</v>
      </c>
      <c r="I402" s="179">
        <v>85804756.950000003</v>
      </c>
      <c r="J402" s="179">
        <v>0</v>
      </c>
      <c r="K402" s="179">
        <v>55652938.060000002</v>
      </c>
      <c r="L402" s="179">
        <v>55652938.060000002</v>
      </c>
      <c r="M402" s="179">
        <v>23872416.989999998</v>
      </c>
      <c r="N402" s="179">
        <v>23872416.989999998</v>
      </c>
    </row>
    <row r="403" spans="1:14" s="156" customFormat="1" x14ac:dyDescent="0.25">
      <c r="A403" s="156" t="s">
        <v>546</v>
      </c>
      <c r="B403" s="156" t="s">
        <v>340</v>
      </c>
      <c r="C403" s="156" t="s">
        <v>341</v>
      </c>
      <c r="D403" s="156" t="s">
        <v>541</v>
      </c>
      <c r="E403" s="179">
        <v>208494000</v>
      </c>
      <c r="F403" s="179">
        <v>208494000</v>
      </c>
      <c r="G403" s="179">
        <v>208494000</v>
      </c>
      <c r="H403" s="179">
        <v>0</v>
      </c>
      <c r="I403" s="179">
        <v>3490015.69</v>
      </c>
      <c r="J403" s="179">
        <v>0</v>
      </c>
      <c r="K403" s="179">
        <v>2472139.2000000002</v>
      </c>
      <c r="L403" s="179">
        <v>2472139.2000000002</v>
      </c>
      <c r="M403" s="179">
        <v>202531845.11000001</v>
      </c>
      <c r="N403" s="179">
        <v>202531845.11000001</v>
      </c>
    </row>
    <row r="404" spans="1:14" s="156" customFormat="1" x14ac:dyDescent="0.25">
      <c r="A404" s="156" t="s">
        <v>546</v>
      </c>
      <c r="B404" s="156" t="s">
        <v>342</v>
      </c>
      <c r="C404" s="156" t="s">
        <v>343</v>
      </c>
      <c r="D404" s="156" t="s">
        <v>541</v>
      </c>
      <c r="E404" s="179">
        <v>0</v>
      </c>
      <c r="F404" s="179">
        <v>0</v>
      </c>
      <c r="G404" s="179">
        <v>0</v>
      </c>
      <c r="H404" s="179">
        <v>0</v>
      </c>
      <c r="I404" s="179">
        <v>0</v>
      </c>
      <c r="J404" s="179">
        <v>0</v>
      </c>
      <c r="K404" s="179">
        <v>0</v>
      </c>
      <c r="L404" s="179">
        <v>0</v>
      </c>
      <c r="M404" s="179">
        <v>0</v>
      </c>
      <c r="N404" s="179">
        <v>0</v>
      </c>
    </row>
    <row r="405" spans="1:14" s="156" customFormat="1" x14ac:dyDescent="0.25">
      <c r="A405" s="156" t="s">
        <v>546</v>
      </c>
      <c r="B405" s="156" t="s">
        <v>342</v>
      </c>
      <c r="C405" s="156" t="s">
        <v>343</v>
      </c>
      <c r="D405" s="156" t="s">
        <v>543</v>
      </c>
      <c r="E405" s="179">
        <v>208494000</v>
      </c>
      <c r="F405" s="179">
        <v>208494000</v>
      </c>
      <c r="G405" s="179">
        <v>208494000</v>
      </c>
      <c r="H405" s="179">
        <v>0</v>
      </c>
      <c r="I405" s="179">
        <v>3490015.69</v>
      </c>
      <c r="J405" s="179">
        <v>0</v>
      </c>
      <c r="K405" s="179">
        <v>2472139.2000000002</v>
      </c>
      <c r="L405" s="179">
        <v>2472139.2000000002</v>
      </c>
      <c r="M405" s="179">
        <v>202531845.11000001</v>
      </c>
      <c r="N405" s="179">
        <v>202531845.11000001</v>
      </c>
    </row>
    <row r="406" spans="1:14" s="156" customFormat="1" x14ac:dyDescent="0.25">
      <c r="A406" s="156" t="s">
        <v>546</v>
      </c>
      <c r="B406" s="156" t="s">
        <v>297</v>
      </c>
      <c r="C406" s="156" t="s">
        <v>298</v>
      </c>
      <c r="D406" s="156" t="s">
        <v>543</v>
      </c>
      <c r="E406" s="179">
        <v>8088000</v>
      </c>
      <c r="F406" s="179">
        <v>1754053148</v>
      </c>
      <c r="G406" s="179">
        <v>735838926</v>
      </c>
      <c r="H406" s="179">
        <v>0</v>
      </c>
      <c r="I406" s="179">
        <v>30315938.579999998</v>
      </c>
      <c r="J406" s="179">
        <v>0</v>
      </c>
      <c r="K406" s="179">
        <v>606210581.57000005</v>
      </c>
      <c r="L406" s="179">
        <v>445947129.01999998</v>
      </c>
      <c r="M406" s="179">
        <v>1117526627.8499999</v>
      </c>
      <c r="N406" s="179">
        <v>99312405.849999994</v>
      </c>
    </row>
    <row r="407" spans="1:14" s="156" customFormat="1" x14ac:dyDescent="0.25">
      <c r="A407" s="156" t="s">
        <v>546</v>
      </c>
      <c r="B407" s="156" t="s">
        <v>299</v>
      </c>
      <c r="C407" s="156" t="s">
        <v>300</v>
      </c>
      <c r="D407" s="156" t="s">
        <v>543</v>
      </c>
      <c r="E407" s="179">
        <v>0</v>
      </c>
      <c r="F407" s="179">
        <v>1745965148</v>
      </c>
      <c r="G407" s="179">
        <v>727750926</v>
      </c>
      <c r="H407" s="179">
        <v>0</v>
      </c>
      <c r="I407" s="179">
        <v>24249938.579999998</v>
      </c>
      <c r="J407" s="179">
        <v>0</v>
      </c>
      <c r="K407" s="179">
        <v>604188582.57000005</v>
      </c>
      <c r="L407" s="179">
        <v>443925130.01999998</v>
      </c>
      <c r="M407" s="179">
        <v>1117526626.8499999</v>
      </c>
      <c r="N407" s="179">
        <v>99312404.849999994</v>
      </c>
    </row>
    <row r="408" spans="1:14" s="156" customFormat="1" x14ac:dyDescent="0.25">
      <c r="A408" s="156" t="s">
        <v>546</v>
      </c>
      <c r="B408" s="156" t="s">
        <v>366</v>
      </c>
      <c r="C408" s="156" t="s">
        <v>367</v>
      </c>
      <c r="D408" s="156" t="s">
        <v>543</v>
      </c>
      <c r="E408" s="179">
        <v>8088000</v>
      </c>
      <c r="F408" s="179">
        <v>8088000</v>
      </c>
      <c r="G408" s="179">
        <v>8088000</v>
      </c>
      <c r="H408" s="179">
        <v>0</v>
      </c>
      <c r="I408" s="179">
        <v>6066000</v>
      </c>
      <c r="J408" s="179">
        <v>0</v>
      </c>
      <c r="K408" s="179">
        <v>2021999</v>
      </c>
      <c r="L408" s="179">
        <v>2021999</v>
      </c>
      <c r="M408" s="179">
        <v>1</v>
      </c>
      <c r="N408" s="179">
        <v>1</v>
      </c>
    </row>
    <row r="409" spans="1:14" s="156" customFormat="1" x14ac:dyDescent="0.25">
      <c r="A409" s="156" t="s">
        <v>546</v>
      </c>
      <c r="B409" s="156" t="s">
        <v>251</v>
      </c>
      <c r="C409" s="156" t="s">
        <v>252</v>
      </c>
      <c r="D409" s="156" t="s">
        <v>541</v>
      </c>
      <c r="E409" s="179">
        <v>11597046000</v>
      </c>
      <c r="F409" s="179">
        <v>11597046000</v>
      </c>
      <c r="G409" s="179">
        <v>5048816660.25</v>
      </c>
      <c r="H409" s="179">
        <v>0</v>
      </c>
      <c r="I409" s="179">
        <v>3488098729.9699998</v>
      </c>
      <c r="J409" s="179">
        <v>0</v>
      </c>
      <c r="K409" s="179">
        <v>1190017834.73</v>
      </c>
      <c r="L409" s="179">
        <v>1190017834.73</v>
      </c>
      <c r="M409" s="179">
        <v>6918929435.3000002</v>
      </c>
      <c r="N409" s="179">
        <v>370700095.55000001</v>
      </c>
    </row>
    <row r="410" spans="1:14" s="156" customFormat="1" x14ac:dyDescent="0.25">
      <c r="A410" s="156" t="s">
        <v>546</v>
      </c>
      <c r="B410" s="156" t="s">
        <v>253</v>
      </c>
      <c r="C410" s="156" t="s">
        <v>254</v>
      </c>
      <c r="D410" s="156" t="s">
        <v>541</v>
      </c>
      <c r="E410" s="179">
        <v>9955805000</v>
      </c>
      <c r="F410" s="179">
        <v>9915805000</v>
      </c>
      <c r="G410" s="179">
        <v>3875805000</v>
      </c>
      <c r="H410" s="179">
        <v>0</v>
      </c>
      <c r="I410" s="179">
        <v>3467997293</v>
      </c>
      <c r="J410" s="179">
        <v>0</v>
      </c>
      <c r="K410" s="179">
        <v>407807707</v>
      </c>
      <c r="L410" s="179">
        <v>407807707</v>
      </c>
      <c r="M410" s="179">
        <v>6040000000</v>
      </c>
      <c r="N410" s="179">
        <v>0</v>
      </c>
    </row>
    <row r="411" spans="1:14" s="156" customFormat="1" x14ac:dyDescent="0.25">
      <c r="A411" s="156" t="s">
        <v>546</v>
      </c>
      <c r="B411" s="156" t="s">
        <v>368</v>
      </c>
      <c r="C411" s="156" t="s">
        <v>369</v>
      </c>
      <c r="D411" s="156" t="s">
        <v>541</v>
      </c>
      <c r="E411" s="179">
        <v>80000000</v>
      </c>
      <c r="F411" s="179">
        <v>40000000</v>
      </c>
      <c r="G411" s="179">
        <v>0</v>
      </c>
      <c r="H411" s="179">
        <v>0</v>
      </c>
      <c r="I411" s="179">
        <v>0</v>
      </c>
      <c r="J411" s="179">
        <v>0</v>
      </c>
      <c r="K411" s="179">
        <v>0</v>
      </c>
      <c r="L411" s="179">
        <v>0</v>
      </c>
      <c r="M411" s="179">
        <v>40000000</v>
      </c>
      <c r="N411" s="179">
        <v>0</v>
      </c>
    </row>
    <row r="412" spans="1:14" s="156" customFormat="1" x14ac:dyDescent="0.25">
      <c r="A412" s="156" t="s">
        <v>546</v>
      </c>
      <c r="B412" s="156" t="s">
        <v>370</v>
      </c>
      <c r="C412" s="156" t="s">
        <v>602</v>
      </c>
      <c r="D412" s="156" t="s">
        <v>541</v>
      </c>
      <c r="E412" s="179">
        <v>673849000</v>
      </c>
      <c r="F412" s="179">
        <v>673849000</v>
      </c>
      <c r="G412" s="179">
        <v>673849000</v>
      </c>
      <c r="H412" s="179">
        <v>0</v>
      </c>
      <c r="I412" s="179">
        <v>334465404</v>
      </c>
      <c r="J412" s="179">
        <v>0</v>
      </c>
      <c r="K412" s="179">
        <v>339383596</v>
      </c>
      <c r="L412" s="179">
        <v>339383596</v>
      </c>
      <c r="M412" s="179">
        <v>0</v>
      </c>
      <c r="N412" s="179">
        <v>0</v>
      </c>
    </row>
    <row r="413" spans="1:14" s="156" customFormat="1" x14ac:dyDescent="0.25">
      <c r="A413" s="156" t="s">
        <v>546</v>
      </c>
      <c r="B413" s="156" t="s">
        <v>371</v>
      </c>
      <c r="C413" s="156" t="s">
        <v>603</v>
      </c>
      <c r="D413" s="156" t="s">
        <v>541</v>
      </c>
      <c r="E413" s="179">
        <v>135856000</v>
      </c>
      <c r="F413" s="179">
        <v>135856000</v>
      </c>
      <c r="G413" s="179">
        <v>135856000</v>
      </c>
      <c r="H413" s="179">
        <v>0</v>
      </c>
      <c r="I413" s="179">
        <v>67431889</v>
      </c>
      <c r="J413" s="179">
        <v>0</v>
      </c>
      <c r="K413" s="179">
        <v>68424111</v>
      </c>
      <c r="L413" s="179">
        <v>68424111</v>
      </c>
      <c r="M413" s="179">
        <v>0</v>
      </c>
      <c r="N413" s="179">
        <v>0</v>
      </c>
    </row>
    <row r="414" spans="1:14" s="156" customFormat="1" x14ac:dyDescent="0.25">
      <c r="A414" s="156" t="s">
        <v>546</v>
      </c>
      <c r="B414" s="156" t="s">
        <v>606</v>
      </c>
      <c r="C414" s="156" t="s">
        <v>608</v>
      </c>
      <c r="D414" s="156" t="s">
        <v>543</v>
      </c>
      <c r="E414" s="179">
        <v>9066100000</v>
      </c>
      <c r="F414" s="179">
        <v>9066100000</v>
      </c>
      <c r="G414" s="179">
        <v>3066100000</v>
      </c>
      <c r="H414" s="179">
        <v>0</v>
      </c>
      <c r="I414" s="179">
        <v>3066100000</v>
      </c>
      <c r="J414" s="179">
        <v>0</v>
      </c>
      <c r="K414" s="179">
        <v>0</v>
      </c>
      <c r="L414" s="179">
        <v>0</v>
      </c>
      <c r="M414" s="179">
        <v>6000000000</v>
      </c>
      <c r="N414" s="179">
        <v>0</v>
      </c>
    </row>
    <row r="415" spans="1:14" s="156" customFormat="1" x14ac:dyDescent="0.25">
      <c r="A415" s="156" t="s">
        <v>546</v>
      </c>
      <c r="B415" s="156" t="s">
        <v>372</v>
      </c>
      <c r="C415" s="156" t="s">
        <v>373</v>
      </c>
      <c r="D415" s="156" t="s">
        <v>541</v>
      </c>
      <c r="E415" s="179">
        <v>550000000</v>
      </c>
      <c r="F415" s="179">
        <v>550000000</v>
      </c>
      <c r="G415" s="179">
        <v>315000000</v>
      </c>
      <c r="H415" s="179">
        <v>0</v>
      </c>
      <c r="I415" s="179">
        <v>5000000</v>
      </c>
      <c r="J415" s="179">
        <v>0</v>
      </c>
      <c r="K415" s="179">
        <v>270000000</v>
      </c>
      <c r="L415" s="179">
        <v>270000000</v>
      </c>
      <c r="M415" s="179">
        <v>275000000</v>
      </c>
      <c r="N415" s="179">
        <v>40000000</v>
      </c>
    </row>
    <row r="416" spans="1:14" s="156" customFormat="1" x14ac:dyDescent="0.25">
      <c r="A416" s="156" t="s">
        <v>546</v>
      </c>
      <c r="B416" s="156" t="s">
        <v>374</v>
      </c>
      <c r="C416" s="156" t="s">
        <v>375</v>
      </c>
      <c r="D416" s="156" t="s">
        <v>541</v>
      </c>
      <c r="E416" s="179">
        <v>550000000</v>
      </c>
      <c r="F416" s="179">
        <v>550000000</v>
      </c>
      <c r="G416" s="179">
        <v>315000000</v>
      </c>
      <c r="H416" s="179">
        <v>0</v>
      </c>
      <c r="I416" s="179">
        <v>5000000</v>
      </c>
      <c r="J416" s="179">
        <v>0</v>
      </c>
      <c r="K416" s="179">
        <v>270000000</v>
      </c>
      <c r="L416" s="179">
        <v>270000000</v>
      </c>
      <c r="M416" s="179">
        <v>275000000</v>
      </c>
      <c r="N416" s="179">
        <v>40000000</v>
      </c>
    </row>
    <row r="417" spans="1:14" s="156" customFormat="1" x14ac:dyDescent="0.25">
      <c r="A417" s="156" t="s">
        <v>546</v>
      </c>
      <c r="B417" s="156" t="s">
        <v>261</v>
      </c>
      <c r="C417" s="156" t="s">
        <v>262</v>
      </c>
      <c r="D417" s="156" t="s">
        <v>541</v>
      </c>
      <c r="E417" s="179">
        <v>1002889000</v>
      </c>
      <c r="F417" s="179">
        <v>1002889000</v>
      </c>
      <c r="G417" s="179">
        <v>741335660.25</v>
      </c>
      <c r="H417" s="179">
        <v>0</v>
      </c>
      <c r="I417" s="179">
        <v>1138665.58</v>
      </c>
      <c r="J417" s="179">
        <v>0</v>
      </c>
      <c r="K417" s="179">
        <v>436172899.12</v>
      </c>
      <c r="L417" s="179">
        <v>436172899.12</v>
      </c>
      <c r="M417" s="179">
        <v>565577435.29999995</v>
      </c>
      <c r="N417" s="179">
        <v>304024095.55000001</v>
      </c>
    </row>
    <row r="418" spans="1:14" s="156" customFormat="1" x14ac:dyDescent="0.25">
      <c r="A418" s="156" t="s">
        <v>546</v>
      </c>
      <c r="B418" s="156" t="s">
        <v>263</v>
      </c>
      <c r="C418" s="156" t="s">
        <v>264</v>
      </c>
      <c r="D418" s="156" t="s">
        <v>541</v>
      </c>
      <c r="E418" s="179">
        <v>657462000</v>
      </c>
      <c r="F418" s="179">
        <v>657462000</v>
      </c>
      <c r="G418" s="179">
        <v>459216115</v>
      </c>
      <c r="H418" s="179">
        <v>0</v>
      </c>
      <c r="I418" s="179">
        <v>1138665.58</v>
      </c>
      <c r="J418" s="179">
        <v>0</v>
      </c>
      <c r="K418" s="179">
        <v>258077449.41999999</v>
      </c>
      <c r="L418" s="179">
        <v>258077449.41999999</v>
      </c>
      <c r="M418" s="179">
        <v>398245885</v>
      </c>
      <c r="N418" s="179">
        <v>200000000</v>
      </c>
    </row>
    <row r="419" spans="1:14" s="156" customFormat="1" x14ac:dyDescent="0.25">
      <c r="A419" s="156" t="s">
        <v>546</v>
      </c>
      <c r="B419" s="156" t="s">
        <v>265</v>
      </c>
      <c r="C419" s="156" t="s">
        <v>266</v>
      </c>
      <c r="D419" s="156" t="s">
        <v>541</v>
      </c>
      <c r="E419" s="179">
        <v>345427000</v>
      </c>
      <c r="F419" s="179">
        <v>345427000</v>
      </c>
      <c r="G419" s="179">
        <v>282119545.25</v>
      </c>
      <c r="H419" s="179">
        <v>0</v>
      </c>
      <c r="I419" s="179">
        <v>0</v>
      </c>
      <c r="J419" s="179">
        <v>0</v>
      </c>
      <c r="K419" s="179">
        <v>178095449.69999999</v>
      </c>
      <c r="L419" s="179">
        <v>178095449.69999999</v>
      </c>
      <c r="M419" s="179">
        <v>167331550.30000001</v>
      </c>
      <c r="N419" s="179">
        <v>104024095.55</v>
      </c>
    </row>
    <row r="420" spans="1:14" s="156" customFormat="1" x14ac:dyDescent="0.25">
      <c r="A420" s="156" t="s">
        <v>546</v>
      </c>
      <c r="B420" s="156" t="s">
        <v>267</v>
      </c>
      <c r="C420" s="156" t="s">
        <v>268</v>
      </c>
      <c r="D420" s="156" t="s">
        <v>541</v>
      </c>
      <c r="E420" s="179">
        <v>88352000</v>
      </c>
      <c r="F420" s="179">
        <v>128352000</v>
      </c>
      <c r="G420" s="179">
        <v>116676000</v>
      </c>
      <c r="H420" s="179">
        <v>0</v>
      </c>
      <c r="I420" s="179">
        <v>13962771.390000001</v>
      </c>
      <c r="J420" s="179">
        <v>0</v>
      </c>
      <c r="K420" s="179">
        <v>76037228.609999999</v>
      </c>
      <c r="L420" s="179">
        <v>76037228.609999999</v>
      </c>
      <c r="M420" s="179">
        <v>38352000</v>
      </c>
      <c r="N420" s="179">
        <v>26676000</v>
      </c>
    </row>
    <row r="421" spans="1:14" s="156" customFormat="1" x14ac:dyDescent="0.25">
      <c r="A421" s="156" t="s">
        <v>546</v>
      </c>
      <c r="B421" s="156" t="s">
        <v>269</v>
      </c>
      <c r="C421" s="156" t="s">
        <v>270</v>
      </c>
      <c r="D421" s="156" t="s">
        <v>541</v>
      </c>
      <c r="E421" s="179">
        <v>65000000</v>
      </c>
      <c r="F421" s="179">
        <v>105000000</v>
      </c>
      <c r="G421" s="179">
        <v>105000000</v>
      </c>
      <c r="H421" s="179">
        <v>0</v>
      </c>
      <c r="I421" s="179">
        <v>8962771.3900000006</v>
      </c>
      <c r="J421" s="179">
        <v>0</v>
      </c>
      <c r="K421" s="179">
        <v>76037228.609999999</v>
      </c>
      <c r="L421" s="179">
        <v>76037228.609999999</v>
      </c>
      <c r="M421" s="179">
        <v>20000000</v>
      </c>
      <c r="N421" s="179">
        <v>20000000</v>
      </c>
    </row>
    <row r="422" spans="1:14" s="156" customFormat="1" x14ac:dyDescent="0.25">
      <c r="A422" s="156" t="s">
        <v>546</v>
      </c>
      <c r="B422" s="156" t="s">
        <v>271</v>
      </c>
      <c r="C422" s="156" t="s">
        <v>272</v>
      </c>
      <c r="D422" s="156" t="s">
        <v>541</v>
      </c>
      <c r="E422" s="179">
        <v>23352000</v>
      </c>
      <c r="F422" s="179">
        <v>23352000</v>
      </c>
      <c r="G422" s="179">
        <v>11676000</v>
      </c>
      <c r="H422" s="179">
        <v>0</v>
      </c>
      <c r="I422" s="179">
        <v>5000000</v>
      </c>
      <c r="J422" s="179">
        <v>0</v>
      </c>
      <c r="K422" s="179">
        <v>0</v>
      </c>
      <c r="L422" s="179">
        <v>0</v>
      </c>
      <c r="M422" s="179">
        <v>18352000</v>
      </c>
      <c r="N422" s="179">
        <v>6676000</v>
      </c>
    </row>
    <row r="423" spans="1:14" s="156" customFormat="1" x14ac:dyDescent="0.25">
      <c r="A423" s="156" t="s">
        <v>546</v>
      </c>
      <c r="B423" s="156" t="s">
        <v>376</v>
      </c>
      <c r="C423" s="156" t="s">
        <v>377</v>
      </c>
      <c r="D423" s="156" t="s">
        <v>543</v>
      </c>
      <c r="E423" s="179">
        <v>573100000</v>
      </c>
      <c r="F423" s="179">
        <v>827134852</v>
      </c>
      <c r="G423" s="179">
        <v>422017020</v>
      </c>
      <c r="H423" s="179">
        <v>0</v>
      </c>
      <c r="I423" s="179">
        <v>0</v>
      </c>
      <c r="J423" s="179">
        <v>0</v>
      </c>
      <c r="K423" s="179">
        <v>0</v>
      </c>
      <c r="L423" s="179">
        <v>0</v>
      </c>
      <c r="M423" s="179">
        <v>827134852</v>
      </c>
      <c r="N423" s="179">
        <v>422017020</v>
      </c>
    </row>
    <row r="424" spans="1:14" s="156" customFormat="1" x14ac:dyDescent="0.25">
      <c r="A424" s="156" t="s">
        <v>546</v>
      </c>
      <c r="B424" s="156" t="s">
        <v>378</v>
      </c>
      <c r="C424" s="156" t="s">
        <v>379</v>
      </c>
      <c r="D424" s="156" t="s">
        <v>543</v>
      </c>
      <c r="E424" s="179">
        <v>573100000</v>
      </c>
      <c r="F424" s="179">
        <v>827134852</v>
      </c>
      <c r="G424" s="179">
        <v>422017020</v>
      </c>
      <c r="H424" s="179">
        <v>0</v>
      </c>
      <c r="I424" s="179">
        <v>0</v>
      </c>
      <c r="J424" s="179">
        <v>0</v>
      </c>
      <c r="K424" s="179">
        <v>0</v>
      </c>
      <c r="L424" s="179">
        <v>0</v>
      </c>
      <c r="M424" s="179">
        <v>827134852</v>
      </c>
      <c r="N424" s="179">
        <v>422017020</v>
      </c>
    </row>
    <row r="425" spans="1:14" s="156" customFormat="1" x14ac:dyDescent="0.25">
      <c r="A425" s="156" t="s">
        <v>546</v>
      </c>
      <c r="B425" s="156" t="s">
        <v>380</v>
      </c>
      <c r="C425" s="156" t="s">
        <v>381</v>
      </c>
      <c r="D425" s="156" t="s">
        <v>543</v>
      </c>
      <c r="E425" s="179">
        <v>573100000</v>
      </c>
      <c r="F425" s="179">
        <v>827134852</v>
      </c>
      <c r="G425" s="179">
        <v>422017020</v>
      </c>
      <c r="H425" s="179">
        <v>0</v>
      </c>
      <c r="I425" s="179">
        <v>0</v>
      </c>
      <c r="J425" s="179">
        <v>0</v>
      </c>
      <c r="K425" s="179">
        <v>0</v>
      </c>
      <c r="L425" s="179">
        <v>0</v>
      </c>
      <c r="M425" s="179">
        <v>827134852</v>
      </c>
      <c r="N425" s="179">
        <v>422017020</v>
      </c>
    </row>
    <row r="426" spans="1:14" s="156" customFormat="1" x14ac:dyDescent="0.25">
      <c r="A426" s="156">
        <v>214784</v>
      </c>
      <c r="B426" s="156" t="s">
        <v>587</v>
      </c>
      <c r="C426" s="156" t="s">
        <v>587</v>
      </c>
      <c r="D426" s="156" t="s">
        <v>541</v>
      </c>
      <c r="E426" s="179">
        <v>13837611334</v>
      </c>
      <c r="F426" s="179">
        <v>13837611334</v>
      </c>
      <c r="G426" s="179">
        <v>13751959037</v>
      </c>
      <c r="H426" s="179">
        <v>0</v>
      </c>
      <c r="I426" s="179">
        <v>1244086364.8399999</v>
      </c>
      <c r="J426" s="179">
        <v>0</v>
      </c>
      <c r="K426" s="179">
        <v>6282975846.3599997</v>
      </c>
      <c r="L426" s="179">
        <v>6282975846.3599997</v>
      </c>
      <c r="M426" s="179">
        <v>6310549122.8000002</v>
      </c>
      <c r="N426" s="179">
        <v>6224896825.8000002</v>
      </c>
    </row>
    <row r="427" spans="1:14" s="156" customFormat="1" x14ac:dyDescent="0.25">
      <c r="A427" s="156" t="s">
        <v>547</v>
      </c>
      <c r="B427" s="156" t="s">
        <v>92</v>
      </c>
      <c r="C427" s="156" t="s">
        <v>93</v>
      </c>
      <c r="D427" s="156" t="s">
        <v>541</v>
      </c>
      <c r="E427" s="179">
        <v>13313316000</v>
      </c>
      <c r="F427" s="179">
        <v>13313316000</v>
      </c>
      <c r="G427" s="179">
        <v>13313316000</v>
      </c>
      <c r="H427" s="179">
        <v>0</v>
      </c>
      <c r="I427" s="179">
        <v>1094607963.6800001</v>
      </c>
      <c r="J427" s="179">
        <v>0</v>
      </c>
      <c r="K427" s="179">
        <v>6102563932.7299995</v>
      </c>
      <c r="L427" s="179">
        <v>6102563932.7299995</v>
      </c>
      <c r="M427" s="179">
        <v>6116144103.5900002</v>
      </c>
      <c r="N427" s="179">
        <v>6116144103.5900002</v>
      </c>
    </row>
    <row r="428" spans="1:14" s="156" customFormat="1" x14ac:dyDescent="0.25">
      <c r="A428" s="156" t="s">
        <v>547</v>
      </c>
      <c r="B428" s="156" t="s">
        <v>94</v>
      </c>
      <c r="C428" s="156" t="s">
        <v>95</v>
      </c>
      <c r="D428" s="156" t="s">
        <v>541</v>
      </c>
      <c r="E428" s="179">
        <v>4473382000</v>
      </c>
      <c r="F428" s="179">
        <v>4473382000</v>
      </c>
      <c r="G428" s="179">
        <v>4473382000</v>
      </c>
      <c r="H428" s="179">
        <v>0</v>
      </c>
      <c r="I428" s="179">
        <v>180140</v>
      </c>
      <c r="J428" s="179">
        <v>0</v>
      </c>
      <c r="K428" s="179">
        <v>1991144120.02</v>
      </c>
      <c r="L428" s="179">
        <v>1991144120.02</v>
      </c>
      <c r="M428" s="179">
        <v>2482057739.98</v>
      </c>
      <c r="N428" s="179">
        <v>2482057739.98</v>
      </c>
    </row>
    <row r="429" spans="1:14" s="156" customFormat="1" x14ac:dyDescent="0.25">
      <c r="A429" s="156" t="s">
        <v>547</v>
      </c>
      <c r="B429" s="156" t="s">
        <v>96</v>
      </c>
      <c r="C429" s="156" t="s">
        <v>97</v>
      </c>
      <c r="D429" s="156" t="s">
        <v>541</v>
      </c>
      <c r="E429" s="179">
        <v>4473382000</v>
      </c>
      <c r="F429" s="179">
        <v>4473382000</v>
      </c>
      <c r="G429" s="179">
        <v>4473382000</v>
      </c>
      <c r="H429" s="179">
        <v>0</v>
      </c>
      <c r="I429" s="179">
        <v>180140</v>
      </c>
      <c r="J429" s="179">
        <v>0</v>
      </c>
      <c r="K429" s="179">
        <v>1991144120.02</v>
      </c>
      <c r="L429" s="179">
        <v>1991144120.02</v>
      </c>
      <c r="M429" s="179">
        <v>2482057739.98</v>
      </c>
      <c r="N429" s="179">
        <v>2482057739.98</v>
      </c>
    </row>
    <row r="430" spans="1:14" s="156" customFormat="1" x14ac:dyDescent="0.25">
      <c r="A430" s="156" t="s">
        <v>547</v>
      </c>
      <c r="B430" s="156" t="s">
        <v>102</v>
      </c>
      <c r="C430" s="156" t="s">
        <v>103</v>
      </c>
      <c r="D430" s="156" t="s">
        <v>541</v>
      </c>
      <c r="E430" s="179">
        <v>6745487000</v>
      </c>
      <c r="F430" s="179">
        <v>6745487000</v>
      </c>
      <c r="G430" s="179">
        <v>6745487000</v>
      </c>
      <c r="H430" s="179">
        <v>0</v>
      </c>
      <c r="I430" s="179">
        <v>220373</v>
      </c>
      <c r="J430" s="179">
        <v>0</v>
      </c>
      <c r="K430" s="179">
        <v>3111180263.3899999</v>
      </c>
      <c r="L430" s="179">
        <v>3111180263.3899999</v>
      </c>
      <c r="M430" s="179">
        <v>3634086363.6100001</v>
      </c>
      <c r="N430" s="179">
        <v>3634086363.6100001</v>
      </c>
    </row>
    <row r="431" spans="1:14" s="156" customFormat="1" x14ac:dyDescent="0.25">
      <c r="A431" s="156" t="s">
        <v>547</v>
      </c>
      <c r="B431" s="156" t="s">
        <v>104</v>
      </c>
      <c r="C431" s="156" t="s">
        <v>105</v>
      </c>
      <c r="D431" s="156" t="s">
        <v>541</v>
      </c>
      <c r="E431" s="179">
        <v>1460185000</v>
      </c>
      <c r="F431" s="179">
        <v>1460185000</v>
      </c>
      <c r="G431" s="179">
        <v>1460185000</v>
      </c>
      <c r="H431" s="179">
        <v>0</v>
      </c>
      <c r="I431" s="179">
        <v>121296</v>
      </c>
      <c r="J431" s="179">
        <v>0</v>
      </c>
      <c r="K431" s="179">
        <v>649818377.69000006</v>
      </c>
      <c r="L431" s="179">
        <v>649818377.69000006</v>
      </c>
      <c r="M431" s="179">
        <v>810245326.30999994</v>
      </c>
      <c r="N431" s="179">
        <v>810245326.30999994</v>
      </c>
    </row>
    <row r="432" spans="1:14" s="156" customFormat="1" x14ac:dyDescent="0.25">
      <c r="A432" s="156" t="s">
        <v>547</v>
      </c>
      <c r="B432" s="156" t="s">
        <v>106</v>
      </c>
      <c r="C432" s="156" t="s">
        <v>107</v>
      </c>
      <c r="D432" s="156" t="s">
        <v>541</v>
      </c>
      <c r="E432" s="179">
        <v>2519609000</v>
      </c>
      <c r="F432" s="179">
        <v>2519609000</v>
      </c>
      <c r="G432" s="179">
        <v>2519609000</v>
      </c>
      <c r="H432" s="179">
        <v>0</v>
      </c>
      <c r="I432" s="179">
        <v>54042</v>
      </c>
      <c r="J432" s="179">
        <v>0</v>
      </c>
      <c r="K432" s="179">
        <v>1164874987.9300001</v>
      </c>
      <c r="L432" s="179">
        <v>1164874987.9300001</v>
      </c>
      <c r="M432" s="179">
        <v>1354679970.0699999</v>
      </c>
      <c r="N432" s="179">
        <v>1354679970.0699999</v>
      </c>
    </row>
    <row r="433" spans="1:14" s="156" customFormat="1" x14ac:dyDescent="0.25">
      <c r="A433" s="156" t="s">
        <v>547</v>
      </c>
      <c r="B433" s="156" t="s">
        <v>108</v>
      </c>
      <c r="C433" s="156" t="s">
        <v>109</v>
      </c>
      <c r="D433" s="156" t="s">
        <v>541</v>
      </c>
      <c r="E433" s="179">
        <v>738904000</v>
      </c>
      <c r="F433" s="179">
        <v>738904000</v>
      </c>
      <c r="G433" s="179">
        <v>738904000</v>
      </c>
      <c r="H433" s="179">
        <v>0</v>
      </c>
      <c r="I433" s="179">
        <v>0</v>
      </c>
      <c r="J433" s="179">
        <v>0</v>
      </c>
      <c r="K433" s="179">
        <v>737019487.25</v>
      </c>
      <c r="L433" s="179">
        <v>737019487.25</v>
      </c>
      <c r="M433" s="179">
        <v>1884512.75</v>
      </c>
      <c r="N433" s="179">
        <v>1884512.75</v>
      </c>
    </row>
    <row r="434" spans="1:14" s="156" customFormat="1" x14ac:dyDescent="0.25">
      <c r="A434" s="156" t="s">
        <v>547</v>
      </c>
      <c r="B434" s="156" t="s">
        <v>110</v>
      </c>
      <c r="C434" s="156" t="s">
        <v>111</v>
      </c>
      <c r="D434" s="156" t="s">
        <v>541</v>
      </c>
      <c r="E434" s="179">
        <v>1196454000</v>
      </c>
      <c r="F434" s="179">
        <v>1196454000</v>
      </c>
      <c r="G434" s="179">
        <v>1196454000</v>
      </c>
      <c r="H434" s="179">
        <v>0</v>
      </c>
      <c r="I434" s="179">
        <v>45035</v>
      </c>
      <c r="J434" s="179">
        <v>0</v>
      </c>
      <c r="K434" s="179">
        <v>559250337.59000003</v>
      </c>
      <c r="L434" s="179">
        <v>559250337.59000003</v>
      </c>
      <c r="M434" s="179">
        <v>637158627.40999997</v>
      </c>
      <c r="N434" s="179">
        <v>637158627.40999997</v>
      </c>
    </row>
    <row r="435" spans="1:14" s="156" customFormat="1" x14ac:dyDescent="0.25">
      <c r="A435" s="156" t="s">
        <v>547</v>
      </c>
      <c r="B435" s="156" t="s">
        <v>112</v>
      </c>
      <c r="C435" s="156" t="s">
        <v>113</v>
      </c>
      <c r="D435" s="156" t="s">
        <v>543</v>
      </c>
      <c r="E435" s="179">
        <v>830335000</v>
      </c>
      <c r="F435" s="179">
        <v>830335000</v>
      </c>
      <c r="G435" s="179">
        <v>830335000</v>
      </c>
      <c r="H435" s="179">
        <v>0</v>
      </c>
      <c r="I435" s="179">
        <v>0</v>
      </c>
      <c r="J435" s="179">
        <v>0</v>
      </c>
      <c r="K435" s="179">
        <v>217072.93</v>
      </c>
      <c r="L435" s="179">
        <v>217072.93</v>
      </c>
      <c r="M435" s="179">
        <v>830117927.07000005</v>
      </c>
      <c r="N435" s="179">
        <v>830117927.07000005</v>
      </c>
    </row>
    <row r="436" spans="1:14" s="156" customFormat="1" x14ac:dyDescent="0.25">
      <c r="A436" s="156" t="s">
        <v>547</v>
      </c>
      <c r="B436" s="156" t="s">
        <v>114</v>
      </c>
      <c r="C436" s="156" t="s">
        <v>115</v>
      </c>
      <c r="D436" s="156" t="s">
        <v>541</v>
      </c>
      <c r="E436" s="179">
        <v>1012881000</v>
      </c>
      <c r="F436" s="179">
        <v>1012881000</v>
      </c>
      <c r="G436" s="179">
        <v>1012881000</v>
      </c>
      <c r="H436" s="179">
        <v>0</v>
      </c>
      <c r="I436" s="179">
        <v>512633216</v>
      </c>
      <c r="J436" s="179">
        <v>0</v>
      </c>
      <c r="K436" s="179">
        <v>500247784</v>
      </c>
      <c r="L436" s="179">
        <v>500247784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382</v>
      </c>
      <c r="C437" s="156" t="s">
        <v>597</v>
      </c>
      <c r="D437" s="156" t="s">
        <v>541</v>
      </c>
      <c r="E437" s="179">
        <v>960939000</v>
      </c>
      <c r="F437" s="179">
        <v>960939000</v>
      </c>
      <c r="G437" s="179">
        <v>960939000</v>
      </c>
      <c r="H437" s="179">
        <v>0</v>
      </c>
      <c r="I437" s="179">
        <v>486344095</v>
      </c>
      <c r="J437" s="179">
        <v>0</v>
      </c>
      <c r="K437" s="179">
        <v>474594905</v>
      </c>
      <c r="L437" s="179">
        <v>474594905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383</v>
      </c>
      <c r="C438" s="156" t="s">
        <v>583</v>
      </c>
      <c r="D438" s="156" t="s">
        <v>541</v>
      </c>
      <c r="E438" s="179">
        <v>51942000</v>
      </c>
      <c r="F438" s="179">
        <v>51942000</v>
      </c>
      <c r="G438" s="179">
        <v>51942000</v>
      </c>
      <c r="H438" s="179">
        <v>0</v>
      </c>
      <c r="I438" s="179">
        <v>26289121</v>
      </c>
      <c r="J438" s="179">
        <v>0</v>
      </c>
      <c r="K438" s="179">
        <v>25652879</v>
      </c>
      <c r="L438" s="179">
        <v>25652879</v>
      </c>
      <c r="M438" s="179">
        <v>0</v>
      </c>
      <c r="N438" s="179">
        <v>0</v>
      </c>
    </row>
    <row r="439" spans="1:14" s="156" customFormat="1" x14ac:dyDescent="0.25">
      <c r="A439" s="156" t="s">
        <v>547</v>
      </c>
      <c r="B439" s="156" t="s">
        <v>118</v>
      </c>
      <c r="C439" s="156" t="s">
        <v>119</v>
      </c>
      <c r="D439" s="156" t="s">
        <v>541</v>
      </c>
      <c r="E439" s="179">
        <v>1081566000</v>
      </c>
      <c r="F439" s="179">
        <v>1081566000</v>
      </c>
      <c r="G439" s="179">
        <v>1081566000</v>
      </c>
      <c r="H439" s="179">
        <v>0</v>
      </c>
      <c r="I439" s="179">
        <v>581574234.67999995</v>
      </c>
      <c r="J439" s="179">
        <v>0</v>
      </c>
      <c r="K439" s="179">
        <v>499991765.31999999</v>
      </c>
      <c r="L439" s="179">
        <v>499991765.31999999</v>
      </c>
      <c r="M439" s="179">
        <v>0</v>
      </c>
      <c r="N439" s="179">
        <v>0</v>
      </c>
    </row>
    <row r="440" spans="1:14" s="156" customFormat="1" x14ac:dyDescent="0.25">
      <c r="A440" s="156" t="s">
        <v>547</v>
      </c>
      <c r="B440" s="156" t="s">
        <v>384</v>
      </c>
      <c r="C440" s="156" t="s">
        <v>598</v>
      </c>
      <c r="D440" s="156" t="s">
        <v>541</v>
      </c>
      <c r="E440" s="179">
        <v>527737000</v>
      </c>
      <c r="F440" s="179">
        <v>527737000</v>
      </c>
      <c r="G440" s="179">
        <v>527737000</v>
      </c>
      <c r="H440" s="179">
        <v>0</v>
      </c>
      <c r="I440" s="179">
        <v>303990714</v>
      </c>
      <c r="J440" s="179">
        <v>0</v>
      </c>
      <c r="K440" s="179">
        <v>223746286</v>
      </c>
      <c r="L440" s="179">
        <v>223746286</v>
      </c>
      <c r="M440" s="179">
        <v>0</v>
      </c>
      <c r="N440" s="179">
        <v>0</v>
      </c>
    </row>
    <row r="441" spans="1:14" s="156" customFormat="1" x14ac:dyDescent="0.25">
      <c r="A441" s="156" t="s">
        <v>547</v>
      </c>
      <c r="B441" s="156" t="s">
        <v>385</v>
      </c>
      <c r="C441" s="156" t="s">
        <v>599</v>
      </c>
      <c r="D441" s="156" t="s">
        <v>541</v>
      </c>
      <c r="E441" s="179">
        <v>155828000</v>
      </c>
      <c r="F441" s="179">
        <v>155828000</v>
      </c>
      <c r="G441" s="179">
        <v>155828000</v>
      </c>
      <c r="H441" s="179">
        <v>0</v>
      </c>
      <c r="I441" s="179">
        <v>78869289</v>
      </c>
      <c r="J441" s="179">
        <v>0</v>
      </c>
      <c r="K441" s="179">
        <v>76958711</v>
      </c>
      <c r="L441" s="179">
        <v>76958711</v>
      </c>
      <c r="M441" s="179">
        <v>0</v>
      </c>
      <c r="N441" s="179">
        <v>0</v>
      </c>
    </row>
    <row r="442" spans="1:14" s="156" customFormat="1" x14ac:dyDescent="0.25">
      <c r="A442" s="156" t="s">
        <v>547</v>
      </c>
      <c r="B442" s="156" t="s">
        <v>386</v>
      </c>
      <c r="C442" s="156" t="s">
        <v>600</v>
      </c>
      <c r="D442" s="156" t="s">
        <v>541</v>
      </c>
      <c r="E442" s="179">
        <v>311656000</v>
      </c>
      <c r="F442" s="179">
        <v>311656000</v>
      </c>
      <c r="G442" s="179">
        <v>311656000</v>
      </c>
      <c r="H442" s="179">
        <v>0</v>
      </c>
      <c r="I442" s="179">
        <v>157738669</v>
      </c>
      <c r="J442" s="179">
        <v>0</v>
      </c>
      <c r="K442" s="179">
        <v>153917331</v>
      </c>
      <c r="L442" s="179">
        <v>153917331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387</v>
      </c>
      <c r="C443" s="156" t="s">
        <v>388</v>
      </c>
      <c r="D443" s="156" t="s">
        <v>541</v>
      </c>
      <c r="E443" s="179">
        <v>86345000</v>
      </c>
      <c r="F443" s="179">
        <v>86345000</v>
      </c>
      <c r="G443" s="179">
        <v>86345000</v>
      </c>
      <c r="H443" s="179">
        <v>0</v>
      </c>
      <c r="I443" s="179">
        <v>40975562.68</v>
      </c>
      <c r="J443" s="179">
        <v>0</v>
      </c>
      <c r="K443" s="179">
        <v>45369437.32</v>
      </c>
      <c r="L443" s="179">
        <v>45369437.32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123</v>
      </c>
      <c r="C444" s="156" t="s">
        <v>124</v>
      </c>
      <c r="D444" s="156" t="s">
        <v>541</v>
      </c>
      <c r="E444" s="179">
        <v>31730334</v>
      </c>
      <c r="F444" s="179">
        <v>31730334</v>
      </c>
      <c r="G444" s="179">
        <v>31730334</v>
      </c>
      <c r="H444" s="179">
        <v>0</v>
      </c>
      <c r="I444" s="179">
        <v>31730334</v>
      </c>
      <c r="J444" s="179">
        <v>0</v>
      </c>
      <c r="K444" s="179">
        <v>0</v>
      </c>
      <c r="L444" s="179">
        <v>0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168</v>
      </c>
      <c r="C445" s="156" t="s">
        <v>169</v>
      </c>
      <c r="D445" s="156" t="s">
        <v>541</v>
      </c>
      <c r="E445" s="179">
        <v>31730334</v>
      </c>
      <c r="F445" s="179">
        <v>31730334</v>
      </c>
      <c r="G445" s="179">
        <v>31730334</v>
      </c>
      <c r="H445" s="179">
        <v>0</v>
      </c>
      <c r="I445" s="179">
        <v>31730334</v>
      </c>
      <c r="J445" s="179">
        <v>0</v>
      </c>
      <c r="K445" s="179">
        <v>0</v>
      </c>
      <c r="L445" s="179">
        <v>0</v>
      </c>
      <c r="M445" s="179">
        <v>0</v>
      </c>
      <c r="N445" s="179">
        <v>0</v>
      </c>
    </row>
    <row r="446" spans="1:14" s="156" customFormat="1" x14ac:dyDescent="0.25">
      <c r="A446" s="156" t="s">
        <v>547</v>
      </c>
      <c r="B446" s="156" t="s">
        <v>170</v>
      </c>
      <c r="C446" s="156" t="s">
        <v>171</v>
      </c>
      <c r="D446" s="156" t="s">
        <v>541</v>
      </c>
      <c r="E446" s="179">
        <v>31730334</v>
      </c>
      <c r="F446" s="179">
        <v>31730334</v>
      </c>
      <c r="G446" s="179">
        <v>31730334</v>
      </c>
      <c r="H446" s="179">
        <v>0</v>
      </c>
      <c r="I446" s="179">
        <v>31730334</v>
      </c>
      <c r="J446" s="179">
        <v>0</v>
      </c>
      <c r="K446" s="179">
        <v>0</v>
      </c>
      <c r="L446" s="179">
        <v>0</v>
      </c>
      <c r="M446" s="179">
        <v>0</v>
      </c>
      <c r="N446" s="179">
        <v>0</v>
      </c>
    </row>
    <row r="447" spans="1:14" s="156" customFormat="1" x14ac:dyDescent="0.25">
      <c r="A447" s="156" t="s">
        <v>547</v>
      </c>
      <c r="B447" s="156" t="s">
        <v>251</v>
      </c>
      <c r="C447" s="156" t="s">
        <v>252</v>
      </c>
      <c r="D447" s="156" t="s">
        <v>541</v>
      </c>
      <c r="E447" s="179">
        <v>492565000</v>
      </c>
      <c r="F447" s="179">
        <v>492565000</v>
      </c>
      <c r="G447" s="179">
        <v>406912703</v>
      </c>
      <c r="H447" s="179">
        <v>0</v>
      </c>
      <c r="I447" s="179">
        <v>117748067.16</v>
      </c>
      <c r="J447" s="179">
        <v>0</v>
      </c>
      <c r="K447" s="179">
        <v>180411913.63</v>
      </c>
      <c r="L447" s="179">
        <v>180411913.63</v>
      </c>
      <c r="M447" s="179">
        <v>194405019.21000001</v>
      </c>
      <c r="N447" s="179">
        <v>108752722.20999999</v>
      </c>
    </row>
    <row r="448" spans="1:14" s="156" customFormat="1" x14ac:dyDescent="0.25">
      <c r="A448" s="156" t="s">
        <v>547</v>
      </c>
      <c r="B448" s="156" t="s">
        <v>253</v>
      </c>
      <c r="C448" s="156" t="s">
        <v>254</v>
      </c>
      <c r="D448" s="156" t="s">
        <v>541</v>
      </c>
      <c r="E448" s="179">
        <v>154788000</v>
      </c>
      <c r="F448" s="179">
        <v>154788000</v>
      </c>
      <c r="G448" s="179">
        <v>154788000</v>
      </c>
      <c r="H448" s="179">
        <v>0</v>
      </c>
      <c r="I448" s="179">
        <v>88134715.609999999</v>
      </c>
      <c r="J448" s="179">
        <v>0</v>
      </c>
      <c r="K448" s="179">
        <v>66653284.390000001</v>
      </c>
      <c r="L448" s="179">
        <v>66653284.390000001</v>
      </c>
      <c r="M448" s="179">
        <v>0</v>
      </c>
      <c r="N448" s="179">
        <v>0</v>
      </c>
    </row>
    <row r="449" spans="1:14" s="156" customFormat="1" x14ac:dyDescent="0.25">
      <c r="A449" s="156" t="s">
        <v>547</v>
      </c>
      <c r="B449" s="156" t="s">
        <v>389</v>
      </c>
      <c r="C449" s="156" t="s">
        <v>602</v>
      </c>
      <c r="D449" s="156" t="s">
        <v>541</v>
      </c>
      <c r="E449" s="179">
        <v>128817000</v>
      </c>
      <c r="F449" s="179">
        <v>128817000</v>
      </c>
      <c r="G449" s="179">
        <v>128817000</v>
      </c>
      <c r="H449" s="179">
        <v>0</v>
      </c>
      <c r="I449" s="179">
        <v>74990230.260000005</v>
      </c>
      <c r="J449" s="179">
        <v>0</v>
      </c>
      <c r="K449" s="179">
        <v>53826769.740000002</v>
      </c>
      <c r="L449" s="179">
        <v>53826769.740000002</v>
      </c>
      <c r="M449" s="179">
        <v>0</v>
      </c>
      <c r="N449" s="179">
        <v>0</v>
      </c>
    </row>
    <row r="450" spans="1:14" s="156" customFormat="1" x14ac:dyDescent="0.25">
      <c r="A450" s="156" t="s">
        <v>547</v>
      </c>
      <c r="B450" s="156" t="s">
        <v>390</v>
      </c>
      <c r="C450" s="156" t="s">
        <v>603</v>
      </c>
      <c r="D450" s="156" t="s">
        <v>541</v>
      </c>
      <c r="E450" s="179">
        <v>25971000</v>
      </c>
      <c r="F450" s="179">
        <v>25971000</v>
      </c>
      <c r="G450" s="179">
        <v>25971000</v>
      </c>
      <c r="H450" s="179">
        <v>0</v>
      </c>
      <c r="I450" s="179">
        <v>13144485.35</v>
      </c>
      <c r="J450" s="179">
        <v>0</v>
      </c>
      <c r="K450" s="179">
        <v>12826514.65</v>
      </c>
      <c r="L450" s="179">
        <v>12826514.65</v>
      </c>
      <c r="M450" s="179">
        <v>0</v>
      </c>
      <c r="N450" s="179">
        <v>0</v>
      </c>
    </row>
    <row r="451" spans="1:14" s="156" customFormat="1" x14ac:dyDescent="0.25">
      <c r="A451" s="156" t="s">
        <v>547</v>
      </c>
      <c r="B451" s="156" t="s">
        <v>261</v>
      </c>
      <c r="C451" s="156" t="s">
        <v>262</v>
      </c>
      <c r="D451" s="156" t="s">
        <v>541</v>
      </c>
      <c r="E451" s="179">
        <v>312777000</v>
      </c>
      <c r="F451" s="179">
        <v>307777000</v>
      </c>
      <c r="G451" s="179">
        <v>222124703</v>
      </c>
      <c r="H451" s="179">
        <v>0</v>
      </c>
      <c r="I451" s="179">
        <v>27671084.690000001</v>
      </c>
      <c r="J451" s="179">
        <v>0</v>
      </c>
      <c r="K451" s="179">
        <v>90900896.099999994</v>
      </c>
      <c r="L451" s="179">
        <v>90900896.099999994</v>
      </c>
      <c r="M451" s="179">
        <v>189205019.21000001</v>
      </c>
      <c r="N451" s="179">
        <v>103552722.20999999</v>
      </c>
    </row>
    <row r="452" spans="1:14" x14ac:dyDescent="0.25">
      <c r="A452" s="156" t="s">
        <v>547</v>
      </c>
      <c r="B452" s="156" t="s">
        <v>263</v>
      </c>
      <c r="C452" s="156" t="s">
        <v>264</v>
      </c>
      <c r="D452" s="156" t="s">
        <v>541</v>
      </c>
      <c r="E452" s="179">
        <v>239389000</v>
      </c>
      <c r="F452" s="179">
        <v>239389000</v>
      </c>
      <c r="G452" s="179">
        <v>165359168</v>
      </c>
      <c r="H452" s="179">
        <v>0</v>
      </c>
      <c r="I452" s="179">
        <v>27570956.690000001</v>
      </c>
      <c r="J452" s="179">
        <v>0</v>
      </c>
      <c r="K452" s="179">
        <v>68958375.310000002</v>
      </c>
      <c r="L452" s="179">
        <v>68958375.310000002</v>
      </c>
      <c r="M452" s="179">
        <v>142859668</v>
      </c>
      <c r="N452" s="179">
        <v>68829836</v>
      </c>
    </row>
    <row r="453" spans="1:14" x14ac:dyDescent="0.25">
      <c r="A453" s="156" t="s">
        <v>547</v>
      </c>
      <c r="B453" s="156" t="s">
        <v>265</v>
      </c>
      <c r="C453" s="156" t="s">
        <v>266</v>
      </c>
      <c r="D453" s="156" t="s">
        <v>541</v>
      </c>
      <c r="E453" s="179">
        <v>73388000</v>
      </c>
      <c r="F453" s="179">
        <v>68388000</v>
      </c>
      <c r="G453" s="179">
        <v>56765535</v>
      </c>
      <c r="H453" s="179">
        <v>0</v>
      </c>
      <c r="I453" s="179">
        <v>100128</v>
      </c>
      <c r="J453" s="179">
        <v>0</v>
      </c>
      <c r="K453" s="179">
        <v>21942520.789999999</v>
      </c>
      <c r="L453" s="179">
        <v>21942520.789999999</v>
      </c>
      <c r="M453" s="179">
        <v>46345351.210000001</v>
      </c>
      <c r="N453" s="179">
        <v>34722886.210000001</v>
      </c>
    </row>
    <row r="454" spans="1:14" x14ac:dyDescent="0.25">
      <c r="A454" s="156" t="s">
        <v>547</v>
      </c>
      <c r="B454" s="156" t="s">
        <v>267</v>
      </c>
      <c r="C454" s="156" t="s">
        <v>268</v>
      </c>
      <c r="D454" s="156" t="s">
        <v>541</v>
      </c>
      <c r="E454" s="179">
        <v>25000000</v>
      </c>
      <c r="F454" s="179">
        <v>30000000</v>
      </c>
      <c r="G454" s="179">
        <v>30000000</v>
      </c>
      <c r="H454" s="179">
        <v>0</v>
      </c>
      <c r="I454" s="179">
        <v>1942266.86</v>
      </c>
      <c r="J454" s="179">
        <v>0</v>
      </c>
      <c r="K454" s="179">
        <v>22857733.140000001</v>
      </c>
      <c r="L454" s="179">
        <v>22857733.140000001</v>
      </c>
      <c r="M454" s="179">
        <v>5200000</v>
      </c>
      <c r="N454" s="179">
        <v>5200000</v>
      </c>
    </row>
    <row r="455" spans="1:14" s="156" customFormat="1" x14ac:dyDescent="0.25">
      <c r="A455" s="156" t="s">
        <v>547</v>
      </c>
      <c r="B455" s="156" t="s">
        <v>269</v>
      </c>
      <c r="C455" s="156" t="s">
        <v>270</v>
      </c>
      <c r="D455" s="156" t="s">
        <v>541</v>
      </c>
      <c r="E455" s="179">
        <v>10000000</v>
      </c>
      <c r="F455" s="179">
        <v>10000000</v>
      </c>
      <c r="G455" s="179">
        <v>10000000</v>
      </c>
      <c r="H455" s="179">
        <v>0</v>
      </c>
      <c r="I455" s="179">
        <v>20561.990000000002</v>
      </c>
      <c r="J455" s="179">
        <v>0</v>
      </c>
      <c r="K455" s="179">
        <v>8779438.0099999998</v>
      </c>
      <c r="L455" s="179">
        <v>8779438.0099999998</v>
      </c>
      <c r="M455" s="179">
        <v>1200000</v>
      </c>
      <c r="N455" s="179">
        <v>1200000</v>
      </c>
    </row>
    <row r="456" spans="1:14" x14ac:dyDescent="0.25">
      <c r="A456" s="156" t="s">
        <v>547</v>
      </c>
      <c r="B456" s="156" t="s">
        <v>271</v>
      </c>
      <c r="C456" s="156" t="s">
        <v>272</v>
      </c>
      <c r="D456" s="156" t="s">
        <v>541</v>
      </c>
      <c r="E456" s="179">
        <v>15000000</v>
      </c>
      <c r="F456" s="179">
        <v>20000000</v>
      </c>
      <c r="G456" s="179">
        <v>20000000</v>
      </c>
      <c r="H456" s="179">
        <v>0</v>
      </c>
      <c r="I456" s="179">
        <v>1921704.87</v>
      </c>
      <c r="J456" s="179">
        <v>0</v>
      </c>
      <c r="K456" s="179">
        <v>14078295.130000001</v>
      </c>
      <c r="L456" s="179">
        <v>14078295.130000001</v>
      </c>
      <c r="M456" s="179">
        <v>4000000</v>
      </c>
      <c r="N456" s="179">
        <v>4000000</v>
      </c>
    </row>
    <row r="457" spans="1:14" x14ac:dyDescent="0.25">
      <c r="A457" s="180" t="s">
        <v>587</v>
      </c>
      <c r="B457" s="180" t="s">
        <v>587</v>
      </c>
      <c r="C457" s="180" t="s">
        <v>587</v>
      </c>
      <c r="D457" s="180" t="s">
        <v>587</v>
      </c>
      <c r="E457" s="181">
        <v>675435665000</v>
      </c>
      <c r="F457" s="181">
        <v>705435665000</v>
      </c>
      <c r="G457" s="181">
        <v>632850819903.75</v>
      </c>
      <c r="H457" s="181">
        <v>775199299.89999998</v>
      </c>
      <c r="I457" s="181">
        <v>65522857081.150002</v>
      </c>
      <c r="J457" s="181">
        <v>2067936695.1500001</v>
      </c>
      <c r="K457" s="181">
        <v>284695067697.5</v>
      </c>
      <c r="L457" s="181">
        <v>282481193060.65002</v>
      </c>
      <c r="M457" s="181">
        <v>352374604226.29999</v>
      </c>
      <c r="N457" s="181">
        <v>279789759130.04999</v>
      </c>
    </row>
  </sheetData>
  <conditionalFormatting sqref="K2:K451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1C4B-1ED8-4C3C-8D71-3D52140E5260}">
  <dimension ref="A1:N455"/>
  <sheetViews>
    <sheetView workbookViewId="0">
      <pane ySplit="600" topLeftCell="A391" activePane="bottomLeft"/>
      <selection pane="bottomLeft" activeCell="J3" sqref="J3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74.140625" customWidth="1"/>
    <col min="4" max="4" width="6.5703125" bestFit="1" customWidth="1"/>
    <col min="5" max="5" width="18.7109375" bestFit="1" customWidth="1"/>
    <col min="6" max="6" width="18.5703125" bestFit="1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118867973854.75</v>
      </c>
      <c r="H2" s="179">
        <v>247600000.50999999</v>
      </c>
      <c r="I2" s="179">
        <v>15915257975.18</v>
      </c>
      <c r="J2" s="179">
        <v>490552471.35000002</v>
      </c>
      <c r="K2" s="179">
        <v>47482666457.669998</v>
      </c>
      <c r="L2" s="179">
        <v>46688607532.389999</v>
      </c>
      <c r="M2" s="179">
        <v>76951056095.289993</v>
      </c>
      <c r="N2" s="179">
        <v>54731896950.040001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1952521749</v>
      </c>
      <c r="H3" s="179">
        <v>13836339</v>
      </c>
      <c r="I3" s="179">
        <v>282927440.95999998</v>
      </c>
      <c r="J3" s="179">
        <v>692877.52</v>
      </c>
      <c r="K3" s="182">
        <v>873402661.24000001</v>
      </c>
      <c r="L3" s="179">
        <v>863346618.70000005</v>
      </c>
      <c r="M3" s="179">
        <v>1348589908.28</v>
      </c>
      <c r="N3" s="179">
        <v>781662430.27999997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1372097000</v>
      </c>
      <c r="G4" s="179">
        <v>1364477635</v>
      </c>
      <c r="H4" s="179">
        <v>0</v>
      </c>
      <c r="I4" s="179">
        <v>132044243</v>
      </c>
      <c r="J4" s="179">
        <v>0</v>
      </c>
      <c r="K4" s="179">
        <v>473247915.54000002</v>
      </c>
      <c r="L4" s="179">
        <v>473247915.54000002</v>
      </c>
      <c r="M4" s="179">
        <v>766804841.46000004</v>
      </c>
      <c r="N4" s="179">
        <v>759185476.46000004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513555100</v>
      </c>
      <c r="G5" s="179">
        <v>513555100</v>
      </c>
      <c r="H5" s="179">
        <v>0</v>
      </c>
      <c r="I5" s="179">
        <v>0</v>
      </c>
      <c r="J5" s="179">
        <v>0</v>
      </c>
      <c r="K5" s="179">
        <v>183175535.19</v>
      </c>
      <c r="L5" s="179">
        <v>183175535.19</v>
      </c>
      <c r="M5" s="179">
        <v>330379564.81</v>
      </c>
      <c r="N5" s="179">
        <v>330379564.81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513555100</v>
      </c>
      <c r="G6" s="179">
        <v>513555100</v>
      </c>
      <c r="H6" s="179">
        <v>0</v>
      </c>
      <c r="I6" s="179">
        <v>0</v>
      </c>
      <c r="J6" s="179">
        <v>0</v>
      </c>
      <c r="K6" s="179">
        <v>183175535.19</v>
      </c>
      <c r="L6" s="179">
        <v>183175535.19</v>
      </c>
      <c r="M6" s="179">
        <v>330379564.81</v>
      </c>
      <c r="N6" s="179">
        <v>330379564.81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648560900</v>
      </c>
      <c r="G7" s="179">
        <v>640941535</v>
      </c>
      <c r="H7" s="179">
        <v>0</v>
      </c>
      <c r="I7" s="179">
        <v>0</v>
      </c>
      <c r="J7" s="179">
        <v>0</v>
      </c>
      <c r="K7" s="179">
        <v>212135623.34999999</v>
      </c>
      <c r="L7" s="179">
        <v>212135623.34999999</v>
      </c>
      <c r="M7" s="179">
        <v>436425276.64999998</v>
      </c>
      <c r="N7" s="179">
        <v>428805911.64999998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137710900</v>
      </c>
      <c r="G8" s="179">
        <v>137710900</v>
      </c>
      <c r="H8" s="179">
        <v>0</v>
      </c>
      <c r="I8" s="179">
        <v>0</v>
      </c>
      <c r="J8" s="179">
        <v>0</v>
      </c>
      <c r="K8" s="179">
        <v>39201173.579999998</v>
      </c>
      <c r="L8" s="179">
        <v>39201173.579999998</v>
      </c>
      <c r="M8" s="179">
        <v>98509726.420000002</v>
      </c>
      <c r="N8" s="179">
        <v>98509726.420000002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289755000</v>
      </c>
      <c r="G9" s="179">
        <v>282135635</v>
      </c>
      <c r="H9" s="179">
        <v>0</v>
      </c>
      <c r="I9" s="179">
        <v>0</v>
      </c>
      <c r="J9" s="179">
        <v>0</v>
      </c>
      <c r="K9" s="179">
        <v>83480764.030000001</v>
      </c>
      <c r="L9" s="179">
        <v>83480764.030000001</v>
      </c>
      <c r="M9" s="179">
        <v>206274235.97</v>
      </c>
      <c r="N9" s="179">
        <v>198654870.97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74682002.099999994</v>
      </c>
      <c r="L10" s="179">
        <v>74682002.099999994</v>
      </c>
      <c r="M10" s="179">
        <v>9198997.9000000004</v>
      </c>
      <c r="N10" s="179">
        <v>9198997.9000000004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14771683.640000001</v>
      </c>
      <c r="L11" s="179">
        <v>14771683.640000001</v>
      </c>
      <c r="M11" s="179">
        <v>32635316.359999999</v>
      </c>
      <c r="N11" s="179">
        <v>32635316.359999999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0</v>
      </c>
      <c r="L12" s="179">
        <v>0</v>
      </c>
      <c r="M12" s="179">
        <v>89807000</v>
      </c>
      <c r="N12" s="179">
        <v>89807000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66602910</v>
      </c>
      <c r="J13" s="179">
        <v>0</v>
      </c>
      <c r="K13" s="179">
        <v>39311090</v>
      </c>
      <c r="L13" s="179">
        <v>39311090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63187873</v>
      </c>
      <c r="J14" s="179">
        <v>0</v>
      </c>
      <c r="K14" s="179">
        <v>37295127</v>
      </c>
      <c r="L14" s="179">
        <v>37295127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3415037</v>
      </c>
      <c r="J15" s="179">
        <v>0</v>
      </c>
      <c r="K15" s="179">
        <v>2015963</v>
      </c>
      <c r="L15" s="179">
        <v>2015963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65441333</v>
      </c>
      <c r="J16" s="179">
        <v>0</v>
      </c>
      <c r="K16" s="179">
        <v>38625667</v>
      </c>
      <c r="L16" s="179">
        <v>38625667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34701919</v>
      </c>
      <c r="J17" s="179">
        <v>0</v>
      </c>
      <c r="K17" s="179">
        <v>20482081</v>
      </c>
      <c r="L17" s="179">
        <v>20482081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10246140</v>
      </c>
      <c r="J18" s="179">
        <v>0</v>
      </c>
      <c r="K18" s="179">
        <v>6047860</v>
      </c>
      <c r="L18" s="179">
        <v>6047860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20493274</v>
      </c>
      <c r="J19" s="179">
        <v>0</v>
      </c>
      <c r="K19" s="179">
        <v>12095726</v>
      </c>
      <c r="L19" s="179">
        <v>12095726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147948290</v>
      </c>
      <c r="H20" s="179">
        <v>6950639</v>
      </c>
      <c r="I20" s="179">
        <v>52398363.049999997</v>
      </c>
      <c r="J20" s="179">
        <v>0</v>
      </c>
      <c r="K20" s="179">
        <v>85497090.780000001</v>
      </c>
      <c r="L20" s="179">
        <v>75486398.239999995</v>
      </c>
      <c r="M20" s="179">
        <v>197895486.16999999</v>
      </c>
      <c r="N20" s="179">
        <v>3102197.17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62403661.030000001</v>
      </c>
      <c r="H21" s="179">
        <v>0</v>
      </c>
      <c r="I21" s="179">
        <v>20254252.149999999</v>
      </c>
      <c r="J21" s="179">
        <v>0</v>
      </c>
      <c r="K21" s="179">
        <v>41745368.600000001</v>
      </c>
      <c r="L21" s="179">
        <v>35119523.740000002</v>
      </c>
      <c r="M21" s="179">
        <v>63845825.25</v>
      </c>
      <c r="N21" s="179">
        <v>404040.28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62323661.030000001</v>
      </c>
      <c r="H22" s="179">
        <v>0</v>
      </c>
      <c r="I22" s="179">
        <v>20254252.149999999</v>
      </c>
      <c r="J22" s="179">
        <v>0</v>
      </c>
      <c r="K22" s="179">
        <v>41745368.600000001</v>
      </c>
      <c r="L22" s="179">
        <v>35119523.740000002</v>
      </c>
      <c r="M22" s="179">
        <v>63765825.25</v>
      </c>
      <c r="N22" s="179">
        <v>324040.28000000003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80000</v>
      </c>
      <c r="N23" s="179">
        <v>80000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58600000</v>
      </c>
      <c r="H24" s="179">
        <v>0</v>
      </c>
      <c r="I24" s="179">
        <v>23168507.449999999</v>
      </c>
      <c r="J24" s="179">
        <v>0</v>
      </c>
      <c r="K24" s="179">
        <v>35341492.350000001</v>
      </c>
      <c r="L24" s="179">
        <v>32339994.670000002</v>
      </c>
      <c r="M24" s="179">
        <v>72918353.200000003</v>
      </c>
      <c r="N24" s="179">
        <v>90000.2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4971429</v>
      </c>
      <c r="G25" s="179">
        <v>2400000</v>
      </c>
      <c r="H25" s="179">
        <v>0</v>
      </c>
      <c r="I25" s="179">
        <v>9639</v>
      </c>
      <c r="J25" s="179">
        <v>0</v>
      </c>
      <c r="K25" s="179">
        <v>2390361</v>
      </c>
      <c r="L25" s="179">
        <v>2390361</v>
      </c>
      <c r="M25" s="179">
        <v>2571429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27000000</v>
      </c>
      <c r="H26" s="179">
        <v>0</v>
      </c>
      <c r="I26" s="179">
        <v>8011460</v>
      </c>
      <c r="J26" s="179">
        <v>0</v>
      </c>
      <c r="K26" s="179">
        <v>18988540</v>
      </c>
      <c r="L26" s="179">
        <v>18988540</v>
      </c>
      <c r="M26" s="179">
        <v>29000000</v>
      </c>
      <c r="N26" s="179">
        <v>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3600</v>
      </c>
      <c r="J27" s="179">
        <v>0</v>
      </c>
      <c r="K27" s="179">
        <v>16400</v>
      </c>
      <c r="L27" s="179">
        <v>16400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70076924</v>
      </c>
      <c r="G28" s="179">
        <v>29000000</v>
      </c>
      <c r="H28" s="179">
        <v>0</v>
      </c>
      <c r="I28" s="179">
        <v>15081608.449999999</v>
      </c>
      <c r="J28" s="179">
        <v>0</v>
      </c>
      <c r="K28" s="179">
        <v>13918391.35</v>
      </c>
      <c r="L28" s="179">
        <v>10916893.67</v>
      </c>
      <c r="M28" s="179">
        <v>41076924.200000003</v>
      </c>
      <c r="N28" s="179">
        <v>0.2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180000</v>
      </c>
      <c r="H29" s="179">
        <v>0</v>
      </c>
      <c r="I29" s="179">
        <v>62200</v>
      </c>
      <c r="J29" s="179">
        <v>0</v>
      </c>
      <c r="K29" s="179">
        <v>27800</v>
      </c>
      <c r="L29" s="179">
        <v>27800</v>
      </c>
      <c r="M29" s="179">
        <v>270000</v>
      </c>
      <c r="N29" s="179">
        <v>90000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9250000</v>
      </c>
      <c r="G30" s="179">
        <v>8431000</v>
      </c>
      <c r="H30" s="179">
        <v>6801239</v>
      </c>
      <c r="I30" s="179">
        <v>236931</v>
      </c>
      <c r="J30" s="179">
        <v>0</v>
      </c>
      <c r="K30" s="179">
        <v>386830</v>
      </c>
      <c r="L30" s="179">
        <v>11830</v>
      </c>
      <c r="M30" s="179">
        <v>1825000</v>
      </c>
      <c r="N30" s="179">
        <v>1006000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7000000</v>
      </c>
      <c r="H31" s="179">
        <v>6801239</v>
      </c>
      <c r="I31" s="179">
        <v>186931</v>
      </c>
      <c r="J31" s="179">
        <v>0</v>
      </c>
      <c r="K31" s="179">
        <v>11830</v>
      </c>
      <c r="L31" s="179">
        <v>11830</v>
      </c>
      <c r="M31" s="179">
        <v>0</v>
      </c>
      <c r="N31" s="179">
        <v>0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831000</v>
      </c>
      <c r="H32" s="179">
        <v>0</v>
      </c>
      <c r="I32" s="179">
        <v>0</v>
      </c>
      <c r="J32" s="179">
        <v>0</v>
      </c>
      <c r="K32" s="179">
        <v>375000</v>
      </c>
      <c r="L32" s="179">
        <v>0</v>
      </c>
      <c r="M32" s="179">
        <v>1275000</v>
      </c>
      <c r="N32" s="179">
        <v>456000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326</v>
      </c>
      <c r="C34" s="156" t="s">
        <v>327</v>
      </c>
      <c r="D34" s="156" t="s">
        <v>541</v>
      </c>
      <c r="E34" s="179">
        <v>0</v>
      </c>
      <c r="F34" s="179">
        <v>550000</v>
      </c>
      <c r="G34" s="179">
        <v>550000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550000</v>
      </c>
      <c r="N34" s="179">
        <v>550000</v>
      </c>
    </row>
    <row r="35" spans="1:14" s="156" customFormat="1" x14ac:dyDescent="0.25">
      <c r="A35" s="156" t="s">
        <v>542</v>
      </c>
      <c r="B35" s="156" t="s">
        <v>151</v>
      </c>
      <c r="C35" s="156" t="s">
        <v>152</v>
      </c>
      <c r="D35" s="156" t="s">
        <v>541</v>
      </c>
      <c r="E35" s="179">
        <v>5851429</v>
      </c>
      <c r="F35" s="179">
        <v>5851429</v>
      </c>
      <c r="G35" s="179">
        <v>2200045</v>
      </c>
      <c r="H35" s="179">
        <v>0</v>
      </c>
      <c r="I35" s="179">
        <v>1365097</v>
      </c>
      <c r="J35" s="179">
        <v>0</v>
      </c>
      <c r="K35" s="179">
        <v>336989</v>
      </c>
      <c r="L35" s="179">
        <v>336989</v>
      </c>
      <c r="M35" s="179">
        <v>4149343</v>
      </c>
      <c r="N35" s="179">
        <v>497959</v>
      </c>
    </row>
    <row r="36" spans="1:14" s="156" customFormat="1" x14ac:dyDescent="0.25">
      <c r="A36" s="156" t="s">
        <v>542</v>
      </c>
      <c r="B36" s="156" t="s">
        <v>154</v>
      </c>
      <c r="C36" s="156" t="s">
        <v>155</v>
      </c>
      <c r="D36" s="156" t="s">
        <v>541</v>
      </c>
      <c r="E36" s="179">
        <v>3080000</v>
      </c>
      <c r="F36" s="179">
        <v>3080000</v>
      </c>
      <c r="G36" s="179">
        <v>90000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3080000</v>
      </c>
      <c r="N36" s="179">
        <v>90000</v>
      </c>
    </row>
    <row r="37" spans="1:14" s="156" customFormat="1" x14ac:dyDescent="0.25">
      <c r="A37" s="156" t="s">
        <v>542</v>
      </c>
      <c r="B37" s="156" t="s">
        <v>156</v>
      </c>
      <c r="C37" s="156" t="s">
        <v>157</v>
      </c>
      <c r="D37" s="156" t="s">
        <v>541</v>
      </c>
      <c r="E37" s="179">
        <v>2771429</v>
      </c>
      <c r="F37" s="179">
        <v>2771429</v>
      </c>
      <c r="G37" s="179">
        <v>2110045</v>
      </c>
      <c r="H37" s="179">
        <v>0</v>
      </c>
      <c r="I37" s="179">
        <v>1365097</v>
      </c>
      <c r="J37" s="179">
        <v>0</v>
      </c>
      <c r="K37" s="179">
        <v>336989</v>
      </c>
      <c r="L37" s="179">
        <v>336989</v>
      </c>
      <c r="M37" s="179">
        <v>1069343</v>
      </c>
      <c r="N37" s="179">
        <v>407959</v>
      </c>
    </row>
    <row r="38" spans="1:14" s="156" customFormat="1" x14ac:dyDescent="0.25">
      <c r="A38" s="156" t="s">
        <v>542</v>
      </c>
      <c r="B38" s="156" t="s">
        <v>158</v>
      </c>
      <c r="C38" s="156" t="s">
        <v>159</v>
      </c>
      <c r="D38" s="156" t="s">
        <v>541</v>
      </c>
      <c r="E38" s="179">
        <v>17774865</v>
      </c>
      <c r="F38" s="179">
        <v>17774865</v>
      </c>
      <c r="G38" s="179">
        <v>6720685.75</v>
      </c>
      <c r="H38" s="179">
        <v>149400</v>
      </c>
      <c r="I38" s="179">
        <v>1924727.65</v>
      </c>
      <c r="J38" s="179">
        <v>0</v>
      </c>
      <c r="K38" s="179">
        <v>4427336.83</v>
      </c>
      <c r="L38" s="179">
        <v>4418986.83</v>
      </c>
      <c r="M38" s="179">
        <v>11273400.52</v>
      </c>
      <c r="N38" s="179">
        <v>219221.27</v>
      </c>
    </row>
    <row r="39" spans="1:14" s="156" customFormat="1" x14ac:dyDescent="0.25">
      <c r="A39" s="156" t="s">
        <v>542</v>
      </c>
      <c r="B39" s="156" t="s">
        <v>160</v>
      </c>
      <c r="C39" s="156" t="s">
        <v>161</v>
      </c>
      <c r="D39" s="156" t="s">
        <v>541</v>
      </c>
      <c r="E39" s="179">
        <v>100000</v>
      </c>
      <c r="F39" s="179">
        <v>100000</v>
      </c>
      <c r="G39" s="179">
        <v>100000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100000</v>
      </c>
      <c r="N39" s="179">
        <v>100000</v>
      </c>
    </row>
    <row r="40" spans="1:14" s="156" customFormat="1" x14ac:dyDescent="0.25">
      <c r="A40" s="156" t="s">
        <v>542</v>
      </c>
      <c r="B40" s="156" t="s">
        <v>162</v>
      </c>
      <c r="C40" s="156" t="s">
        <v>163</v>
      </c>
      <c r="D40" s="156" t="s">
        <v>541</v>
      </c>
      <c r="E40" s="179">
        <v>6685715</v>
      </c>
      <c r="F40" s="179">
        <v>6685715</v>
      </c>
      <c r="G40" s="179">
        <v>4380100</v>
      </c>
      <c r="H40" s="179">
        <v>149400</v>
      </c>
      <c r="I40" s="179">
        <v>1511150</v>
      </c>
      <c r="J40" s="179">
        <v>0</v>
      </c>
      <c r="K40" s="179">
        <v>2675850</v>
      </c>
      <c r="L40" s="179">
        <v>2667500</v>
      </c>
      <c r="M40" s="179">
        <v>2349315</v>
      </c>
      <c r="N40" s="179">
        <v>43700</v>
      </c>
    </row>
    <row r="41" spans="1:14" s="156" customFormat="1" x14ac:dyDescent="0.25">
      <c r="A41" s="156" t="s">
        <v>542</v>
      </c>
      <c r="B41" s="156" t="s">
        <v>164</v>
      </c>
      <c r="C41" s="156" t="s">
        <v>165</v>
      </c>
      <c r="D41" s="156" t="s">
        <v>541</v>
      </c>
      <c r="E41" s="179">
        <v>5170968</v>
      </c>
      <c r="F41" s="179">
        <v>5170968</v>
      </c>
      <c r="G41" s="179">
        <v>1238081</v>
      </c>
      <c r="H41" s="179">
        <v>0</v>
      </c>
      <c r="I41" s="179">
        <v>166082.4</v>
      </c>
      <c r="J41" s="179">
        <v>0</v>
      </c>
      <c r="K41" s="179">
        <v>998982.08</v>
      </c>
      <c r="L41" s="179">
        <v>998982.08</v>
      </c>
      <c r="M41" s="179">
        <v>4005903.52</v>
      </c>
      <c r="N41" s="179">
        <v>73016.52</v>
      </c>
    </row>
    <row r="42" spans="1:14" s="156" customFormat="1" x14ac:dyDescent="0.25">
      <c r="A42" s="156" t="s">
        <v>542</v>
      </c>
      <c r="B42" s="156" t="s">
        <v>166</v>
      </c>
      <c r="C42" s="156" t="s">
        <v>167</v>
      </c>
      <c r="D42" s="156" t="s">
        <v>541</v>
      </c>
      <c r="E42" s="179">
        <v>5818182</v>
      </c>
      <c r="F42" s="179">
        <v>5818182</v>
      </c>
      <c r="G42" s="179">
        <v>1002504.75</v>
      </c>
      <c r="H42" s="179">
        <v>0</v>
      </c>
      <c r="I42" s="179">
        <v>247495.25</v>
      </c>
      <c r="J42" s="179">
        <v>0</v>
      </c>
      <c r="K42" s="179">
        <v>752504.75</v>
      </c>
      <c r="L42" s="179">
        <v>752504.75</v>
      </c>
      <c r="M42" s="179">
        <v>4818182</v>
      </c>
      <c r="N42" s="179">
        <v>2504.75</v>
      </c>
    </row>
    <row r="43" spans="1:14" s="156" customFormat="1" x14ac:dyDescent="0.25">
      <c r="A43" s="156" t="s">
        <v>542</v>
      </c>
      <c r="B43" s="156" t="s">
        <v>168</v>
      </c>
      <c r="C43" s="156" t="s">
        <v>169</v>
      </c>
      <c r="D43" s="156" t="s">
        <v>541</v>
      </c>
      <c r="E43" s="179">
        <v>32290000</v>
      </c>
      <c r="F43" s="179">
        <v>32290000</v>
      </c>
      <c r="G43" s="179">
        <v>3683014.22</v>
      </c>
      <c r="H43" s="179">
        <v>0</v>
      </c>
      <c r="I43" s="179">
        <v>612040</v>
      </c>
      <c r="J43" s="179">
        <v>0</v>
      </c>
      <c r="K43" s="179">
        <v>2990873</v>
      </c>
      <c r="L43" s="179">
        <v>2990873</v>
      </c>
      <c r="M43" s="179">
        <v>28687087</v>
      </c>
      <c r="N43" s="179">
        <v>80101.22</v>
      </c>
    </row>
    <row r="44" spans="1:14" s="156" customFormat="1" x14ac:dyDescent="0.25">
      <c r="A44" s="156" t="s">
        <v>542</v>
      </c>
      <c r="B44" s="156" t="s">
        <v>170</v>
      </c>
      <c r="C44" s="156" t="s">
        <v>171</v>
      </c>
      <c r="D44" s="156" t="s">
        <v>541</v>
      </c>
      <c r="E44" s="179">
        <v>32290000</v>
      </c>
      <c r="F44" s="179">
        <v>32290000</v>
      </c>
      <c r="G44" s="179">
        <v>3683014.22</v>
      </c>
      <c r="H44" s="179">
        <v>0</v>
      </c>
      <c r="I44" s="179">
        <v>612040</v>
      </c>
      <c r="J44" s="179">
        <v>0</v>
      </c>
      <c r="K44" s="179">
        <v>2990873</v>
      </c>
      <c r="L44" s="179">
        <v>2990873</v>
      </c>
      <c r="M44" s="179">
        <v>28687087</v>
      </c>
      <c r="N44" s="179">
        <v>80101.22</v>
      </c>
    </row>
    <row r="45" spans="1:14" s="156" customFormat="1" x14ac:dyDescent="0.25">
      <c r="A45" s="156" t="s">
        <v>542</v>
      </c>
      <c r="B45" s="156" t="s">
        <v>172</v>
      </c>
      <c r="C45" s="156" t="s">
        <v>173</v>
      </c>
      <c r="D45" s="156" t="s">
        <v>541</v>
      </c>
      <c r="E45" s="179">
        <v>2150000</v>
      </c>
      <c r="F45" s="179">
        <v>1031135</v>
      </c>
      <c r="G45" s="179">
        <v>600000</v>
      </c>
      <c r="H45" s="179">
        <v>0</v>
      </c>
      <c r="I45" s="179">
        <v>500000</v>
      </c>
      <c r="J45" s="179">
        <v>0</v>
      </c>
      <c r="K45" s="179">
        <v>0</v>
      </c>
      <c r="L45" s="179">
        <v>0</v>
      </c>
      <c r="M45" s="179">
        <v>531135</v>
      </c>
      <c r="N45" s="179">
        <v>100000</v>
      </c>
    </row>
    <row r="46" spans="1:14" s="156" customFormat="1" x14ac:dyDescent="0.25">
      <c r="A46" s="156" t="s">
        <v>542</v>
      </c>
      <c r="B46" s="156" t="s">
        <v>309</v>
      </c>
      <c r="C46" s="156" t="s">
        <v>310</v>
      </c>
      <c r="D46" s="156" t="s">
        <v>541</v>
      </c>
      <c r="E46" s="179">
        <v>0</v>
      </c>
      <c r="F46" s="179">
        <v>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</row>
    <row r="47" spans="1:14" s="156" customFormat="1" x14ac:dyDescent="0.25">
      <c r="A47" s="156" t="s">
        <v>542</v>
      </c>
      <c r="B47" s="156" t="s">
        <v>174</v>
      </c>
      <c r="C47" s="156" t="s">
        <v>175</v>
      </c>
      <c r="D47" s="156" t="s">
        <v>541</v>
      </c>
      <c r="E47" s="179">
        <v>1550000</v>
      </c>
      <c r="F47" s="179">
        <v>431135</v>
      </c>
      <c r="G47" s="179">
        <v>0</v>
      </c>
      <c r="H47" s="179">
        <v>0</v>
      </c>
      <c r="I47" s="179">
        <v>0</v>
      </c>
      <c r="J47" s="179">
        <v>0</v>
      </c>
      <c r="K47" s="179">
        <v>0</v>
      </c>
      <c r="L47" s="179">
        <v>0</v>
      </c>
      <c r="M47" s="179">
        <v>431135</v>
      </c>
      <c r="N47" s="179">
        <v>0</v>
      </c>
    </row>
    <row r="48" spans="1:14" s="156" customFormat="1" x14ac:dyDescent="0.25">
      <c r="A48" s="156" t="s">
        <v>542</v>
      </c>
      <c r="B48" s="156" t="s">
        <v>176</v>
      </c>
      <c r="C48" s="156" t="s">
        <v>177</v>
      </c>
      <c r="D48" s="156" t="s">
        <v>541</v>
      </c>
      <c r="E48" s="179">
        <v>600000</v>
      </c>
      <c r="F48" s="179">
        <v>600000</v>
      </c>
      <c r="G48" s="179">
        <v>600000</v>
      </c>
      <c r="H48" s="179">
        <v>0</v>
      </c>
      <c r="I48" s="179">
        <v>500000</v>
      </c>
      <c r="J48" s="179">
        <v>0</v>
      </c>
      <c r="K48" s="179">
        <v>0</v>
      </c>
      <c r="L48" s="179">
        <v>0</v>
      </c>
      <c r="M48" s="179">
        <v>100000</v>
      </c>
      <c r="N48" s="179">
        <v>100000</v>
      </c>
    </row>
    <row r="49" spans="1:14" s="156" customFormat="1" x14ac:dyDescent="0.25">
      <c r="A49" s="156" t="s">
        <v>542</v>
      </c>
      <c r="B49" s="156" t="s">
        <v>178</v>
      </c>
      <c r="C49" s="156" t="s">
        <v>179</v>
      </c>
      <c r="D49" s="156" t="s">
        <v>541</v>
      </c>
      <c r="E49" s="179">
        <v>17019667</v>
      </c>
      <c r="F49" s="179">
        <v>17019667</v>
      </c>
      <c r="G49" s="179">
        <v>4059200</v>
      </c>
      <c r="H49" s="179">
        <v>0</v>
      </c>
      <c r="I49" s="179">
        <v>3654988.8</v>
      </c>
      <c r="J49" s="179">
        <v>0</v>
      </c>
      <c r="K49" s="179">
        <v>268201</v>
      </c>
      <c r="L49" s="179">
        <v>268201</v>
      </c>
      <c r="M49" s="179">
        <v>13096477.199999999</v>
      </c>
      <c r="N49" s="179">
        <v>136010.20000000001</v>
      </c>
    </row>
    <row r="50" spans="1:14" s="156" customFormat="1" x14ac:dyDescent="0.25">
      <c r="A50" s="156" t="s">
        <v>542</v>
      </c>
      <c r="B50" s="156" t="s">
        <v>332</v>
      </c>
      <c r="C50" s="156" t="s">
        <v>333</v>
      </c>
      <c r="D50" s="156" t="s">
        <v>541</v>
      </c>
      <c r="E50" s="179">
        <v>300000</v>
      </c>
      <c r="F50" s="179">
        <v>300000</v>
      </c>
      <c r="G50" s="179">
        <v>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300000</v>
      </c>
      <c r="N50" s="179">
        <v>0</v>
      </c>
    </row>
    <row r="51" spans="1:14" s="156" customFormat="1" x14ac:dyDescent="0.25">
      <c r="A51" s="156" t="s">
        <v>542</v>
      </c>
      <c r="B51" s="156" t="s">
        <v>182</v>
      </c>
      <c r="C51" s="156" t="s">
        <v>183</v>
      </c>
      <c r="D51" s="156" t="s">
        <v>541</v>
      </c>
      <c r="E51" s="179">
        <v>9066667</v>
      </c>
      <c r="F51" s="179">
        <v>9066667</v>
      </c>
      <c r="G51" s="179">
        <v>600000</v>
      </c>
      <c r="H51" s="179">
        <v>0</v>
      </c>
      <c r="I51" s="179">
        <v>500000</v>
      </c>
      <c r="J51" s="179">
        <v>0</v>
      </c>
      <c r="K51" s="179">
        <v>98201</v>
      </c>
      <c r="L51" s="179">
        <v>98201</v>
      </c>
      <c r="M51" s="179">
        <v>8468466</v>
      </c>
      <c r="N51" s="179">
        <v>1799</v>
      </c>
    </row>
    <row r="52" spans="1:14" s="156" customFormat="1" x14ac:dyDescent="0.25">
      <c r="A52" s="156" t="s">
        <v>542</v>
      </c>
      <c r="B52" s="156" t="s">
        <v>186</v>
      </c>
      <c r="C52" s="156" t="s">
        <v>187</v>
      </c>
      <c r="D52" s="156" t="s">
        <v>541</v>
      </c>
      <c r="E52" s="179">
        <v>2900000</v>
      </c>
      <c r="F52" s="179">
        <v>2900000</v>
      </c>
      <c r="G52" s="179">
        <v>2127200</v>
      </c>
      <c r="H52" s="179">
        <v>0</v>
      </c>
      <c r="I52" s="179">
        <v>1827200</v>
      </c>
      <c r="J52" s="179">
        <v>0</v>
      </c>
      <c r="K52" s="179">
        <v>170000</v>
      </c>
      <c r="L52" s="179">
        <v>170000</v>
      </c>
      <c r="M52" s="179">
        <v>902800</v>
      </c>
      <c r="N52" s="179">
        <v>130000</v>
      </c>
    </row>
    <row r="53" spans="1:14" s="156" customFormat="1" x14ac:dyDescent="0.25">
      <c r="A53" s="156" t="s">
        <v>542</v>
      </c>
      <c r="B53" s="156" t="s">
        <v>188</v>
      </c>
      <c r="C53" s="156" t="s">
        <v>189</v>
      </c>
      <c r="D53" s="156" t="s">
        <v>541</v>
      </c>
      <c r="E53" s="179">
        <v>393000</v>
      </c>
      <c r="F53" s="179">
        <v>393000</v>
      </c>
      <c r="G53" s="179">
        <v>0</v>
      </c>
      <c r="H53" s="179">
        <v>0</v>
      </c>
      <c r="I53" s="179">
        <v>0</v>
      </c>
      <c r="J53" s="179">
        <v>0</v>
      </c>
      <c r="K53" s="179">
        <v>0</v>
      </c>
      <c r="L53" s="179">
        <v>0</v>
      </c>
      <c r="M53" s="179">
        <v>393000</v>
      </c>
      <c r="N53" s="179">
        <v>0</v>
      </c>
    </row>
    <row r="54" spans="1:14" s="156" customFormat="1" x14ac:dyDescent="0.25">
      <c r="A54" s="156" t="s">
        <v>542</v>
      </c>
      <c r="B54" s="156" t="s">
        <v>190</v>
      </c>
      <c r="C54" s="156" t="s">
        <v>191</v>
      </c>
      <c r="D54" s="156" t="s">
        <v>541</v>
      </c>
      <c r="E54" s="179">
        <v>4360000</v>
      </c>
      <c r="F54" s="179">
        <v>4360000</v>
      </c>
      <c r="G54" s="179">
        <v>1332000</v>
      </c>
      <c r="H54" s="179">
        <v>0</v>
      </c>
      <c r="I54" s="179">
        <v>1327788.8</v>
      </c>
      <c r="J54" s="179">
        <v>0</v>
      </c>
      <c r="K54" s="179">
        <v>0</v>
      </c>
      <c r="L54" s="179">
        <v>0</v>
      </c>
      <c r="M54" s="179">
        <v>3032211.2</v>
      </c>
      <c r="N54" s="179">
        <v>4211.2</v>
      </c>
    </row>
    <row r="55" spans="1:14" s="156" customFormat="1" x14ac:dyDescent="0.25">
      <c r="A55" s="156" t="s">
        <v>542</v>
      </c>
      <c r="B55" s="156" t="s">
        <v>192</v>
      </c>
      <c r="C55" s="156" t="s">
        <v>193</v>
      </c>
      <c r="D55" s="156" t="s">
        <v>541</v>
      </c>
      <c r="E55" s="179">
        <v>681819</v>
      </c>
      <c r="F55" s="179">
        <v>1250684</v>
      </c>
      <c r="G55" s="179">
        <v>1250684</v>
      </c>
      <c r="H55" s="179">
        <v>0</v>
      </c>
      <c r="I55" s="179">
        <v>681819</v>
      </c>
      <c r="J55" s="179">
        <v>0</v>
      </c>
      <c r="K55" s="179">
        <v>0</v>
      </c>
      <c r="L55" s="179">
        <v>0</v>
      </c>
      <c r="M55" s="179">
        <v>568865</v>
      </c>
      <c r="N55" s="179">
        <v>568865</v>
      </c>
    </row>
    <row r="56" spans="1:14" s="156" customFormat="1" x14ac:dyDescent="0.25">
      <c r="A56" s="156" t="s">
        <v>542</v>
      </c>
      <c r="B56" s="156" t="s">
        <v>194</v>
      </c>
      <c r="C56" s="156" t="s">
        <v>195</v>
      </c>
      <c r="D56" s="156" t="s">
        <v>541</v>
      </c>
      <c r="E56" s="179">
        <v>681819</v>
      </c>
      <c r="F56" s="179">
        <v>1250684</v>
      </c>
      <c r="G56" s="179">
        <v>1250684</v>
      </c>
      <c r="H56" s="179">
        <v>0</v>
      </c>
      <c r="I56" s="179">
        <v>681819</v>
      </c>
      <c r="J56" s="179">
        <v>0</v>
      </c>
      <c r="K56" s="179">
        <v>0</v>
      </c>
      <c r="L56" s="179">
        <v>0</v>
      </c>
      <c r="M56" s="179">
        <v>568865</v>
      </c>
      <c r="N56" s="179">
        <v>568865</v>
      </c>
    </row>
    <row r="57" spans="1:14" s="156" customFormat="1" x14ac:dyDescent="0.25">
      <c r="A57" s="156" t="s">
        <v>542</v>
      </c>
      <c r="B57" s="156" t="s">
        <v>196</v>
      </c>
      <c r="C57" s="156" t="s">
        <v>197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1000000</v>
      </c>
      <c r="N57" s="179">
        <v>0</v>
      </c>
    </row>
    <row r="58" spans="1:14" s="156" customFormat="1" x14ac:dyDescent="0.25">
      <c r="A58" s="156" t="s">
        <v>542</v>
      </c>
      <c r="B58" s="156" t="s">
        <v>198</v>
      </c>
      <c r="C58" s="156" t="s">
        <v>199</v>
      </c>
      <c r="D58" s="156" t="s">
        <v>541</v>
      </c>
      <c r="E58" s="179">
        <v>1000000</v>
      </c>
      <c r="F58" s="179">
        <v>1000000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1000000</v>
      </c>
      <c r="N58" s="179">
        <v>0</v>
      </c>
    </row>
    <row r="59" spans="1:14" s="156" customFormat="1" x14ac:dyDescent="0.25">
      <c r="A59" s="156" t="s">
        <v>542</v>
      </c>
      <c r="B59" s="156" t="s">
        <v>200</v>
      </c>
      <c r="C59" s="156" t="s">
        <v>201</v>
      </c>
      <c r="D59" s="156" t="s">
        <v>541</v>
      </c>
      <c r="E59" s="179">
        <v>42229000</v>
      </c>
      <c r="F59" s="179">
        <v>42229000</v>
      </c>
      <c r="G59" s="179">
        <v>23334000</v>
      </c>
      <c r="H59" s="179">
        <v>6885700</v>
      </c>
      <c r="I59" s="179">
        <v>6093566.4100000001</v>
      </c>
      <c r="J59" s="179">
        <v>692877.52</v>
      </c>
      <c r="K59" s="179">
        <v>5742941.4199999999</v>
      </c>
      <c r="L59" s="179">
        <v>5697591.4199999999</v>
      </c>
      <c r="M59" s="179">
        <v>22813914.649999999</v>
      </c>
      <c r="N59" s="179">
        <v>3918914.65</v>
      </c>
    </row>
    <row r="60" spans="1:14" s="156" customFormat="1" x14ac:dyDescent="0.25">
      <c r="A60" s="156" t="s">
        <v>542</v>
      </c>
      <c r="B60" s="156" t="s">
        <v>202</v>
      </c>
      <c r="C60" s="156" t="s">
        <v>203</v>
      </c>
      <c r="D60" s="156" t="s">
        <v>541</v>
      </c>
      <c r="E60" s="179">
        <v>17137000</v>
      </c>
      <c r="F60" s="179">
        <v>17137000</v>
      </c>
      <c r="G60" s="179">
        <v>8919000</v>
      </c>
      <c r="H60" s="179">
        <v>4950000</v>
      </c>
      <c r="I60" s="179">
        <v>1483835</v>
      </c>
      <c r="J60" s="179">
        <v>0</v>
      </c>
      <c r="K60" s="179">
        <v>2435165</v>
      </c>
      <c r="L60" s="179">
        <v>2435165</v>
      </c>
      <c r="M60" s="179">
        <v>8268000</v>
      </c>
      <c r="N60" s="179">
        <v>50000</v>
      </c>
    </row>
    <row r="61" spans="1:14" s="156" customFormat="1" x14ac:dyDescent="0.25">
      <c r="A61" s="156" t="s">
        <v>542</v>
      </c>
      <c r="B61" s="156" t="s">
        <v>204</v>
      </c>
      <c r="C61" s="156" t="s">
        <v>205</v>
      </c>
      <c r="D61" s="156" t="s">
        <v>541</v>
      </c>
      <c r="E61" s="179">
        <v>11100000</v>
      </c>
      <c r="F61" s="179">
        <v>11100000</v>
      </c>
      <c r="G61" s="179">
        <v>3800000</v>
      </c>
      <c r="H61" s="179">
        <v>0</v>
      </c>
      <c r="I61" s="179">
        <v>1412835</v>
      </c>
      <c r="J61" s="179">
        <v>0</v>
      </c>
      <c r="K61" s="179">
        <v>2387165</v>
      </c>
      <c r="L61" s="179">
        <v>2387165</v>
      </c>
      <c r="M61" s="179">
        <v>7300000</v>
      </c>
      <c r="N61" s="179">
        <v>0</v>
      </c>
    </row>
    <row r="62" spans="1:14" s="156" customFormat="1" x14ac:dyDescent="0.25">
      <c r="A62" s="156" t="s">
        <v>542</v>
      </c>
      <c r="B62" s="156" t="s">
        <v>206</v>
      </c>
      <c r="C62" s="156" t="s">
        <v>207</v>
      </c>
      <c r="D62" s="156" t="s">
        <v>541</v>
      </c>
      <c r="E62" s="179">
        <v>5000000</v>
      </c>
      <c r="F62" s="179">
        <v>5000000</v>
      </c>
      <c r="G62" s="179">
        <v>5000000</v>
      </c>
      <c r="H62" s="179">
        <v>4950000</v>
      </c>
      <c r="I62" s="179">
        <v>0</v>
      </c>
      <c r="J62" s="179">
        <v>0</v>
      </c>
      <c r="K62" s="179">
        <v>0</v>
      </c>
      <c r="L62" s="179">
        <v>0</v>
      </c>
      <c r="M62" s="179">
        <v>50000</v>
      </c>
      <c r="N62" s="179">
        <v>50000</v>
      </c>
    </row>
    <row r="63" spans="1:14" s="156" customFormat="1" x14ac:dyDescent="0.25">
      <c r="A63" s="156" t="s">
        <v>542</v>
      </c>
      <c r="B63" s="156" t="s">
        <v>208</v>
      </c>
      <c r="C63" s="156" t="s">
        <v>209</v>
      </c>
      <c r="D63" s="156" t="s">
        <v>541</v>
      </c>
      <c r="E63" s="179">
        <v>126000</v>
      </c>
      <c r="F63" s="179">
        <v>126000</v>
      </c>
      <c r="G63" s="179">
        <v>119000</v>
      </c>
      <c r="H63" s="179">
        <v>0</v>
      </c>
      <c r="I63" s="179">
        <v>71000</v>
      </c>
      <c r="J63" s="179">
        <v>0</v>
      </c>
      <c r="K63" s="179">
        <v>48000</v>
      </c>
      <c r="L63" s="179">
        <v>48000</v>
      </c>
      <c r="M63" s="179">
        <v>7000</v>
      </c>
      <c r="N63" s="179">
        <v>0</v>
      </c>
    </row>
    <row r="64" spans="1:14" s="156" customFormat="1" x14ac:dyDescent="0.25">
      <c r="A64" s="156" t="s">
        <v>542</v>
      </c>
      <c r="B64" s="156" t="s">
        <v>210</v>
      </c>
      <c r="C64" s="156" t="s">
        <v>211</v>
      </c>
      <c r="D64" s="156" t="s">
        <v>541</v>
      </c>
      <c r="E64" s="179">
        <v>911000</v>
      </c>
      <c r="F64" s="179">
        <v>911000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911000</v>
      </c>
      <c r="N64" s="179">
        <v>0</v>
      </c>
    </row>
    <row r="65" spans="1:14" s="156" customFormat="1" x14ac:dyDescent="0.25">
      <c r="A65" s="156" t="s">
        <v>542</v>
      </c>
      <c r="B65" s="156" t="s">
        <v>212</v>
      </c>
      <c r="C65" s="156" t="s">
        <v>213</v>
      </c>
      <c r="D65" s="156" t="s">
        <v>541</v>
      </c>
      <c r="E65" s="179">
        <v>3000000</v>
      </c>
      <c r="F65" s="179">
        <v>3000000</v>
      </c>
      <c r="G65" s="179">
        <v>1400000</v>
      </c>
      <c r="H65" s="179">
        <v>0</v>
      </c>
      <c r="I65" s="179">
        <v>0</v>
      </c>
      <c r="J65" s="179">
        <v>0</v>
      </c>
      <c r="K65" s="179">
        <v>673282</v>
      </c>
      <c r="L65" s="179">
        <v>673282</v>
      </c>
      <c r="M65" s="179">
        <v>2326718</v>
      </c>
      <c r="N65" s="179">
        <v>726718</v>
      </c>
    </row>
    <row r="66" spans="1:14" s="156" customFormat="1" x14ac:dyDescent="0.25">
      <c r="A66" s="156" t="s">
        <v>542</v>
      </c>
      <c r="B66" s="156" t="s">
        <v>214</v>
      </c>
      <c r="C66" s="156" t="s">
        <v>215</v>
      </c>
      <c r="D66" s="156" t="s">
        <v>541</v>
      </c>
      <c r="E66" s="179">
        <v>3000000</v>
      </c>
      <c r="F66" s="179">
        <v>3000000</v>
      </c>
      <c r="G66" s="179">
        <v>1400000</v>
      </c>
      <c r="H66" s="179">
        <v>0</v>
      </c>
      <c r="I66" s="179">
        <v>0</v>
      </c>
      <c r="J66" s="179">
        <v>0</v>
      </c>
      <c r="K66" s="179">
        <v>673282</v>
      </c>
      <c r="L66" s="179">
        <v>673282</v>
      </c>
      <c r="M66" s="179">
        <v>2326718</v>
      </c>
      <c r="N66" s="179">
        <v>726718</v>
      </c>
    </row>
    <row r="67" spans="1:14" s="156" customFormat="1" x14ac:dyDescent="0.25">
      <c r="A67" s="156" t="s">
        <v>542</v>
      </c>
      <c r="B67" s="156" t="s">
        <v>216</v>
      </c>
      <c r="C67" s="156" t="s">
        <v>217</v>
      </c>
      <c r="D67" s="156" t="s">
        <v>541</v>
      </c>
      <c r="E67" s="179">
        <v>936000</v>
      </c>
      <c r="F67" s="179">
        <v>936000</v>
      </c>
      <c r="G67" s="179">
        <v>771000</v>
      </c>
      <c r="H67" s="179">
        <v>0</v>
      </c>
      <c r="I67" s="179">
        <v>508225</v>
      </c>
      <c r="J67" s="179">
        <v>0</v>
      </c>
      <c r="K67" s="179">
        <v>0</v>
      </c>
      <c r="L67" s="179">
        <v>0</v>
      </c>
      <c r="M67" s="179">
        <v>427775</v>
      </c>
      <c r="N67" s="179">
        <v>262775</v>
      </c>
    </row>
    <row r="68" spans="1:14" s="156" customFormat="1" x14ac:dyDescent="0.25">
      <c r="A68" s="156" t="s">
        <v>542</v>
      </c>
      <c r="B68" s="156" t="s">
        <v>220</v>
      </c>
      <c r="C68" s="156" t="s">
        <v>221</v>
      </c>
      <c r="D68" s="156" t="s">
        <v>541</v>
      </c>
      <c r="E68" s="179">
        <v>771000</v>
      </c>
      <c r="F68" s="179">
        <v>771000</v>
      </c>
      <c r="G68" s="179">
        <v>771000</v>
      </c>
      <c r="H68" s="179">
        <v>0</v>
      </c>
      <c r="I68" s="179">
        <v>508225</v>
      </c>
      <c r="J68" s="179">
        <v>0</v>
      </c>
      <c r="K68" s="179">
        <v>0</v>
      </c>
      <c r="L68" s="179">
        <v>0</v>
      </c>
      <c r="M68" s="179">
        <v>262775</v>
      </c>
      <c r="N68" s="179">
        <v>262775</v>
      </c>
    </row>
    <row r="69" spans="1:14" s="156" customFormat="1" x14ac:dyDescent="0.25">
      <c r="A69" s="156" t="s">
        <v>542</v>
      </c>
      <c r="B69" s="156" t="s">
        <v>224</v>
      </c>
      <c r="C69" s="156" t="s">
        <v>225</v>
      </c>
      <c r="D69" s="156" t="s">
        <v>541</v>
      </c>
      <c r="E69" s="179">
        <v>165000</v>
      </c>
      <c r="F69" s="179">
        <v>165000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165000</v>
      </c>
      <c r="N69" s="179">
        <v>0</v>
      </c>
    </row>
    <row r="70" spans="1:14" s="156" customFormat="1" x14ac:dyDescent="0.25">
      <c r="A70" s="156" t="s">
        <v>542</v>
      </c>
      <c r="B70" s="156" t="s">
        <v>228</v>
      </c>
      <c r="C70" s="156" t="s">
        <v>229</v>
      </c>
      <c r="D70" s="156" t="s">
        <v>541</v>
      </c>
      <c r="E70" s="179">
        <v>312000</v>
      </c>
      <c r="F70" s="179">
        <v>312000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312000</v>
      </c>
      <c r="N70" s="179">
        <v>0</v>
      </c>
    </row>
    <row r="71" spans="1:14" s="156" customFormat="1" x14ac:dyDescent="0.25">
      <c r="A71" s="156" t="s">
        <v>542</v>
      </c>
      <c r="B71" s="156" t="s">
        <v>230</v>
      </c>
      <c r="C71" s="156" t="s">
        <v>231</v>
      </c>
      <c r="D71" s="156" t="s">
        <v>541</v>
      </c>
      <c r="E71" s="179">
        <v>206000</v>
      </c>
      <c r="F71" s="179">
        <v>206000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206000</v>
      </c>
      <c r="N71" s="179">
        <v>0</v>
      </c>
    </row>
    <row r="72" spans="1:14" s="156" customFormat="1" x14ac:dyDescent="0.25">
      <c r="A72" s="156" t="s">
        <v>542</v>
      </c>
      <c r="B72" s="156" t="s">
        <v>232</v>
      </c>
      <c r="C72" s="156" t="s">
        <v>233</v>
      </c>
      <c r="D72" s="156" t="s">
        <v>541</v>
      </c>
      <c r="E72" s="179">
        <v>106000</v>
      </c>
      <c r="F72" s="179">
        <v>106000</v>
      </c>
      <c r="G72" s="179">
        <v>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106000</v>
      </c>
      <c r="N72" s="179">
        <v>0</v>
      </c>
    </row>
    <row r="73" spans="1:14" s="156" customFormat="1" x14ac:dyDescent="0.25">
      <c r="A73" s="156" t="s">
        <v>542</v>
      </c>
      <c r="B73" s="156" t="s">
        <v>234</v>
      </c>
      <c r="C73" s="156" t="s">
        <v>601</v>
      </c>
      <c r="D73" s="156" t="s">
        <v>541</v>
      </c>
      <c r="E73" s="179">
        <v>20844000</v>
      </c>
      <c r="F73" s="179">
        <v>20844000</v>
      </c>
      <c r="G73" s="179">
        <v>12244000</v>
      </c>
      <c r="H73" s="179">
        <v>1935700</v>
      </c>
      <c r="I73" s="179">
        <v>4101506.41</v>
      </c>
      <c r="J73" s="179">
        <v>692877.52</v>
      </c>
      <c r="K73" s="179">
        <v>2634494.42</v>
      </c>
      <c r="L73" s="179">
        <v>2589144.42</v>
      </c>
      <c r="M73" s="179">
        <v>11479421.65</v>
      </c>
      <c r="N73" s="179">
        <v>2879421.65</v>
      </c>
    </row>
    <row r="74" spans="1:14" s="156" customFormat="1" x14ac:dyDescent="0.25">
      <c r="A74" s="156" t="s">
        <v>542</v>
      </c>
      <c r="B74" s="156" t="s">
        <v>235</v>
      </c>
      <c r="C74" s="156" t="s">
        <v>236</v>
      </c>
      <c r="D74" s="156" t="s">
        <v>541</v>
      </c>
      <c r="E74" s="179">
        <v>3000000</v>
      </c>
      <c r="F74" s="179">
        <v>3000000</v>
      </c>
      <c r="G74" s="179">
        <v>3000000</v>
      </c>
      <c r="H74" s="179">
        <v>1391440</v>
      </c>
      <c r="I74" s="179">
        <v>715064.12</v>
      </c>
      <c r="J74" s="179">
        <v>692877.52</v>
      </c>
      <c r="K74" s="179">
        <v>84624</v>
      </c>
      <c r="L74" s="179">
        <v>84624</v>
      </c>
      <c r="M74" s="179">
        <v>115994.36</v>
      </c>
      <c r="N74" s="179">
        <v>115994.36</v>
      </c>
    </row>
    <row r="75" spans="1:14" s="156" customFormat="1" x14ac:dyDescent="0.25">
      <c r="A75" s="156" t="s">
        <v>542</v>
      </c>
      <c r="B75" s="156" t="s">
        <v>237</v>
      </c>
      <c r="C75" s="156" t="s">
        <v>238</v>
      </c>
      <c r="D75" s="156" t="s">
        <v>541</v>
      </c>
      <c r="E75" s="179">
        <v>271000</v>
      </c>
      <c r="F75" s="179">
        <v>271000</v>
      </c>
      <c r="G75" s="179">
        <v>271000</v>
      </c>
      <c r="H75" s="179">
        <v>0</v>
      </c>
      <c r="I75" s="179">
        <v>152000</v>
      </c>
      <c r="J75" s="179">
        <v>0</v>
      </c>
      <c r="K75" s="179">
        <v>112500</v>
      </c>
      <c r="L75" s="179">
        <v>112500</v>
      </c>
      <c r="M75" s="179">
        <v>6500</v>
      </c>
      <c r="N75" s="179">
        <v>6500</v>
      </c>
    </row>
    <row r="76" spans="1:14" s="156" customFormat="1" x14ac:dyDescent="0.25">
      <c r="A76" s="156" t="s">
        <v>542</v>
      </c>
      <c r="B76" s="156" t="s">
        <v>239</v>
      </c>
      <c r="C76" s="156" t="s">
        <v>240</v>
      </c>
      <c r="D76" s="156" t="s">
        <v>541</v>
      </c>
      <c r="E76" s="179">
        <v>12000000</v>
      </c>
      <c r="F76" s="179">
        <v>12000000</v>
      </c>
      <c r="G76" s="179">
        <v>3400000</v>
      </c>
      <c r="H76" s="179">
        <v>0</v>
      </c>
      <c r="I76" s="179">
        <v>610378.88</v>
      </c>
      <c r="J76" s="179">
        <v>0</v>
      </c>
      <c r="K76" s="179">
        <v>2328350.92</v>
      </c>
      <c r="L76" s="179">
        <v>2283000.92</v>
      </c>
      <c r="M76" s="179">
        <v>9061270.1999999993</v>
      </c>
      <c r="N76" s="179">
        <v>461270.2</v>
      </c>
    </row>
    <row r="77" spans="1:14" s="156" customFormat="1" x14ac:dyDescent="0.25">
      <c r="A77" s="156" t="s">
        <v>542</v>
      </c>
      <c r="B77" s="156" t="s">
        <v>241</v>
      </c>
      <c r="C77" s="156" t="s">
        <v>242</v>
      </c>
      <c r="D77" s="156" t="s">
        <v>541</v>
      </c>
      <c r="E77" s="179">
        <v>1445000</v>
      </c>
      <c r="F77" s="179">
        <v>1445000</v>
      </c>
      <c r="G77" s="179">
        <v>1445000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1445000</v>
      </c>
      <c r="N77" s="179">
        <v>1445000</v>
      </c>
    </row>
    <row r="78" spans="1:14" s="156" customFormat="1" x14ac:dyDescent="0.25">
      <c r="A78" s="156" t="s">
        <v>542</v>
      </c>
      <c r="B78" s="156" t="s">
        <v>243</v>
      </c>
      <c r="C78" s="156" t="s">
        <v>244</v>
      </c>
      <c r="D78" s="156" t="s">
        <v>541</v>
      </c>
      <c r="E78" s="179">
        <v>2500000</v>
      </c>
      <c r="F78" s="179">
        <v>2500000</v>
      </c>
      <c r="G78" s="179">
        <v>2500000</v>
      </c>
      <c r="H78" s="179">
        <v>478260</v>
      </c>
      <c r="I78" s="179">
        <v>1411853.41</v>
      </c>
      <c r="J78" s="179">
        <v>0</v>
      </c>
      <c r="K78" s="179">
        <v>0</v>
      </c>
      <c r="L78" s="179">
        <v>0</v>
      </c>
      <c r="M78" s="179">
        <v>609886.59</v>
      </c>
      <c r="N78" s="179">
        <v>609886.59</v>
      </c>
    </row>
    <row r="79" spans="1:14" s="156" customFormat="1" x14ac:dyDescent="0.25">
      <c r="A79" s="156" t="s">
        <v>542</v>
      </c>
      <c r="B79" s="156" t="s">
        <v>245</v>
      </c>
      <c r="C79" s="156" t="s">
        <v>246</v>
      </c>
      <c r="D79" s="156" t="s">
        <v>541</v>
      </c>
      <c r="E79" s="179">
        <v>66000</v>
      </c>
      <c r="F79" s="179">
        <v>66000</v>
      </c>
      <c r="G79" s="179">
        <v>66000</v>
      </c>
      <c r="H79" s="179">
        <v>66000</v>
      </c>
      <c r="I79" s="179">
        <v>0</v>
      </c>
      <c r="J79" s="179">
        <v>0</v>
      </c>
      <c r="K79" s="179">
        <v>0</v>
      </c>
      <c r="L79" s="179">
        <v>0</v>
      </c>
      <c r="M79" s="179">
        <v>0</v>
      </c>
      <c r="N79" s="179">
        <v>0</v>
      </c>
    </row>
    <row r="80" spans="1:14" s="156" customFormat="1" x14ac:dyDescent="0.25">
      <c r="A80" s="156" t="s">
        <v>542</v>
      </c>
      <c r="B80" s="156" t="s">
        <v>247</v>
      </c>
      <c r="C80" s="156" t="s">
        <v>248</v>
      </c>
      <c r="D80" s="156" t="s">
        <v>541</v>
      </c>
      <c r="E80" s="179">
        <v>562000</v>
      </c>
      <c r="F80" s="179">
        <v>562000</v>
      </c>
      <c r="G80" s="179">
        <v>562000</v>
      </c>
      <c r="H80" s="179">
        <v>0</v>
      </c>
      <c r="I80" s="179">
        <v>328670</v>
      </c>
      <c r="J80" s="179">
        <v>0</v>
      </c>
      <c r="K80" s="179">
        <v>0</v>
      </c>
      <c r="L80" s="179">
        <v>0</v>
      </c>
      <c r="M80" s="179">
        <v>233330</v>
      </c>
      <c r="N80" s="179">
        <v>233330</v>
      </c>
    </row>
    <row r="81" spans="1:14" s="156" customFormat="1" x14ac:dyDescent="0.25">
      <c r="A81" s="156" t="s">
        <v>542</v>
      </c>
      <c r="B81" s="156" t="s">
        <v>249</v>
      </c>
      <c r="C81" s="156" t="s">
        <v>250</v>
      </c>
      <c r="D81" s="156" t="s">
        <v>541</v>
      </c>
      <c r="E81" s="179">
        <v>1000000</v>
      </c>
      <c r="F81" s="179">
        <v>1000000</v>
      </c>
      <c r="G81" s="179">
        <v>1000000</v>
      </c>
      <c r="H81" s="179">
        <v>0</v>
      </c>
      <c r="I81" s="179">
        <v>883540</v>
      </c>
      <c r="J81" s="179">
        <v>0</v>
      </c>
      <c r="K81" s="179">
        <v>109019.5</v>
      </c>
      <c r="L81" s="179">
        <v>109019.5</v>
      </c>
      <c r="M81" s="179">
        <v>7440.5</v>
      </c>
      <c r="N81" s="179">
        <v>7440.5</v>
      </c>
    </row>
    <row r="82" spans="1:14" s="156" customFormat="1" x14ac:dyDescent="0.25">
      <c r="A82" s="156" t="s">
        <v>542</v>
      </c>
      <c r="B82" s="156" t="s">
        <v>251</v>
      </c>
      <c r="C82" s="156" t="s">
        <v>252</v>
      </c>
      <c r="D82" s="156" t="s">
        <v>541</v>
      </c>
      <c r="E82" s="179">
        <v>731283000</v>
      </c>
      <c r="F82" s="179">
        <v>745283000</v>
      </c>
      <c r="G82" s="179">
        <v>408212500</v>
      </c>
      <c r="H82" s="179">
        <v>0</v>
      </c>
      <c r="I82" s="179">
        <v>92391268.5</v>
      </c>
      <c r="J82" s="179">
        <v>0</v>
      </c>
      <c r="K82" s="179">
        <v>308914713.5</v>
      </c>
      <c r="L82" s="179">
        <v>308914713.5</v>
      </c>
      <c r="M82" s="179">
        <v>343977018</v>
      </c>
      <c r="N82" s="179">
        <v>6906518</v>
      </c>
    </row>
    <row r="83" spans="1:14" s="156" customFormat="1" x14ac:dyDescent="0.25">
      <c r="A83" s="156" t="s">
        <v>542</v>
      </c>
      <c r="B83" s="156" t="s">
        <v>253</v>
      </c>
      <c r="C83" s="156" t="s">
        <v>254</v>
      </c>
      <c r="D83" s="156" t="s">
        <v>541</v>
      </c>
      <c r="E83" s="179">
        <v>268185000</v>
      </c>
      <c r="F83" s="179">
        <v>268185000</v>
      </c>
      <c r="G83" s="179">
        <v>149339403.30000001</v>
      </c>
      <c r="H83" s="179">
        <v>0</v>
      </c>
      <c r="I83" s="179">
        <v>34189006.299999997</v>
      </c>
      <c r="J83" s="179">
        <v>0</v>
      </c>
      <c r="K83" s="179">
        <v>115150397</v>
      </c>
      <c r="L83" s="179">
        <v>115150397</v>
      </c>
      <c r="M83" s="179">
        <v>118845596.7</v>
      </c>
      <c r="N83" s="179">
        <v>0</v>
      </c>
    </row>
    <row r="84" spans="1:14" s="156" customFormat="1" x14ac:dyDescent="0.25">
      <c r="A84" s="156" t="s">
        <v>542</v>
      </c>
      <c r="B84" s="156" t="s">
        <v>255</v>
      </c>
      <c r="C84" s="156" t="s">
        <v>256</v>
      </c>
      <c r="D84" s="156" t="s">
        <v>541</v>
      </c>
      <c r="E84" s="179">
        <v>2000000</v>
      </c>
      <c r="F84" s="179">
        <v>2000000</v>
      </c>
      <c r="G84" s="179">
        <v>2000000</v>
      </c>
      <c r="H84" s="179">
        <v>0</v>
      </c>
      <c r="I84" s="179">
        <v>0</v>
      </c>
      <c r="J84" s="179">
        <v>0</v>
      </c>
      <c r="K84" s="179">
        <v>2000000</v>
      </c>
      <c r="L84" s="179">
        <v>2000000</v>
      </c>
      <c r="M84" s="179">
        <v>0</v>
      </c>
      <c r="N84" s="179">
        <v>0</v>
      </c>
    </row>
    <row r="85" spans="1:14" s="156" customFormat="1" x14ac:dyDescent="0.25">
      <c r="A85" s="156" t="s">
        <v>542</v>
      </c>
      <c r="B85" s="156" t="s">
        <v>257</v>
      </c>
      <c r="C85" s="156" t="s">
        <v>258</v>
      </c>
      <c r="D85" s="156" t="s">
        <v>541</v>
      </c>
      <c r="E85" s="179">
        <v>250000000</v>
      </c>
      <c r="F85" s="179">
        <v>250000000</v>
      </c>
      <c r="G85" s="179">
        <v>131154403.3</v>
      </c>
      <c r="H85" s="179">
        <v>0</v>
      </c>
      <c r="I85" s="179">
        <v>24011545.300000001</v>
      </c>
      <c r="J85" s="179">
        <v>0</v>
      </c>
      <c r="K85" s="179">
        <v>107142858</v>
      </c>
      <c r="L85" s="179">
        <v>107142858</v>
      </c>
      <c r="M85" s="179">
        <v>118845596.7</v>
      </c>
      <c r="N85" s="179">
        <v>0</v>
      </c>
    </row>
    <row r="86" spans="1:14" s="156" customFormat="1" x14ac:dyDescent="0.25">
      <c r="A86" s="156" t="s">
        <v>542</v>
      </c>
      <c r="B86" s="156" t="s">
        <v>259</v>
      </c>
      <c r="C86" s="156" t="s">
        <v>602</v>
      </c>
      <c r="D86" s="156" t="s">
        <v>541</v>
      </c>
      <c r="E86" s="179">
        <v>13470000</v>
      </c>
      <c r="F86" s="179">
        <v>13470000</v>
      </c>
      <c r="G86" s="179">
        <v>13470000</v>
      </c>
      <c r="H86" s="179">
        <v>0</v>
      </c>
      <c r="I86" s="179">
        <v>8470437</v>
      </c>
      <c r="J86" s="179">
        <v>0</v>
      </c>
      <c r="K86" s="179">
        <v>4999563</v>
      </c>
      <c r="L86" s="179">
        <v>4999563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260</v>
      </c>
      <c r="C87" s="156" t="s">
        <v>603</v>
      </c>
      <c r="D87" s="156" t="s">
        <v>541</v>
      </c>
      <c r="E87" s="179">
        <v>2715000</v>
      </c>
      <c r="F87" s="179">
        <v>2715000</v>
      </c>
      <c r="G87" s="179">
        <v>2715000</v>
      </c>
      <c r="H87" s="179">
        <v>0</v>
      </c>
      <c r="I87" s="179">
        <v>1707024</v>
      </c>
      <c r="J87" s="179">
        <v>0</v>
      </c>
      <c r="K87" s="179">
        <v>1007976</v>
      </c>
      <c r="L87" s="179">
        <v>1007976</v>
      </c>
      <c r="M87" s="179">
        <v>0</v>
      </c>
      <c r="N87" s="179">
        <v>0</v>
      </c>
    </row>
    <row r="88" spans="1:14" s="156" customFormat="1" x14ac:dyDescent="0.25">
      <c r="A88" s="156" t="s">
        <v>542</v>
      </c>
      <c r="B88" s="156" t="s">
        <v>261</v>
      </c>
      <c r="C88" s="156" t="s">
        <v>262</v>
      </c>
      <c r="D88" s="156" t="s">
        <v>541</v>
      </c>
      <c r="E88" s="179">
        <v>39757000</v>
      </c>
      <c r="F88" s="179">
        <v>53757000</v>
      </c>
      <c r="G88" s="179">
        <v>47202596.700000003</v>
      </c>
      <c r="H88" s="179">
        <v>0</v>
      </c>
      <c r="I88" s="179">
        <v>9382126.6999999993</v>
      </c>
      <c r="J88" s="179">
        <v>0</v>
      </c>
      <c r="K88" s="179">
        <v>30913952</v>
      </c>
      <c r="L88" s="179">
        <v>30913952</v>
      </c>
      <c r="M88" s="179">
        <v>13460921.300000001</v>
      </c>
      <c r="N88" s="179">
        <v>6906518</v>
      </c>
    </row>
    <row r="89" spans="1:14" s="156" customFormat="1" x14ac:dyDescent="0.25">
      <c r="A89" s="156" t="s">
        <v>542</v>
      </c>
      <c r="B89" s="156" t="s">
        <v>263</v>
      </c>
      <c r="C89" s="156" t="s">
        <v>264</v>
      </c>
      <c r="D89" s="156" t="s">
        <v>541</v>
      </c>
      <c r="E89" s="179">
        <v>30000000</v>
      </c>
      <c r="F89" s="179">
        <v>44000000</v>
      </c>
      <c r="G89" s="179">
        <v>37445596.700000003</v>
      </c>
      <c r="H89" s="179">
        <v>0</v>
      </c>
      <c r="I89" s="179">
        <v>9382126.6999999993</v>
      </c>
      <c r="J89" s="179">
        <v>0</v>
      </c>
      <c r="K89" s="179">
        <v>28063470</v>
      </c>
      <c r="L89" s="179">
        <v>28063470</v>
      </c>
      <c r="M89" s="179">
        <v>6554403.2999999998</v>
      </c>
      <c r="N89" s="179">
        <v>0</v>
      </c>
    </row>
    <row r="90" spans="1:14" s="156" customFormat="1" x14ac:dyDescent="0.25">
      <c r="A90" s="156" t="s">
        <v>542</v>
      </c>
      <c r="B90" s="156" t="s">
        <v>265</v>
      </c>
      <c r="C90" s="156" t="s">
        <v>266</v>
      </c>
      <c r="D90" s="156" t="s">
        <v>541</v>
      </c>
      <c r="E90" s="179">
        <v>9757000</v>
      </c>
      <c r="F90" s="179">
        <v>9757000</v>
      </c>
      <c r="G90" s="179">
        <v>9757000</v>
      </c>
      <c r="H90" s="179">
        <v>0</v>
      </c>
      <c r="I90" s="179">
        <v>0</v>
      </c>
      <c r="J90" s="179">
        <v>0</v>
      </c>
      <c r="K90" s="179">
        <v>2850482</v>
      </c>
      <c r="L90" s="179">
        <v>2850482</v>
      </c>
      <c r="M90" s="179">
        <v>6906518</v>
      </c>
      <c r="N90" s="179">
        <v>6906518</v>
      </c>
    </row>
    <row r="91" spans="1:14" s="156" customFormat="1" x14ac:dyDescent="0.25">
      <c r="A91" s="156" t="s">
        <v>542</v>
      </c>
      <c r="B91" s="156" t="s">
        <v>273</v>
      </c>
      <c r="C91" s="156" t="s">
        <v>274</v>
      </c>
      <c r="D91" s="156" t="s">
        <v>541</v>
      </c>
      <c r="E91" s="179">
        <v>423341000</v>
      </c>
      <c r="F91" s="179">
        <v>423341000</v>
      </c>
      <c r="G91" s="179">
        <v>211670500</v>
      </c>
      <c r="H91" s="179">
        <v>0</v>
      </c>
      <c r="I91" s="179">
        <v>48820135.5</v>
      </c>
      <c r="J91" s="179">
        <v>0</v>
      </c>
      <c r="K91" s="179">
        <v>162850364.5</v>
      </c>
      <c r="L91" s="179">
        <v>162850364.5</v>
      </c>
      <c r="M91" s="179">
        <v>211670500</v>
      </c>
      <c r="N91" s="179">
        <v>0</v>
      </c>
    </row>
    <row r="92" spans="1:14" s="156" customFormat="1" x14ac:dyDescent="0.25">
      <c r="A92" s="156" t="s">
        <v>542</v>
      </c>
      <c r="B92" s="156" t="s">
        <v>275</v>
      </c>
      <c r="C92" s="156" t="s">
        <v>276</v>
      </c>
      <c r="D92" s="156" t="s">
        <v>541</v>
      </c>
      <c r="E92" s="179">
        <v>406300000</v>
      </c>
      <c r="F92" s="179">
        <v>406300000</v>
      </c>
      <c r="G92" s="179">
        <v>194629500</v>
      </c>
      <c r="H92" s="179">
        <v>0</v>
      </c>
      <c r="I92" s="179">
        <v>35278416</v>
      </c>
      <c r="J92" s="179">
        <v>0</v>
      </c>
      <c r="K92" s="179">
        <v>159351084</v>
      </c>
      <c r="L92" s="179">
        <v>159351084</v>
      </c>
      <c r="M92" s="179">
        <v>211670500</v>
      </c>
      <c r="N92" s="179">
        <v>0</v>
      </c>
    </row>
    <row r="93" spans="1:14" s="156" customFormat="1" x14ac:dyDescent="0.25">
      <c r="A93" s="156" t="s">
        <v>542</v>
      </c>
      <c r="B93" s="156" t="s">
        <v>561</v>
      </c>
      <c r="C93" s="156" t="s">
        <v>584</v>
      </c>
      <c r="D93" s="156" t="s">
        <v>541</v>
      </c>
      <c r="E93" s="179">
        <v>13364000</v>
      </c>
      <c r="F93" s="179">
        <v>13364000</v>
      </c>
      <c r="G93" s="179">
        <v>13364000</v>
      </c>
      <c r="H93" s="179">
        <v>0</v>
      </c>
      <c r="I93" s="179">
        <v>13364000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277</v>
      </c>
      <c r="C94" s="156" t="s">
        <v>278</v>
      </c>
      <c r="D94" s="156" t="s">
        <v>541</v>
      </c>
      <c r="E94" s="179">
        <v>3677000</v>
      </c>
      <c r="F94" s="179">
        <v>3677000</v>
      </c>
      <c r="G94" s="179">
        <v>3677000</v>
      </c>
      <c r="H94" s="179">
        <v>0</v>
      </c>
      <c r="I94" s="179">
        <v>177719.5</v>
      </c>
      <c r="J94" s="179">
        <v>0</v>
      </c>
      <c r="K94" s="179">
        <v>3499280.5</v>
      </c>
      <c r="L94" s="179">
        <v>3499280.5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279</v>
      </c>
      <c r="C95" s="156" t="s">
        <v>280</v>
      </c>
      <c r="D95" s="156" t="s">
        <v>543</v>
      </c>
      <c r="E95" s="179">
        <v>17098648</v>
      </c>
      <c r="F95" s="179">
        <v>17098648</v>
      </c>
      <c r="G95" s="179">
        <v>8549324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17098648</v>
      </c>
      <c r="N95" s="179">
        <v>8549324</v>
      </c>
    </row>
    <row r="96" spans="1:14" s="156" customFormat="1" x14ac:dyDescent="0.25">
      <c r="A96" s="156" t="s">
        <v>542</v>
      </c>
      <c r="B96" s="156" t="s">
        <v>281</v>
      </c>
      <c r="C96" s="156" t="s">
        <v>282</v>
      </c>
      <c r="D96" s="156" t="s">
        <v>543</v>
      </c>
      <c r="E96" s="179">
        <v>16598648</v>
      </c>
      <c r="F96" s="179">
        <v>16598648</v>
      </c>
      <c r="G96" s="179">
        <v>8049324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16598648</v>
      </c>
      <c r="N96" s="179">
        <v>8049324</v>
      </c>
    </row>
    <row r="97" spans="1:14" s="156" customFormat="1" x14ac:dyDescent="0.25">
      <c r="A97" s="156" t="s">
        <v>542</v>
      </c>
      <c r="B97" s="156" t="s">
        <v>283</v>
      </c>
      <c r="C97" s="156" t="s">
        <v>284</v>
      </c>
      <c r="D97" s="156" t="s">
        <v>543</v>
      </c>
      <c r="E97" s="179">
        <v>3000000</v>
      </c>
      <c r="F97" s="179">
        <v>3000000</v>
      </c>
      <c r="G97" s="179">
        <v>788324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3000000</v>
      </c>
      <c r="N97" s="179">
        <v>788324</v>
      </c>
    </row>
    <row r="98" spans="1:14" s="156" customFormat="1" x14ac:dyDescent="0.25">
      <c r="A98" s="156" t="s">
        <v>542</v>
      </c>
      <c r="B98" s="156" t="s">
        <v>285</v>
      </c>
      <c r="C98" s="156" t="s">
        <v>286</v>
      </c>
      <c r="D98" s="156" t="s">
        <v>543</v>
      </c>
      <c r="E98" s="179">
        <v>4000000</v>
      </c>
      <c r="F98" s="179">
        <v>4000000</v>
      </c>
      <c r="G98" s="179">
        <v>2000000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4000000</v>
      </c>
      <c r="N98" s="179">
        <v>2000000</v>
      </c>
    </row>
    <row r="99" spans="1:14" s="156" customFormat="1" x14ac:dyDescent="0.25">
      <c r="A99" s="156" t="s">
        <v>542</v>
      </c>
      <c r="B99" s="156" t="s">
        <v>287</v>
      </c>
      <c r="C99" s="156" t="s">
        <v>288</v>
      </c>
      <c r="D99" s="156" t="s">
        <v>543</v>
      </c>
      <c r="E99" s="179">
        <v>6337648</v>
      </c>
      <c r="F99" s="179">
        <v>6337648</v>
      </c>
      <c r="G99" s="179">
        <v>2000000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6337648</v>
      </c>
      <c r="N99" s="179">
        <v>2000000</v>
      </c>
    </row>
    <row r="100" spans="1:14" s="156" customFormat="1" x14ac:dyDescent="0.25">
      <c r="A100" s="156" t="s">
        <v>542</v>
      </c>
      <c r="B100" s="156" t="s">
        <v>293</v>
      </c>
      <c r="C100" s="156" t="s">
        <v>294</v>
      </c>
      <c r="D100" s="156" t="s">
        <v>543</v>
      </c>
      <c r="E100" s="179">
        <v>2261000</v>
      </c>
      <c r="F100" s="179">
        <v>2261000</v>
      </c>
      <c r="G100" s="179">
        <v>2261000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2261000</v>
      </c>
      <c r="N100" s="179">
        <v>2261000</v>
      </c>
    </row>
    <row r="101" spans="1:14" s="156" customFormat="1" x14ac:dyDescent="0.25">
      <c r="A101" s="156" t="s">
        <v>542</v>
      </c>
      <c r="B101" s="156" t="s">
        <v>295</v>
      </c>
      <c r="C101" s="156" t="s">
        <v>296</v>
      </c>
      <c r="D101" s="156" t="s">
        <v>543</v>
      </c>
      <c r="E101" s="179">
        <v>1000000</v>
      </c>
      <c r="F101" s="179">
        <v>1000000</v>
      </c>
      <c r="G101" s="179">
        <v>1000000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1000000</v>
      </c>
      <c r="N101" s="179">
        <v>1000000</v>
      </c>
    </row>
    <row r="102" spans="1:14" s="156" customFormat="1" x14ac:dyDescent="0.25">
      <c r="A102" s="156" t="s">
        <v>542</v>
      </c>
      <c r="B102" s="156" t="s">
        <v>340</v>
      </c>
      <c r="C102" s="156" t="s">
        <v>341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 t="s">
        <v>542</v>
      </c>
      <c r="B103" s="156" t="s">
        <v>342</v>
      </c>
      <c r="C103" s="156" t="s">
        <v>343</v>
      </c>
      <c r="D103" s="156" t="s">
        <v>543</v>
      </c>
      <c r="E103" s="179">
        <v>500000</v>
      </c>
      <c r="F103" s="179">
        <v>500000</v>
      </c>
      <c r="G103" s="179">
        <v>500000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500000</v>
      </c>
      <c r="N103" s="179">
        <v>500000</v>
      </c>
    </row>
    <row r="104" spans="1:14" s="156" customFormat="1" x14ac:dyDescent="0.25">
      <c r="A104" s="156">
        <v>214780</v>
      </c>
      <c r="B104" s="156" t="s">
        <v>587</v>
      </c>
      <c r="C104" s="156" t="s">
        <v>587</v>
      </c>
      <c r="D104" s="156" t="s">
        <v>541</v>
      </c>
      <c r="E104" s="179">
        <v>1241247489</v>
      </c>
      <c r="F104" s="179">
        <v>1241247489</v>
      </c>
      <c r="G104" s="179">
        <v>1097485743.8499999</v>
      </c>
      <c r="H104" s="179">
        <v>129900</v>
      </c>
      <c r="I104" s="179">
        <v>129112259.16</v>
      </c>
      <c r="J104" s="179">
        <v>659414.19999999995</v>
      </c>
      <c r="K104" s="182">
        <v>412361866.26999998</v>
      </c>
      <c r="L104" s="179">
        <v>405685472.22000003</v>
      </c>
      <c r="M104" s="179">
        <v>698984049.37</v>
      </c>
      <c r="N104" s="179">
        <v>555222304.22000003</v>
      </c>
    </row>
    <row r="105" spans="1:14" s="156" customFormat="1" x14ac:dyDescent="0.25">
      <c r="A105" s="156" t="s">
        <v>544</v>
      </c>
      <c r="B105" s="156" t="s">
        <v>92</v>
      </c>
      <c r="C105" s="156" t="s">
        <v>93</v>
      </c>
      <c r="D105" s="156" t="s">
        <v>541</v>
      </c>
      <c r="E105" s="179">
        <v>953910000</v>
      </c>
      <c r="F105" s="179">
        <v>953910000</v>
      </c>
      <c r="G105" s="179">
        <v>953910000</v>
      </c>
      <c r="H105" s="179">
        <v>0</v>
      </c>
      <c r="I105" s="179">
        <v>89845276</v>
      </c>
      <c r="J105" s="179">
        <v>0</v>
      </c>
      <c r="K105" s="179">
        <v>334628825.88999999</v>
      </c>
      <c r="L105" s="179">
        <v>334628825.88999999</v>
      </c>
      <c r="M105" s="179">
        <v>529435898.11000001</v>
      </c>
      <c r="N105" s="179">
        <v>529435898.11000001</v>
      </c>
    </row>
    <row r="106" spans="1:14" s="156" customFormat="1" x14ac:dyDescent="0.25">
      <c r="A106" s="156" t="s">
        <v>544</v>
      </c>
      <c r="B106" s="156" t="s">
        <v>94</v>
      </c>
      <c r="C106" s="156" t="s">
        <v>95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134838551.34</v>
      </c>
      <c r="L106" s="179">
        <v>134838551.34</v>
      </c>
      <c r="M106" s="179">
        <v>249002448.66</v>
      </c>
      <c r="N106" s="179">
        <v>249002448.66</v>
      </c>
    </row>
    <row r="107" spans="1:14" s="156" customFormat="1" x14ac:dyDescent="0.25">
      <c r="A107" s="156" t="s">
        <v>544</v>
      </c>
      <c r="B107" s="156" t="s">
        <v>96</v>
      </c>
      <c r="C107" s="156" t="s">
        <v>97</v>
      </c>
      <c r="D107" s="156" t="s">
        <v>541</v>
      </c>
      <c r="E107" s="179">
        <v>383841000</v>
      </c>
      <c r="F107" s="179">
        <v>383841000</v>
      </c>
      <c r="G107" s="179">
        <v>383841000</v>
      </c>
      <c r="H107" s="179">
        <v>0</v>
      </c>
      <c r="I107" s="179">
        <v>0</v>
      </c>
      <c r="J107" s="179">
        <v>0</v>
      </c>
      <c r="K107" s="179">
        <v>134838551.34</v>
      </c>
      <c r="L107" s="179">
        <v>134838551.34</v>
      </c>
      <c r="M107" s="179">
        <v>249002448.66</v>
      </c>
      <c r="N107" s="179">
        <v>249002448.66</v>
      </c>
    </row>
    <row r="108" spans="1:14" s="156" customFormat="1" x14ac:dyDescent="0.25">
      <c r="A108" s="156" t="s">
        <v>544</v>
      </c>
      <c r="B108" s="156" t="s">
        <v>102</v>
      </c>
      <c r="C108" s="156" t="s">
        <v>103</v>
      </c>
      <c r="D108" s="156" t="s">
        <v>541</v>
      </c>
      <c r="E108" s="179">
        <v>425514000</v>
      </c>
      <c r="F108" s="179">
        <v>425514000</v>
      </c>
      <c r="G108" s="179">
        <v>425514000</v>
      </c>
      <c r="H108" s="179">
        <v>0</v>
      </c>
      <c r="I108" s="179">
        <v>0</v>
      </c>
      <c r="J108" s="179">
        <v>0</v>
      </c>
      <c r="K108" s="179">
        <v>145080550.55000001</v>
      </c>
      <c r="L108" s="179">
        <v>145080550.55000001</v>
      </c>
      <c r="M108" s="179">
        <v>280433449.44999999</v>
      </c>
      <c r="N108" s="179">
        <v>280433449.44999999</v>
      </c>
    </row>
    <row r="109" spans="1:14" s="156" customFormat="1" x14ac:dyDescent="0.25">
      <c r="A109" s="156" t="s">
        <v>544</v>
      </c>
      <c r="B109" s="156" t="s">
        <v>104</v>
      </c>
      <c r="C109" s="156" t="s">
        <v>105</v>
      </c>
      <c r="D109" s="156" t="s">
        <v>541</v>
      </c>
      <c r="E109" s="179">
        <v>70660000</v>
      </c>
      <c r="F109" s="179">
        <v>70660000</v>
      </c>
      <c r="G109" s="179">
        <v>70660000</v>
      </c>
      <c r="H109" s="179">
        <v>0</v>
      </c>
      <c r="I109" s="179">
        <v>0</v>
      </c>
      <c r="J109" s="179">
        <v>0</v>
      </c>
      <c r="K109" s="179">
        <v>23484072.559999999</v>
      </c>
      <c r="L109" s="179">
        <v>23484072.559999999</v>
      </c>
      <c r="M109" s="179">
        <v>47175927.439999998</v>
      </c>
      <c r="N109" s="179">
        <v>47175927.439999998</v>
      </c>
    </row>
    <row r="110" spans="1:14" s="156" customFormat="1" x14ac:dyDescent="0.25">
      <c r="A110" s="156" t="s">
        <v>544</v>
      </c>
      <c r="B110" s="156" t="s">
        <v>106</v>
      </c>
      <c r="C110" s="156" t="s">
        <v>107</v>
      </c>
      <c r="D110" s="156" t="s">
        <v>541</v>
      </c>
      <c r="E110" s="179">
        <v>211191000</v>
      </c>
      <c r="F110" s="179">
        <v>211191000</v>
      </c>
      <c r="G110" s="179">
        <v>211191000</v>
      </c>
      <c r="H110" s="179">
        <v>0</v>
      </c>
      <c r="I110" s="179">
        <v>0</v>
      </c>
      <c r="J110" s="179">
        <v>0</v>
      </c>
      <c r="K110" s="179">
        <v>64777503.189999998</v>
      </c>
      <c r="L110" s="179">
        <v>64777503.189999998</v>
      </c>
      <c r="M110" s="179">
        <v>146413496.81</v>
      </c>
      <c r="N110" s="179">
        <v>146413496.81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35665000</v>
      </c>
      <c r="H112" s="179">
        <v>0</v>
      </c>
      <c r="I112" s="179">
        <v>0</v>
      </c>
      <c r="J112" s="179">
        <v>0</v>
      </c>
      <c r="K112" s="179">
        <v>12370943.73</v>
      </c>
      <c r="L112" s="179">
        <v>12370943.73</v>
      </c>
      <c r="M112" s="179">
        <v>23294056.27</v>
      </c>
      <c r="N112" s="179">
        <v>23294056.27</v>
      </c>
    </row>
    <row r="113" spans="1:14" s="156" customFormat="1" x14ac:dyDescent="0.25">
      <c r="A113" s="156" t="s">
        <v>544</v>
      </c>
      <c r="B113" s="156" t="s">
        <v>112</v>
      </c>
      <c r="C113" s="156" t="s">
        <v>113</v>
      </c>
      <c r="D113" s="156" t="s">
        <v>543</v>
      </c>
      <c r="E113" s="179">
        <v>61518000</v>
      </c>
      <c r="F113" s="179">
        <v>61518000</v>
      </c>
      <c r="G113" s="179">
        <v>61518000</v>
      </c>
      <c r="H113" s="179">
        <v>0</v>
      </c>
      <c r="I113" s="179">
        <v>0</v>
      </c>
      <c r="J113" s="179">
        <v>0</v>
      </c>
      <c r="K113" s="179">
        <v>0</v>
      </c>
      <c r="L113" s="179">
        <v>0</v>
      </c>
      <c r="M113" s="179">
        <v>61518000</v>
      </c>
      <c r="N113" s="179">
        <v>61518000</v>
      </c>
    </row>
    <row r="114" spans="1:14" s="156" customFormat="1" x14ac:dyDescent="0.25">
      <c r="A114" s="156" t="s">
        <v>544</v>
      </c>
      <c r="B114" s="156" t="s">
        <v>114</v>
      </c>
      <c r="C114" s="156" t="s">
        <v>115</v>
      </c>
      <c r="D114" s="156" t="s">
        <v>541</v>
      </c>
      <c r="E114" s="179">
        <v>72913000</v>
      </c>
      <c r="F114" s="179">
        <v>72913000</v>
      </c>
      <c r="G114" s="179">
        <v>72913000</v>
      </c>
      <c r="H114" s="179">
        <v>0</v>
      </c>
      <c r="I114" s="179">
        <v>45314870</v>
      </c>
      <c r="J114" s="179">
        <v>0</v>
      </c>
      <c r="K114" s="179">
        <v>27598130</v>
      </c>
      <c r="L114" s="179">
        <v>27598130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301</v>
      </c>
      <c r="C115" s="156" t="s">
        <v>597</v>
      </c>
      <c r="D115" s="156" t="s">
        <v>541</v>
      </c>
      <c r="E115" s="179">
        <v>69174000</v>
      </c>
      <c r="F115" s="179">
        <v>69174000</v>
      </c>
      <c r="G115" s="179">
        <v>69174000</v>
      </c>
      <c r="H115" s="179">
        <v>0</v>
      </c>
      <c r="I115" s="179">
        <v>42990755</v>
      </c>
      <c r="J115" s="179">
        <v>0</v>
      </c>
      <c r="K115" s="179">
        <v>26183245</v>
      </c>
      <c r="L115" s="179">
        <v>26183245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302</v>
      </c>
      <c r="C116" s="156" t="s">
        <v>583</v>
      </c>
      <c r="D116" s="156" t="s">
        <v>541</v>
      </c>
      <c r="E116" s="179">
        <v>3739000</v>
      </c>
      <c r="F116" s="179">
        <v>3739000</v>
      </c>
      <c r="G116" s="179">
        <v>3739000</v>
      </c>
      <c r="H116" s="179">
        <v>0</v>
      </c>
      <c r="I116" s="179">
        <v>2324115</v>
      </c>
      <c r="J116" s="179">
        <v>0</v>
      </c>
      <c r="K116" s="179">
        <v>1414885</v>
      </c>
      <c r="L116" s="179">
        <v>1414885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118</v>
      </c>
      <c r="C117" s="156" t="s">
        <v>119</v>
      </c>
      <c r="D117" s="156" t="s">
        <v>541</v>
      </c>
      <c r="E117" s="179">
        <v>71642000</v>
      </c>
      <c r="F117" s="179">
        <v>71642000</v>
      </c>
      <c r="G117" s="179">
        <v>71642000</v>
      </c>
      <c r="H117" s="179">
        <v>0</v>
      </c>
      <c r="I117" s="179">
        <v>44530406</v>
      </c>
      <c r="J117" s="179">
        <v>0</v>
      </c>
      <c r="K117" s="179">
        <v>27111594</v>
      </c>
      <c r="L117" s="179">
        <v>27111594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303</v>
      </c>
      <c r="C118" s="156" t="s">
        <v>598</v>
      </c>
      <c r="D118" s="156" t="s">
        <v>541</v>
      </c>
      <c r="E118" s="179">
        <v>37990000</v>
      </c>
      <c r="F118" s="179">
        <v>37990000</v>
      </c>
      <c r="G118" s="179">
        <v>37990000</v>
      </c>
      <c r="H118" s="179">
        <v>0</v>
      </c>
      <c r="I118" s="179">
        <v>23612363</v>
      </c>
      <c r="J118" s="179">
        <v>0</v>
      </c>
      <c r="K118" s="179">
        <v>14377637</v>
      </c>
      <c r="L118" s="179">
        <v>14377637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304</v>
      </c>
      <c r="C119" s="156" t="s">
        <v>599</v>
      </c>
      <c r="D119" s="156" t="s">
        <v>541</v>
      </c>
      <c r="E119" s="179">
        <v>11217000</v>
      </c>
      <c r="F119" s="179">
        <v>11217000</v>
      </c>
      <c r="G119" s="179">
        <v>11217000</v>
      </c>
      <c r="H119" s="179">
        <v>0</v>
      </c>
      <c r="I119" s="179">
        <v>6972349</v>
      </c>
      <c r="J119" s="179">
        <v>0</v>
      </c>
      <c r="K119" s="179">
        <v>4244651</v>
      </c>
      <c r="L119" s="179">
        <v>4244651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305</v>
      </c>
      <c r="C120" s="156" t="s">
        <v>600</v>
      </c>
      <c r="D120" s="156" t="s">
        <v>541</v>
      </c>
      <c r="E120" s="179">
        <v>22435000</v>
      </c>
      <c r="F120" s="179">
        <v>22435000</v>
      </c>
      <c r="G120" s="179">
        <v>22435000</v>
      </c>
      <c r="H120" s="179">
        <v>0</v>
      </c>
      <c r="I120" s="179">
        <v>13945694</v>
      </c>
      <c r="J120" s="179">
        <v>0</v>
      </c>
      <c r="K120" s="179">
        <v>8489306</v>
      </c>
      <c r="L120" s="179">
        <v>8489306</v>
      </c>
      <c r="M120" s="179">
        <v>0</v>
      </c>
      <c r="N120" s="179">
        <v>0</v>
      </c>
    </row>
    <row r="121" spans="1:14" s="156" customFormat="1" x14ac:dyDescent="0.25">
      <c r="A121" s="156" t="s">
        <v>544</v>
      </c>
      <c r="B121" s="156" t="s">
        <v>123</v>
      </c>
      <c r="C121" s="156" t="s">
        <v>124</v>
      </c>
      <c r="D121" s="156" t="s">
        <v>541</v>
      </c>
      <c r="E121" s="179">
        <v>155922650</v>
      </c>
      <c r="F121" s="179">
        <v>155922650</v>
      </c>
      <c r="G121" s="179">
        <v>70233161.849999994</v>
      </c>
      <c r="H121" s="179">
        <v>129900</v>
      </c>
      <c r="I121" s="179">
        <v>27153829.190000001</v>
      </c>
      <c r="J121" s="179">
        <v>0</v>
      </c>
      <c r="K121" s="179">
        <v>40613202.130000003</v>
      </c>
      <c r="L121" s="179">
        <v>37492703.850000001</v>
      </c>
      <c r="M121" s="179">
        <v>88025718.680000007</v>
      </c>
      <c r="N121" s="179">
        <v>2336230.5299999998</v>
      </c>
    </row>
    <row r="122" spans="1:14" s="156" customFormat="1" x14ac:dyDescent="0.25">
      <c r="A122" s="156" t="s">
        <v>544</v>
      </c>
      <c r="B122" s="156" t="s">
        <v>125</v>
      </c>
      <c r="C122" s="156" t="s">
        <v>126</v>
      </c>
      <c r="D122" s="156" t="s">
        <v>541</v>
      </c>
      <c r="E122" s="179">
        <v>78966646</v>
      </c>
      <c r="F122" s="179">
        <v>78966646</v>
      </c>
      <c r="G122" s="179">
        <v>39334909</v>
      </c>
      <c r="H122" s="179">
        <v>0</v>
      </c>
      <c r="I122" s="179">
        <v>11746270.59</v>
      </c>
      <c r="J122" s="179">
        <v>0</v>
      </c>
      <c r="K122" s="179">
        <v>27542965.199999999</v>
      </c>
      <c r="L122" s="179">
        <v>26499121.780000001</v>
      </c>
      <c r="M122" s="179">
        <v>39677410.210000001</v>
      </c>
      <c r="N122" s="179">
        <v>45673.21</v>
      </c>
    </row>
    <row r="123" spans="1:14" s="156" customFormat="1" x14ac:dyDescent="0.25">
      <c r="A123" s="156" t="s">
        <v>544</v>
      </c>
      <c r="B123" s="156" t="s">
        <v>306</v>
      </c>
      <c r="C123" s="156" t="s">
        <v>307</v>
      </c>
      <c r="D123" s="156" t="s">
        <v>541</v>
      </c>
      <c r="E123" s="179">
        <v>67899341</v>
      </c>
      <c r="F123" s="179">
        <v>67899341</v>
      </c>
      <c r="G123" s="179">
        <v>32868082</v>
      </c>
      <c r="H123" s="179">
        <v>0</v>
      </c>
      <c r="I123" s="179">
        <v>10079888.91</v>
      </c>
      <c r="J123" s="179">
        <v>0</v>
      </c>
      <c r="K123" s="179">
        <v>22787918.77</v>
      </c>
      <c r="L123" s="179">
        <v>22787918.77</v>
      </c>
      <c r="M123" s="179">
        <v>35031533.32</v>
      </c>
      <c r="N123" s="179">
        <v>274.32</v>
      </c>
    </row>
    <row r="124" spans="1:14" s="156" customFormat="1" x14ac:dyDescent="0.25">
      <c r="A124" s="156" t="s">
        <v>544</v>
      </c>
      <c r="B124" s="156" t="s">
        <v>127</v>
      </c>
      <c r="C124" s="156" t="s">
        <v>128</v>
      </c>
      <c r="D124" s="156" t="s">
        <v>541</v>
      </c>
      <c r="E124" s="179">
        <v>11067305</v>
      </c>
      <c r="F124" s="179">
        <v>11067305</v>
      </c>
      <c r="G124" s="179">
        <v>6466827</v>
      </c>
      <c r="H124" s="179">
        <v>0</v>
      </c>
      <c r="I124" s="179">
        <v>1666381.68</v>
      </c>
      <c r="J124" s="179">
        <v>0</v>
      </c>
      <c r="K124" s="179">
        <v>4755046.43</v>
      </c>
      <c r="L124" s="179">
        <v>3711203.01</v>
      </c>
      <c r="M124" s="179">
        <v>4645876.8899999997</v>
      </c>
      <c r="N124" s="179">
        <v>45398.89</v>
      </c>
    </row>
    <row r="125" spans="1:14" s="156" customFormat="1" x14ac:dyDescent="0.25">
      <c r="A125" s="156" t="s">
        <v>544</v>
      </c>
      <c r="B125" s="156" t="s">
        <v>131</v>
      </c>
      <c r="C125" s="156" t="s">
        <v>132</v>
      </c>
      <c r="D125" s="156" t="s">
        <v>541</v>
      </c>
      <c r="E125" s="179">
        <v>14518657</v>
      </c>
      <c r="F125" s="179">
        <v>14482767</v>
      </c>
      <c r="G125" s="179">
        <v>8423775</v>
      </c>
      <c r="H125" s="179">
        <v>0</v>
      </c>
      <c r="I125" s="179">
        <v>1683184.6</v>
      </c>
      <c r="J125" s="179">
        <v>0</v>
      </c>
      <c r="K125" s="179">
        <v>6715532.9299999997</v>
      </c>
      <c r="L125" s="179">
        <v>5825594.0700000003</v>
      </c>
      <c r="M125" s="179">
        <v>6084049.4699999997</v>
      </c>
      <c r="N125" s="179">
        <v>25057.47</v>
      </c>
    </row>
    <row r="126" spans="1:14" s="156" customFormat="1" x14ac:dyDescent="0.25">
      <c r="A126" s="156" t="s">
        <v>544</v>
      </c>
      <c r="B126" s="156" t="s">
        <v>133</v>
      </c>
      <c r="C126" s="156" t="s">
        <v>134</v>
      </c>
      <c r="D126" s="156" t="s">
        <v>541</v>
      </c>
      <c r="E126" s="179">
        <v>1280000</v>
      </c>
      <c r="F126" s="179">
        <v>1244110</v>
      </c>
      <c r="G126" s="179">
        <v>634110</v>
      </c>
      <c r="H126" s="179">
        <v>0</v>
      </c>
      <c r="I126" s="179">
        <v>280545</v>
      </c>
      <c r="J126" s="179">
        <v>0</v>
      </c>
      <c r="K126" s="179">
        <v>329035</v>
      </c>
      <c r="L126" s="179">
        <v>329035</v>
      </c>
      <c r="M126" s="179">
        <v>634530</v>
      </c>
      <c r="N126" s="179">
        <v>24530</v>
      </c>
    </row>
    <row r="127" spans="1:14" s="156" customFormat="1" x14ac:dyDescent="0.25">
      <c r="A127" s="156" t="s">
        <v>544</v>
      </c>
      <c r="B127" s="156" t="s">
        <v>135</v>
      </c>
      <c r="C127" s="156" t="s">
        <v>136</v>
      </c>
      <c r="D127" s="156" t="s">
        <v>541</v>
      </c>
      <c r="E127" s="179">
        <v>3685715</v>
      </c>
      <c r="F127" s="179">
        <v>3685715</v>
      </c>
      <c r="G127" s="179">
        <v>1671429</v>
      </c>
      <c r="H127" s="179">
        <v>0</v>
      </c>
      <c r="I127" s="179">
        <v>468026</v>
      </c>
      <c r="J127" s="179">
        <v>0</v>
      </c>
      <c r="K127" s="179">
        <v>1203303</v>
      </c>
      <c r="L127" s="179">
        <v>1203303</v>
      </c>
      <c r="M127" s="179">
        <v>2014386</v>
      </c>
      <c r="N127" s="179">
        <v>100</v>
      </c>
    </row>
    <row r="128" spans="1:14" s="156" customFormat="1" x14ac:dyDescent="0.25">
      <c r="A128" s="156" t="s">
        <v>544</v>
      </c>
      <c r="B128" s="156" t="s">
        <v>139</v>
      </c>
      <c r="C128" s="156" t="s">
        <v>140</v>
      </c>
      <c r="D128" s="156" t="s">
        <v>541</v>
      </c>
      <c r="E128" s="179">
        <v>9552942</v>
      </c>
      <c r="F128" s="179">
        <v>9552942</v>
      </c>
      <c r="G128" s="179">
        <v>6118236</v>
      </c>
      <c r="H128" s="179">
        <v>0</v>
      </c>
      <c r="I128" s="179">
        <v>934613.6</v>
      </c>
      <c r="J128" s="179">
        <v>0</v>
      </c>
      <c r="K128" s="179">
        <v>5183194.93</v>
      </c>
      <c r="L128" s="179">
        <v>4293256.07</v>
      </c>
      <c r="M128" s="179">
        <v>3435133.47</v>
      </c>
      <c r="N128" s="179">
        <v>427.47</v>
      </c>
    </row>
    <row r="129" spans="1:14" s="156" customFormat="1" x14ac:dyDescent="0.25">
      <c r="A129" s="156" t="s">
        <v>544</v>
      </c>
      <c r="B129" s="156" t="s">
        <v>143</v>
      </c>
      <c r="C129" s="156" t="s">
        <v>144</v>
      </c>
      <c r="D129" s="156" t="s">
        <v>541</v>
      </c>
      <c r="E129" s="179">
        <v>16719000</v>
      </c>
      <c r="F129" s="179">
        <v>16619000</v>
      </c>
      <c r="G129" s="179">
        <v>1100000</v>
      </c>
      <c r="H129" s="179">
        <v>0</v>
      </c>
      <c r="I129" s="179">
        <v>95000</v>
      </c>
      <c r="J129" s="179">
        <v>0</v>
      </c>
      <c r="K129" s="179">
        <v>5000</v>
      </c>
      <c r="L129" s="179">
        <v>0</v>
      </c>
      <c r="M129" s="179">
        <v>16519000</v>
      </c>
      <c r="N129" s="179">
        <v>1000000</v>
      </c>
    </row>
    <row r="130" spans="1:14" s="156" customFormat="1" x14ac:dyDescent="0.25">
      <c r="A130" s="156" t="s">
        <v>544</v>
      </c>
      <c r="B130" s="156" t="s">
        <v>145</v>
      </c>
      <c r="C130" s="156" t="s">
        <v>146</v>
      </c>
      <c r="D130" s="156" t="s">
        <v>541</v>
      </c>
      <c r="E130" s="179">
        <v>719000</v>
      </c>
      <c r="F130" s="179">
        <v>619000</v>
      </c>
      <c r="G130" s="179">
        <v>80000</v>
      </c>
      <c r="H130" s="179">
        <v>0</v>
      </c>
      <c r="I130" s="179">
        <v>80000</v>
      </c>
      <c r="J130" s="179">
        <v>0</v>
      </c>
      <c r="K130" s="179">
        <v>0</v>
      </c>
      <c r="L130" s="179">
        <v>0</v>
      </c>
      <c r="M130" s="179">
        <v>539000</v>
      </c>
      <c r="N130" s="179">
        <v>0</v>
      </c>
    </row>
    <row r="131" spans="1:14" s="156" customFormat="1" x14ac:dyDescent="0.25">
      <c r="A131" s="156" t="s">
        <v>544</v>
      </c>
      <c r="B131" s="156" t="s">
        <v>147</v>
      </c>
      <c r="C131" s="156" t="s">
        <v>148</v>
      </c>
      <c r="D131" s="156" t="s">
        <v>541</v>
      </c>
      <c r="E131" s="179">
        <v>16000000</v>
      </c>
      <c r="F131" s="179">
        <v>16000000</v>
      </c>
      <c r="G131" s="179">
        <v>1020000</v>
      </c>
      <c r="H131" s="179">
        <v>0</v>
      </c>
      <c r="I131" s="179">
        <v>15000</v>
      </c>
      <c r="J131" s="179">
        <v>0</v>
      </c>
      <c r="K131" s="179">
        <v>5000</v>
      </c>
      <c r="L131" s="179">
        <v>0</v>
      </c>
      <c r="M131" s="179">
        <v>15980000</v>
      </c>
      <c r="N131" s="179">
        <v>1000000</v>
      </c>
    </row>
    <row r="132" spans="1:14" s="156" customFormat="1" x14ac:dyDescent="0.25">
      <c r="A132" s="156" t="s">
        <v>544</v>
      </c>
      <c r="B132" s="156" t="s">
        <v>151</v>
      </c>
      <c r="C132" s="156" t="s">
        <v>152</v>
      </c>
      <c r="D132" s="156" t="s">
        <v>541</v>
      </c>
      <c r="E132" s="179">
        <v>2200000</v>
      </c>
      <c r="F132" s="179">
        <v>2200000</v>
      </c>
      <c r="G132" s="179">
        <v>1367240</v>
      </c>
      <c r="H132" s="179">
        <v>0</v>
      </c>
      <c r="I132" s="179">
        <v>199900</v>
      </c>
      <c r="J132" s="179">
        <v>0</v>
      </c>
      <c r="K132" s="179">
        <v>1167240</v>
      </c>
      <c r="L132" s="179">
        <v>1117240</v>
      </c>
      <c r="M132" s="179">
        <v>832860</v>
      </c>
      <c r="N132" s="179">
        <v>100</v>
      </c>
    </row>
    <row r="133" spans="1:14" s="156" customFormat="1" x14ac:dyDescent="0.25">
      <c r="A133" s="156" t="s">
        <v>544</v>
      </c>
      <c r="B133" s="156" t="s">
        <v>154</v>
      </c>
      <c r="C133" s="156" t="s">
        <v>155</v>
      </c>
      <c r="D133" s="156" t="s">
        <v>541</v>
      </c>
      <c r="E133" s="179">
        <v>1200000</v>
      </c>
      <c r="F133" s="179">
        <v>1200000</v>
      </c>
      <c r="G133" s="179">
        <v>1017240</v>
      </c>
      <c r="H133" s="179">
        <v>0</v>
      </c>
      <c r="I133" s="179">
        <v>0</v>
      </c>
      <c r="J133" s="179">
        <v>0</v>
      </c>
      <c r="K133" s="179">
        <v>1017240</v>
      </c>
      <c r="L133" s="179">
        <v>1017240</v>
      </c>
      <c r="M133" s="179">
        <v>182760</v>
      </c>
      <c r="N133" s="179">
        <v>0</v>
      </c>
    </row>
    <row r="134" spans="1:14" s="156" customFormat="1" x14ac:dyDescent="0.25">
      <c r="A134" s="156" t="s">
        <v>544</v>
      </c>
      <c r="B134" s="156" t="s">
        <v>156</v>
      </c>
      <c r="C134" s="156" t="s">
        <v>157</v>
      </c>
      <c r="D134" s="156" t="s">
        <v>541</v>
      </c>
      <c r="E134" s="179">
        <v>1000000</v>
      </c>
      <c r="F134" s="179">
        <v>1000000</v>
      </c>
      <c r="G134" s="179">
        <v>350000</v>
      </c>
      <c r="H134" s="179">
        <v>0</v>
      </c>
      <c r="I134" s="179">
        <v>199900</v>
      </c>
      <c r="J134" s="179">
        <v>0</v>
      </c>
      <c r="K134" s="179">
        <v>150000</v>
      </c>
      <c r="L134" s="179">
        <v>100000</v>
      </c>
      <c r="M134" s="179">
        <v>650100</v>
      </c>
      <c r="N134" s="179">
        <v>100</v>
      </c>
    </row>
    <row r="135" spans="1:14" s="156" customFormat="1" x14ac:dyDescent="0.25">
      <c r="A135" s="156" t="s">
        <v>544</v>
      </c>
      <c r="B135" s="156" t="s">
        <v>158</v>
      </c>
      <c r="C135" s="156" t="s">
        <v>159</v>
      </c>
      <c r="D135" s="156" t="s">
        <v>541</v>
      </c>
      <c r="E135" s="179">
        <v>6813730</v>
      </c>
      <c r="F135" s="179">
        <v>7898620</v>
      </c>
      <c r="G135" s="179">
        <v>6775823</v>
      </c>
      <c r="H135" s="179">
        <v>129900</v>
      </c>
      <c r="I135" s="179">
        <v>2780220</v>
      </c>
      <c r="J135" s="179">
        <v>0</v>
      </c>
      <c r="K135" s="179">
        <v>2623670</v>
      </c>
      <c r="L135" s="179">
        <v>2604000</v>
      </c>
      <c r="M135" s="179">
        <v>2364830</v>
      </c>
      <c r="N135" s="179">
        <v>1242033</v>
      </c>
    </row>
    <row r="136" spans="1:14" s="156" customFormat="1" x14ac:dyDescent="0.25">
      <c r="A136" s="156" t="s">
        <v>544</v>
      </c>
      <c r="B136" s="156" t="s">
        <v>160</v>
      </c>
      <c r="C136" s="156" t="s">
        <v>161</v>
      </c>
      <c r="D136" s="156" t="s">
        <v>541</v>
      </c>
      <c r="E136" s="179">
        <v>250000</v>
      </c>
      <c r="F136" s="179">
        <v>484890</v>
      </c>
      <c r="G136" s="179">
        <v>484890</v>
      </c>
      <c r="H136" s="179">
        <v>0</v>
      </c>
      <c r="I136" s="179">
        <v>142070</v>
      </c>
      <c r="J136" s="179">
        <v>0</v>
      </c>
      <c r="K136" s="179">
        <v>143820</v>
      </c>
      <c r="L136" s="179">
        <v>140850</v>
      </c>
      <c r="M136" s="179">
        <v>199000</v>
      </c>
      <c r="N136" s="179">
        <v>199000</v>
      </c>
    </row>
    <row r="137" spans="1:14" s="156" customFormat="1" x14ac:dyDescent="0.25">
      <c r="A137" s="156" t="s">
        <v>544</v>
      </c>
      <c r="B137" s="156" t="s">
        <v>162</v>
      </c>
      <c r="C137" s="156" t="s">
        <v>163</v>
      </c>
      <c r="D137" s="156" t="s">
        <v>541</v>
      </c>
      <c r="E137" s="179">
        <v>6563730</v>
      </c>
      <c r="F137" s="179">
        <v>7413730</v>
      </c>
      <c r="G137" s="179">
        <v>6290933</v>
      </c>
      <c r="H137" s="179">
        <v>129900</v>
      </c>
      <c r="I137" s="179">
        <v>2638150</v>
      </c>
      <c r="J137" s="179">
        <v>0</v>
      </c>
      <c r="K137" s="179">
        <v>2479850</v>
      </c>
      <c r="L137" s="179">
        <v>2463150</v>
      </c>
      <c r="M137" s="179">
        <v>2165830</v>
      </c>
      <c r="N137" s="179">
        <v>1043033</v>
      </c>
    </row>
    <row r="138" spans="1:14" s="156" customFormat="1" x14ac:dyDescent="0.25">
      <c r="A138" s="156" t="s">
        <v>544</v>
      </c>
      <c r="B138" s="156" t="s">
        <v>168</v>
      </c>
      <c r="C138" s="156" t="s">
        <v>169</v>
      </c>
      <c r="D138" s="156" t="s">
        <v>541</v>
      </c>
      <c r="E138" s="179">
        <v>4277392</v>
      </c>
      <c r="F138" s="179">
        <v>4277392</v>
      </c>
      <c r="G138" s="179">
        <v>1890348</v>
      </c>
      <c r="H138" s="179">
        <v>0</v>
      </c>
      <c r="I138" s="179">
        <v>628854</v>
      </c>
      <c r="J138" s="179">
        <v>0</v>
      </c>
      <c r="K138" s="179">
        <v>1260694</v>
      </c>
      <c r="L138" s="179">
        <v>889548</v>
      </c>
      <c r="M138" s="179">
        <v>2387844</v>
      </c>
      <c r="N138" s="179">
        <v>800</v>
      </c>
    </row>
    <row r="139" spans="1:14" s="156" customFormat="1" x14ac:dyDescent="0.25">
      <c r="A139" s="156" t="s">
        <v>544</v>
      </c>
      <c r="B139" s="156" t="s">
        <v>170</v>
      </c>
      <c r="C139" s="156" t="s">
        <v>171</v>
      </c>
      <c r="D139" s="156" t="s">
        <v>541</v>
      </c>
      <c r="E139" s="179">
        <v>4277392</v>
      </c>
      <c r="F139" s="179">
        <v>4277392</v>
      </c>
      <c r="G139" s="179">
        <v>1890348</v>
      </c>
      <c r="H139" s="179">
        <v>0</v>
      </c>
      <c r="I139" s="179">
        <v>628854</v>
      </c>
      <c r="J139" s="179">
        <v>0</v>
      </c>
      <c r="K139" s="179">
        <v>1260694</v>
      </c>
      <c r="L139" s="179">
        <v>889548</v>
      </c>
      <c r="M139" s="179">
        <v>2387844</v>
      </c>
      <c r="N139" s="179">
        <v>800</v>
      </c>
    </row>
    <row r="140" spans="1:14" s="156" customFormat="1" x14ac:dyDescent="0.25">
      <c r="A140" s="156" t="s">
        <v>544</v>
      </c>
      <c r="B140" s="156" t="s">
        <v>172</v>
      </c>
      <c r="C140" s="156" t="s">
        <v>173</v>
      </c>
      <c r="D140" s="156" t="s">
        <v>541</v>
      </c>
      <c r="E140" s="179">
        <v>12267225</v>
      </c>
      <c r="F140" s="179">
        <v>12667225</v>
      </c>
      <c r="G140" s="179">
        <v>5495807</v>
      </c>
      <c r="H140" s="179">
        <v>0</v>
      </c>
      <c r="I140" s="179">
        <v>4196900</v>
      </c>
      <c r="J140" s="179">
        <v>0</v>
      </c>
      <c r="K140" s="179">
        <v>1298100</v>
      </c>
      <c r="L140" s="179">
        <v>557200</v>
      </c>
      <c r="M140" s="179">
        <v>7172225</v>
      </c>
      <c r="N140" s="179">
        <v>807</v>
      </c>
    </row>
    <row r="141" spans="1:14" s="156" customFormat="1" x14ac:dyDescent="0.25">
      <c r="A141" s="156" t="s">
        <v>544</v>
      </c>
      <c r="B141" s="156" t="s">
        <v>309</v>
      </c>
      <c r="C141" s="156" t="s">
        <v>310</v>
      </c>
      <c r="D141" s="156" t="s">
        <v>541</v>
      </c>
      <c r="E141" s="179">
        <v>12267225</v>
      </c>
      <c r="F141" s="179">
        <v>12667225</v>
      </c>
      <c r="G141" s="179">
        <v>5495807</v>
      </c>
      <c r="H141" s="179">
        <v>0</v>
      </c>
      <c r="I141" s="179">
        <v>4196900</v>
      </c>
      <c r="J141" s="179">
        <v>0</v>
      </c>
      <c r="K141" s="179">
        <v>1298100</v>
      </c>
      <c r="L141" s="179">
        <v>557200</v>
      </c>
      <c r="M141" s="179">
        <v>7172225</v>
      </c>
      <c r="N141" s="179">
        <v>807</v>
      </c>
    </row>
    <row r="142" spans="1:14" s="156" customFormat="1" x14ac:dyDescent="0.25">
      <c r="A142" s="156" t="s">
        <v>544</v>
      </c>
      <c r="B142" s="156" t="s">
        <v>178</v>
      </c>
      <c r="C142" s="156" t="s">
        <v>179</v>
      </c>
      <c r="D142" s="156" t="s">
        <v>541</v>
      </c>
      <c r="E142" s="179">
        <v>17894000</v>
      </c>
      <c r="F142" s="179">
        <v>17012000</v>
      </c>
      <c r="G142" s="179">
        <v>5185260</v>
      </c>
      <c r="H142" s="179">
        <v>0</v>
      </c>
      <c r="I142" s="179">
        <v>5173500</v>
      </c>
      <c r="J142" s="179">
        <v>0</v>
      </c>
      <c r="K142" s="179">
        <v>0</v>
      </c>
      <c r="L142" s="179">
        <v>0</v>
      </c>
      <c r="M142" s="179">
        <v>11838500</v>
      </c>
      <c r="N142" s="179">
        <v>11760</v>
      </c>
    </row>
    <row r="143" spans="1:14" s="156" customFormat="1" x14ac:dyDescent="0.25">
      <c r="A143" s="156" t="s">
        <v>544</v>
      </c>
      <c r="B143" s="156" t="s">
        <v>182</v>
      </c>
      <c r="C143" s="156" t="s">
        <v>183</v>
      </c>
      <c r="D143" s="156" t="s">
        <v>541</v>
      </c>
      <c r="E143" s="179">
        <v>7000000</v>
      </c>
      <c r="F143" s="179">
        <v>7000000</v>
      </c>
      <c r="G143" s="179">
        <v>2550000</v>
      </c>
      <c r="H143" s="179">
        <v>0</v>
      </c>
      <c r="I143" s="179">
        <v>2550000</v>
      </c>
      <c r="J143" s="179">
        <v>0</v>
      </c>
      <c r="K143" s="179">
        <v>0</v>
      </c>
      <c r="L143" s="179">
        <v>0</v>
      </c>
      <c r="M143" s="179">
        <v>4450000</v>
      </c>
      <c r="N143" s="179">
        <v>0</v>
      </c>
    </row>
    <row r="144" spans="1:14" s="156" customFormat="1" x14ac:dyDescent="0.25">
      <c r="A144" s="156" t="s">
        <v>544</v>
      </c>
      <c r="B144" s="156" t="s">
        <v>186</v>
      </c>
      <c r="C144" s="156" t="s">
        <v>187</v>
      </c>
      <c r="D144" s="156" t="s">
        <v>541</v>
      </c>
      <c r="E144" s="179">
        <v>3000000</v>
      </c>
      <c r="F144" s="179">
        <v>2968000</v>
      </c>
      <c r="G144" s="179">
        <v>760</v>
      </c>
      <c r="H144" s="179">
        <v>0</v>
      </c>
      <c r="I144" s="179">
        <v>0</v>
      </c>
      <c r="J144" s="179">
        <v>0</v>
      </c>
      <c r="K144" s="179">
        <v>0</v>
      </c>
      <c r="L144" s="179">
        <v>0</v>
      </c>
      <c r="M144" s="179">
        <v>2968000</v>
      </c>
      <c r="N144" s="179">
        <v>760</v>
      </c>
    </row>
    <row r="145" spans="1:14" s="156" customFormat="1" x14ac:dyDescent="0.25">
      <c r="A145" s="156" t="s">
        <v>544</v>
      </c>
      <c r="B145" s="156" t="s">
        <v>188</v>
      </c>
      <c r="C145" s="156" t="s">
        <v>189</v>
      </c>
      <c r="D145" s="156" t="s">
        <v>541</v>
      </c>
      <c r="E145" s="179">
        <v>4494000</v>
      </c>
      <c r="F145" s="179">
        <v>4494000</v>
      </c>
      <c r="G145" s="179">
        <v>2623500</v>
      </c>
      <c r="H145" s="179">
        <v>0</v>
      </c>
      <c r="I145" s="179">
        <v>2623500</v>
      </c>
      <c r="J145" s="179">
        <v>0</v>
      </c>
      <c r="K145" s="179">
        <v>0</v>
      </c>
      <c r="L145" s="179">
        <v>0</v>
      </c>
      <c r="M145" s="179">
        <v>1870500</v>
      </c>
      <c r="N145" s="179">
        <v>0</v>
      </c>
    </row>
    <row r="146" spans="1:14" s="156" customFormat="1" x14ac:dyDescent="0.25">
      <c r="A146" s="156" t="s">
        <v>544</v>
      </c>
      <c r="B146" s="156" t="s">
        <v>190</v>
      </c>
      <c r="C146" s="156" t="s">
        <v>191</v>
      </c>
      <c r="D146" s="156" t="s">
        <v>541</v>
      </c>
      <c r="E146" s="179">
        <v>3400000</v>
      </c>
      <c r="F146" s="179">
        <v>2550000</v>
      </c>
      <c r="G146" s="179">
        <v>11000</v>
      </c>
      <c r="H146" s="179">
        <v>0</v>
      </c>
      <c r="I146" s="179">
        <v>0</v>
      </c>
      <c r="J146" s="179">
        <v>0</v>
      </c>
      <c r="K146" s="179">
        <v>0</v>
      </c>
      <c r="L146" s="179">
        <v>0</v>
      </c>
      <c r="M146" s="179">
        <v>2550000</v>
      </c>
      <c r="N146" s="179">
        <v>11000</v>
      </c>
    </row>
    <row r="147" spans="1:14" s="156" customFormat="1" x14ac:dyDescent="0.25">
      <c r="A147" s="156" t="s">
        <v>544</v>
      </c>
      <c r="B147" s="156" t="s">
        <v>192</v>
      </c>
      <c r="C147" s="156" t="s">
        <v>193</v>
      </c>
      <c r="D147" s="156" t="s">
        <v>541</v>
      </c>
      <c r="E147" s="179">
        <v>466000</v>
      </c>
      <c r="F147" s="179">
        <v>399000</v>
      </c>
      <c r="G147" s="179">
        <v>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349000</v>
      </c>
      <c r="N147" s="179">
        <v>0</v>
      </c>
    </row>
    <row r="148" spans="1:14" s="156" customFormat="1" x14ac:dyDescent="0.25">
      <c r="A148" s="156" t="s">
        <v>544</v>
      </c>
      <c r="B148" s="156" t="s">
        <v>194</v>
      </c>
      <c r="C148" s="156" t="s">
        <v>195</v>
      </c>
      <c r="D148" s="156" t="s">
        <v>541</v>
      </c>
      <c r="E148" s="179">
        <v>466000</v>
      </c>
      <c r="F148" s="179">
        <v>399000</v>
      </c>
      <c r="G148" s="179">
        <v>50000</v>
      </c>
      <c r="H148" s="179">
        <v>0</v>
      </c>
      <c r="I148" s="179">
        <v>50000</v>
      </c>
      <c r="J148" s="179">
        <v>0</v>
      </c>
      <c r="K148" s="179">
        <v>0</v>
      </c>
      <c r="L148" s="179">
        <v>0</v>
      </c>
      <c r="M148" s="179">
        <v>349000</v>
      </c>
      <c r="N148" s="179">
        <v>0</v>
      </c>
    </row>
    <row r="149" spans="1:14" s="156" customFormat="1" x14ac:dyDescent="0.25">
      <c r="A149" s="156" t="s">
        <v>544</v>
      </c>
      <c r="B149" s="156" t="s">
        <v>196</v>
      </c>
      <c r="C149" s="156" t="s">
        <v>197</v>
      </c>
      <c r="D149" s="156" t="s">
        <v>541</v>
      </c>
      <c r="E149" s="179">
        <v>1800000</v>
      </c>
      <c r="F149" s="179">
        <v>1400000</v>
      </c>
      <c r="G149" s="179">
        <v>609999.85</v>
      </c>
      <c r="H149" s="179">
        <v>0</v>
      </c>
      <c r="I149" s="179">
        <v>600000</v>
      </c>
      <c r="J149" s="179">
        <v>0</v>
      </c>
      <c r="K149" s="179">
        <v>0</v>
      </c>
      <c r="L149" s="179">
        <v>0</v>
      </c>
      <c r="M149" s="179">
        <v>800000</v>
      </c>
      <c r="N149" s="179">
        <v>9999.85</v>
      </c>
    </row>
    <row r="150" spans="1:14" s="156" customFormat="1" x14ac:dyDescent="0.25">
      <c r="A150" s="156" t="s">
        <v>544</v>
      </c>
      <c r="B150" s="156" t="s">
        <v>198</v>
      </c>
      <c r="C150" s="156" t="s">
        <v>199</v>
      </c>
      <c r="D150" s="156" t="s">
        <v>541</v>
      </c>
      <c r="E150" s="179">
        <v>1800000</v>
      </c>
      <c r="F150" s="179">
        <v>1400000</v>
      </c>
      <c r="G150" s="179">
        <v>609999.85</v>
      </c>
      <c r="H150" s="179">
        <v>0</v>
      </c>
      <c r="I150" s="179">
        <v>600000</v>
      </c>
      <c r="J150" s="179">
        <v>0</v>
      </c>
      <c r="K150" s="179">
        <v>0</v>
      </c>
      <c r="L150" s="179">
        <v>0</v>
      </c>
      <c r="M150" s="179">
        <v>800000</v>
      </c>
      <c r="N150" s="179">
        <v>9999.85</v>
      </c>
    </row>
    <row r="151" spans="1:14" s="156" customFormat="1" x14ac:dyDescent="0.25">
      <c r="A151" s="156" t="s">
        <v>544</v>
      </c>
      <c r="B151" s="156" t="s">
        <v>200</v>
      </c>
      <c r="C151" s="156" t="s">
        <v>201</v>
      </c>
      <c r="D151" s="156" t="s">
        <v>541</v>
      </c>
      <c r="E151" s="179">
        <v>57954839</v>
      </c>
      <c r="F151" s="179">
        <v>57954839</v>
      </c>
      <c r="G151" s="179">
        <v>21568582</v>
      </c>
      <c r="H151" s="179">
        <v>0</v>
      </c>
      <c r="I151" s="179">
        <v>4921376.62</v>
      </c>
      <c r="J151" s="179">
        <v>659414.19999999995</v>
      </c>
      <c r="K151" s="179">
        <v>7273539.5999999996</v>
      </c>
      <c r="L151" s="179">
        <v>4084763.83</v>
      </c>
      <c r="M151" s="179">
        <v>45100508.579999998</v>
      </c>
      <c r="N151" s="179">
        <v>8714251.5800000001</v>
      </c>
    </row>
    <row r="152" spans="1:14" s="156" customFormat="1" x14ac:dyDescent="0.25">
      <c r="A152" s="156" t="s">
        <v>544</v>
      </c>
      <c r="B152" s="156" t="s">
        <v>202</v>
      </c>
      <c r="C152" s="156" t="s">
        <v>203</v>
      </c>
      <c r="D152" s="156" t="s">
        <v>541</v>
      </c>
      <c r="E152" s="179">
        <v>17854839</v>
      </c>
      <c r="F152" s="179">
        <v>17803839</v>
      </c>
      <c r="G152" s="179">
        <v>5404210</v>
      </c>
      <c r="H152" s="179">
        <v>0</v>
      </c>
      <c r="I152" s="179">
        <v>2716550</v>
      </c>
      <c r="J152" s="179">
        <v>0</v>
      </c>
      <c r="K152" s="179">
        <v>1064265</v>
      </c>
      <c r="L152" s="179">
        <v>1064265</v>
      </c>
      <c r="M152" s="179">
        <v>14023024</v>
      </c>
      <c r="N152" s="179">
        <v>1623395</v>
      </c>
    </row>
    <row r="153" spans="1:14" s="156" customFormat="1" x14ac:dyDescent="0.25">
      <c r="A153" s="156" t="s">
        <v>544</v>
      </c>
      <c r="B153" s="156" t="s">
        <v>204</v>
      </c>
      <c r="C153" s="156" t="s">
        <v>205</v>
      </c>
      <c r="D153" s="156" t="s">
        <v>541</v>
      </c>
      <c r="E153" s="179">
        <v>9354839</v>
      </c>
      <c r="F153" s="179">
        <v>9354839</v>
      </c>
      <c r="G153" s="179">
        <v>2279210</v>
      </c>
      <c r="H153" s="179">
        <v>0</v>
      </c>
      <c r="I153" s="179">
        <v>1214940</v>
      </c>
      <c r="J153" s="179">
        <v>0</v>
      </c>
      <c r="K153" s="179">
        <v>1064265</v>
      </c>
      <c r="L153" s="179">
        <v>1064265</v>
      </c>
      <c r="M153" s="179">
        <v>7075634</v>
      </c>
      <c r="N153" s="179">
        <v>5</v>
      </c>
    </row>
    <row r="154" spans="1:14" s="156" customFormat="1" x14ac:dyDescent="0.25">
      <c r="A154" s="156" t="s">
        <v>544</v>
      </c>
      <c r="B154" s="156" t="s">
        <v>208</v>
      </c>
      <c r="C154" s="156" t="s">
        <v>209</v>
      </c>
      <c r="D154" s="156" t="s">
        <v>541</v>
      </c>
      <c r="E154" s="179">
        <v>8500000</v>
      </c>
      <c r="F154" s="179">
        <v>8449000</v>
      </c>
      <c r="G154" s="179">
        <v>3125000</v>
      </c>
      <c r="H154" s="179">
        <v>0</v>
      </c>
      <c r="I154" s="179">
        <v>1501610</v>
      </c>
      <c r="J154" s="179">
        <v>0</v>
      </c>
      <c r="K154" s="179">
        <v>0</v>
      </c>
      <c r="L154" s="179">
        <v>0</v>
      </c>
      <c r="M154" s="179">
        <v>6947390</v>
      </c>
      <c r="N154" s="179">
        <v>1623390</v>
      </c>
    </row>
    <row r="155" spans="1:14" s="156" customFormat="1" x14ac:dyDescent="0.25">
      <c r="A155" s="156" t="s">
        <v>544</v>
      </c>
      <c r="B155" s="156" t="s">
        <v>212</v>
      </c>
      <c r="C155" s="156" t="s">
        <v>213</v>
      </c>
      <c r="D155" s="156" t="s">
        <v>541</v>
      </c>
      <c r="E155" s="179">
        <v>2460000</v>
      </c>
      <c r="F155" s="179">
        <v>4211000</v>
      </c>
      <c r="G155" s="179">
        <v>3581000</v>
      </c>
      <c r="H155" s="179">
        <v>0</v>
      </c>
      <c r="I155" s="179">
        <v>578218.69999999995</v>
      </c>
      <c r="J155" s="179">
        <v>0</v>
      </c>
      <c r="K155" s="179">
        <v>353217</v>
      </c>
      <c r="L155" s="179">
        <v>353217</v>
      </c>
      <c r="M155" s="179">
        <v>3279564.3</v>
      </c>
      <c r="N155" s="179">
        <v>2649564.2999999998</v>
      </c>
    </row>
    <row r="156" spans="1:14" s="156" customFormat="1" x14ac:dyDescent="0.25">
      <c r="A156" s="156" t="s">
        <v>544</v>
      </c>
      <c r="B156" s="156" t="s">
        <v>214</v>
      </c>
      <c r="C156" s="156" t="s">
        <v>215</v>
      </c>
      <c r="D156" s="156" t="s">
        <v>541</v>
      </c>
      <c r="E156" s="179">
        <v>2460000</v>
      </c>
      <c r="F156" s="179">
        <v>4211000</v>
      </c>
      <c r="G156" s="179">
        <v>3581000</v>
      </c>
      <c r="H156" s="179">
        <v>0</v>
      </c>
      <c r="I156" s="179">
        <v>578218.69999999995</v>
      </c>
      <c r="J156" s="179">
        <v>0</v>
      </c>
      <c r="K156" s="179">
        <v>353217</v>
      </c>
      <c r="L156" s="179">
        <v>353217</v>
      </c>
      <c r="M156" s="179">
        <v>3279564.3</v>
      </c>
      <c r="N156" s="179">
        <v>2649564.2999999998</v>
      </c>
    </row>
    <row r="157" spans="1:14" s="156" customFormat="1" x14ac:dyDescent="0.25">
      <c r="A157" s="156" t="s">
        <v>544</v>
      </c>
      <c r="B157" s="156" t="s">
        <v>216</v>
      </c>
      <c r="C157" s="156" t="s">
        <v>217</v>
      </c>
      <c r="D157" s="156" t="s">
        <v>541</v>
      </c>
      <c r="E157" s="179">
        <v>2000000</v>
      </c>
      <c r="F157" s="179">
        <v>1950000</v>
      </c>
      <c r="G157" s="179">
        <v>1438000</v>
      </c>
      <c r="H157" s="179">
        <v>0</v>
      </c>
      <c r="I157" s="179">
        <v>374132.35</v>
      </c>
      <c r="J157" s="179">
        <v>0</v>
      </c>
      <c r="K157" s="179">
        <v>373368.18</v>
      </c>
      <c r="L157" s="179">
        <v>373368.18</v>
      </c>
      <c r="M157" s="179">
        <v>1202499.47</v>
      </c>
      <c r="N157" s="179">
        <v>690499.47</v>
      </c>
    </row>
    <row r="158" spans="1:14" s="156" customFormat="1" x14ac:dyDescent="0.25">
      <c r="A158" s="156" t="s">
        <v>544</v>
      </c>
      <c r="B158" s="156" t="s">
        <v>220</v>
      </c>
      <c r="C158" s="156" t="s">
        <v>221</v>
      </c>
      <c r="D158" s="156" t="s">
        <v>541</v>
      </c>
      <c r="E158" s="179">
        <v>2000000</v>
      </c>
      <c r="F158" s="179">
        <v>1950000</v>
      </c>
      <c r="G158" s="179">
        <v>1438000</v>
      </c>
      <c r="H158" s="179">
        <v>0</v>
      </c>
      <c r="I158" s="179">
        <v>374132.35</v>
      </c>
      <c r="J158" s="179">
        <v>0</v>
      </c>
      <c r="K158" s="179">
        <v>373368.18</v>
      </c>
      <c r="L158" s="179">
        <v>373368.18</v>
      </c>
      <c r="M158" s="179">
        <v>1202499.47</v>
      </c>
      <c r="N158" s="179">
        <v>690499.47</v>
      </c>
    </row>
    <row r="159" spans="1:14" s="156" customFormat="1" x14ac:dyDescent="0.25">
      <c r="A159" s="156" t="s">
        <v>544</v>
      </c>
      <c r="B159" s="156" t="s">
        <v>228</v>
      </c>
      <c r="C159" s="156" t="s">
        <v>229</v>
      </c>
      <c r="D159" s="156" t="s">
        <v>541</v>
      </c>
      <c r="E159" s="179">
        <v>6710000</v>
      </c>
      <c r="F159" s="179">
        <v>5060000</v>
      </c>
      <c r="G159" s="179">
        <v>0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5060000</v>
      </c>
      <c r="N159" s="179">
        <v>0</v>
      </c>
    </row>
    <row r="160" spans="1:14" s="156" customFormat="1" x14ac:dyDescent="0.25">
      <c r="A160" s="156" t="s">
        <v>544</v>
      </c>
      <c r="B160" s="156" t="s">
        <v>230</v>
      </c>
      <c r="C160" s="156" t="s">
        <v>231</v>
      </c>
      <c r="D160" s="156" t="s">
        <v>541</v>
      </c>
      <c r="E160" s="179">
        <v>3710000</v>
      </c>
      <c r="F160" s="179">
        <v>2810000</v>
      </c>
      <c r="G160" s="179">
        <v>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2810000</v>
      </c>
      <c r="N160" s="179">
        <v>0</v>
      </c>
    </row>
    <row r="161" spans="1:14" s="156" customFormat="1" x14ac:dyDescent="0.25">
      <c r="A161" s="156" t="s">
        <v>544</v>
      </c>
      <c r="B161" s="156" t="s">
        <v>232</v>
      </c>
      <c r="C161" s="156" t="s">
        <v>233</v>
      </c>
      <c r="D161" s="156" t="s">
        <v>541</v>
      </c>
      <c r="E161" s="179">
        <v>3000000</v>
      </c>
      <c r="F161" s="179">
        <v>2250000</v>
      </c>
      <c r="G161" s="179">
        <v>0</v>
      </c>
      <c r="H161" s="179">
        <v>0</v>
      </c>
      <c r="I161" s="179">
        <v>0</v>
      </c>
      <c r="J161" s="179">
        <v>0</v>
      </c>
      <c r="K161" s="179">
        <v>0</v>
      </c>
      <c r="L161" s="179">
        <v>0</v>
      </c>
      <c r="M161" s="179">
        <v>2250000</v>
      </c>
      <c r="N161" s="179">
        <v>0</v>
      </c>
    </row>
    <row r="162" spans="1:14" s="156" customFormat="1" x14ac:dyDescent="0.25">
      <c r="A162" s="156" t="s">
        <v>544</v>
      </c>
      <c r="B162" s="156" t="s">
        <v>234</v>
      </c>
      <c r="C162" s="156" t="s">
        <v>601</v>
      </c>
      <c r="D162" s="156" t="s">
        <v>541</v>
      </c>
      <c r="E162" s="179">
        <v>28930000</v>
      </c>
      <c r="F162" s="179">
        <v>28930000</v>
      </c>
      <c r="G162" s="179">
        <v>11145372</v>
      </c>
      <c r="H162" s="179">
        <v>0</v>
      </c>
      <c r="I162" s="179">
        <v>1252475.57</v>
      </c>
      <c r="J162" s="179">
        <v>659414.19999999995</v>
      </c>
      <c r="K162" s="179">
        <v>5482689.4199999999</v>
      </c>
      <c r="L162" s="179">
        <v>2293913.65</v>
      </c>
      <c r="M162" s="179">
        <v>21535420.809999999</v>
      </c>
      <c r="N162" s="179">
        <v>3750792.81</v>
      </c>
    </row>
    <row r="163" spans="1:14" s="156" customFormat="1" x14ac:dyDescent="0.25">
      <c r="A163" s="156" t="s">
        <v>544</v>
      </c>
      <c r="B163" s="156" t="s">
        <v>235</v>
      </c>
      <c r="C163" s="156" t="s">
        <v>236</v>
      </c>
      <c r="D163" s="156" t="s">
        <v>541</v>
      </c>
      <c r="E163" s="179">
        <v>8000000</v>
      </c>
      <c r="F163" s="179">
        <v>8000000</v>
      </c>
      <c r="G163" s="179">
        <v>3000000</v>
      </c>
      <c r="H163" s="179">
        <v>0</v>
      </c>
      <c r="I163" s="179">
        <v>372158.57</v>
      </c>
      <c r="J163" s="179">
        <v>0</v>
      </c>
      <c r="K163" s="179">
        <v>1591410.77</v>
      </c>
      <c r="L163" s="179">
        <v>759565</v>
      </c>
      <c r="M163" s="179">
        <v>6036430.6600000001</v>
      </c>
      <c r="N163" s="179">
        <v>1036430.66</v>
      </c>
    </row>
    <row r="164" spans="1:14" s="156" customFormat="1" x14ac:dyDescent="0.25">
      <c r="A164" s="156" t="s">
        <v>544</v>
      </c>
      <c r="B164" s="156" t="s">
        <v>239</v>
      </c>
      <c r="C164" s="156" t="s">
        <v>240</v>
      </c>
      <c r="D164" s="156" t="s">
        <v>541</v>
      </c>
      <c r="E164" s="179">
        <v>8000000</v>
      </c>
      <c r="F164" s="179">
        <v>8000000</v>
      </c>
      <c r="G164" s="179">
        <v>2800000</v>
      </c>
      <c r="H164" s="179">
        <v>0</v>
      </c>
      <c r="I164" s="179">
        <v>295000</v>
      </c>
      <c r="J164" s="179">
        <v>102498</v>
      </c>
      <c r="K164" s="179">
        <v>1859418.65</v>
      </c>
      <c r="L164" s="179">
        <v>1534348.65</v>
      </c>
      <c r="M164" s="179">
        <v>5743083.3499999996</v>
      </c>
      <c r="N164" s="179">
        <v>543083.35</v>
      </c>
    </row>
    <row r="165" spans="1:14" s="156" customFormat="1" x14ac:dyDescent="0.25">
      <c r="A165" s="156" t="s">
        <v>544</v>
      </c>
      <c r="B165" s="156" t="s">
        <v>243</v>
      </c>
      <c r="C165" s="156" t="s">
        <v>244</v>
      </c>
      <c r="D165" s="156" t="s">
        <v>541</v>
      </c>
      <c r="E165" s="179">
        <v>4930000</v>
      </c>
      <c r="F165" s="179">
        <v>4930000</v>
      </c>
      <c r="G165" s="179">
        <v>1764372</v>
      </c>
      <c r="H165" s="179">
        <v>0</v>
      </c>
      <c r="I165" s="179">
        <v>585317</v>
      </c>
      <c r="J165" s="179">
        <v>234566.2</v>
      </c>
      <c r="K165" s="179">
        <v>370460</v>
      </c>
      <c r="L165" s="179">
        <v>0</v>
      </c>
      <c r="M165" s="179">
        <v>3739656.8</v>
      </c>
      <c r="N165" s="179">
        <v>574028.80000000005</v>
      </c>
    </row>
    <row r="166" spans="1:14" s="156" customFormat="1" x14ac:dyDescent="0.25">
      <c r="A166" s="156" t="s">
        <v>544</v>
      </c>
      <c r="B166" s="156" t="s">
        <v>249</v>
      </c>
      <c r="C166" s="156" t="s">
        <v>250</v>
      </c>
      <c r="D166" s="156" t="s">
        <v>541</v>
      </c>
      <c r="E166" s="179">
        <v>8000000</v>
      </c>
      <c r="F166" s="179">
        <v>8000000</v>
      </c>
      <c r="G166" s="179">
        <v>3581000</v>
      </c>
      <c r="H166" s="179">
        <v>0</v>
      </c>
      <c r="I166" s="179">
        <v>0</v>
      </c>
      <c r="J166" s="179">
        <v>322350</v>
      </c>
      <c r="K166" s="179">
        <v>1661400</v>
      </c>
      <c r="L166" s="179">
        <v>0</v>
      </c>
      <c r="M166" s="179">
        <v>6016250</v>
      </c>
      <c r="N166" s="179">
        <v>1597250</v>
      </c>
    </row>
    <row r="167" spans="1:14" s="156" customFormat="1" x14ac:dyDescent="0.25">
      <c r="A167" s="156" t="s">
        <v>544</v>
      </c>
      <c r="B167" s="156" t="s">
        <v>251</v>
      </c>
      <c r="C167" s="156" t="s">
        <v>252</v>
      </c>
      <c r="D167" s="156" t="s">
        <v>541</v>
      </c>
      <c r="E167" s="179">
        <v>43960000</v>
      </c>
      <c r="F167" s="179">
        <v>43960000</v>
      </c>
      <c r="G167" s="179">
        <v>37960000</v>
      </c>
      <c r="H167" s="179">
        <v>0</v>
      </c>
      <c r="I167" s="179">
        <v>7191777.3499999996</v>
      </c>
      <c r="J167" s="179">
        <v>0</v>
      </c>
      <c r="K167" s="179">
        <v>24199107.649999999</v>
      </c>
      <c r="L167" s="179">
        <v>24199107.649999999</v>
      </c>
      <c r="M167" s="179">
        <v>12569115</v>
      </c>
      <c r="N167" s="179">
        <v>6569115</v>
      </c>
    </row>
    <row r="168" spans="1:14" s="156" customFormat="1" x14ac:dyDescent="0.25">
      <c r="A168" s="156" t="s">
        <v>544</v>
      </c>
      <c r="B168" s="156" t="s">
        <v>253</v>
      </c>
      <c r="C168" s="156" t="s">
        <v>254</v>
      </c>
      <c r="D168" s="156" t="s">
        <v>541</v>
      </c>
      <c r="E168" s="179">
        <v>11142000</v>
      </c>
      <c r="F168" s="179">
        <v>11142000</v>
      </c>
      <c r="G168" s="179">
        <v>11142000</v>
      </c>
      <c r="H168" s="179">
        <v>0</v>
      </c>
      <c r="I168" s="179">
        <v>6925645</v>
      </c>
      <c r="J168" s="179">
        <v>0</v>
      </c>
      <c r="K168" s="179">
        <v>4216355</v>
      </c>
      <c r="L168" s="179">
        <v>4216355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311</v>
      </c>
      <c r="C169" s="156" t="s">
        <v>602</v>
      </c>
      <c r="D169" s="156" t="s">
        <v>541</v>
      </c>
      <c r="E169" s="179">
        <v>9273000</v>
      </c>
      <c r="F169" s="179">
        <v>9273000</v>
      </c>
      <c r="G169" s="179">
        <v>9273000</v>
      </c>
      <c r="H169" s="179">
        <v>0</v>
      </c>
      <c r="I169" s="179">
        <v>5764086</v>
      </c>
      <c r="J169" s="179">
        <v>0</v>
      </c>
      <c r="K169" s="179">
        <v>3508914</v>
      </c>
      <c r="L169" s="179">
        <v>3508914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312</v>
      </c>
      <c r="C170" s="156" t="s">
        <v>603</v>
      </c>
      <c r="D170" s="156" t="s">
        <v>541</v>
      </c>
      <c r="E170" s="179">
        <v>1869000</v>
      </c>
      <c r="F170" s="179">
        <v>1869000</v>
      </c>
      <c r="G170" s="179">
        <v>1869000</v>
      </c>
      <c r="H170" s="179">
        <v>0</v>
      </c>
      <c r="I170" s="179">
        <v>1161559</v>
      </c>
      <c r="J170" s="179">
        <v>0</v>
      </c>
      <c r="K170" s="179">
        <v>707441</v>
      </c>
      <c r="L170" s="179">
        <v>707441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261</v>
      </c>
      <c r="C171" s="156" t="s">
        <v>262</v>
      </c>
      <c r="D171" s="156" t="s">
        <v>541</v>
      </c>
      <c r="E171" s="179">
        <v>24818000</v>
      </c>
      <c r="F171" s="179">
        <v>26818000</v>
      </c>
      <c r="G171" s="179">
        <v>26818000</v>
      </c>
      <c r="H171" s="179">
        <v>0</v>
      </c>
      <c r="I171" s="179">
        <v>266132.34999999998</v>
      </c>
      <c r="J171" s="179">
        <v>0</v>
      </c>
      <c r="K171" s="179">
        <v>19982752.649999999</v>
      </c>
      <c r="L171" s="179">
        <v>19982752.649999999</v>
      </c>
      <c r="M171" s="179">
        <v>6569115</v>
      </c>
      <c r="N171" s="179">
        <v>6569115</v>
      </c>
    </row>
    <row r="172" spans="1:14" s="156" customFormat="1" x14ac:dyDescent="0.25">
      <c r="A172" s="156" t="s">
        <v>544</v>
      </c>
      <c r="B172" s="156" t="s">
        <v>263</v>
      </c>
      <c r="C172" s="156" t="s">
        <v>264</v>
      </c>
      <c r="D172" s="156" t="s">
        <v>541</v>
      </c>
      <c r="E172" s="179">
        <v>17000000</v>
      </c>
      <c r="F172" s="179">
        <v>19000000</v>
      </c>
      <c r="G172" s="179">
        <v>19000000</v>
      </c>
      <c r="H172" s="179">
        <v>0</v>
      </c>
      <c r="I172" s="179">
        <v>266132.34999999998</v>
      </c>
      <c r="J172" s="179">
        <v>0</v>
      </c>
      <c r="K172" s="179">
        <v>16833867.649999999</v>
      </c>
      <c r="L172" s="179">
        <v>16833867.649999999</v>
      </c>
      <c r="M172" s="179">
        <v>1900000</v>
      </c>
      <c r="N172" s="179">
        <v>1900000</v>
      </c>
    </row>
    <row r="173" spans="1:14" s="156" customFormat="1" x14ac:dyDescent="0.25">
      <c r="A173" s="156" t="s">
        <v>544</v>
      </c>
      <c r="B173" s="156" t="s">
        <v>265</v>
      </c>
      <c r="C173" s="156" t="s">
        <v>266</v>
      </c>
      <c r="D173" s="156" t="s">
        <v>541</v>
      </c>
      <c r="E173" s="179">
        <v>7818000</v>
      </c>
      <c r="F173" s="179">
        <v>7818000</v>
      </c>
      <c r="G173" s="179">
        <v>7818000</v>
      </c>
      <c r="H173" s="179">
        <v>0</v>
      </c>
      <c r="I173" s="179">
        <v>0</v>
      </c>
      <c r="J173" s="179">
        <v>0</v>
      </c>
      <c r="K173" s="179">
        <v>3148885</v>
      </c>
      <c r="L173" s="179">
        <v>3148885</v>
      </c>
      <c r="M173" s="179">
        <v>4669115</v>
      </c>
      <c r="N173" s="179">
        <v>4669115</v>
      </c>
    </row>
    <row r="174" spans="1:14" s="156" customFormat="1" x14ac:dyDescent="0.25">
      <c r="A174" s="156" t="s">
        <v>544</v>
      </c>
      <c r="B174" s="156" t="s">
        <v>267</v>
      </c>
      <c r="C174" s="156" t="s">
        <v>268</v>
      </c>
      <c r="D174" s="156" t="s">
        <v>541</v>
      </c>
      <c r="E174" s="179">
        <v>8000000</v>
      </c>
      <c r="F174" s="179">
        <v>6000000</v>
      </c>
      <c r="G174" s="179">
        <v>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6000000</v>
      </c>
      <c r="N174" s="179">
        <v>0</v>
      </c>
    </row>
    <row r="175" spans="1:14" s="156" customFormat="1" x14ac:dyDescent="0.25">
      <c r="A175" s="156" t="s">
        <v>544</v>
      </c>
      <c r="B175" s="156" t="s">
        <v>269</v>
      </c>
      <c r="C175" s="156" t="s">
        <v>270</v>
      </c>
      <c r="D175" s="156" t="s">
        <v>541</v>
      </c>
      <c r="E175" s="179">
        <v>8000000</v>
      </c>
      <c r="F175" s="179">
        <v>6000000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6000000</v>
      </c>
      <c r="N175" s="179">
        <v>0</v>
      </c>
    </row>
    <row r="176" spans="1:14" s="156" customFormat="1" x14ac:dyDescent="0.25">
      <c r="A176" s="156" t="s">
        <v>544</v>
      </c>
      <c r="B176" s="156" t="s">
        <v>279</v>
      </c>
      <c r="C176" s="156" t="s">
        <v>280</v>
      </c>
      <c r="D176" s="156" t="s">
        <v>543</v>
      </c>
      <c r="E176" s="179">
        <v>29500000</v>
      </c>
      <c r="F176" s="179">
        <v>29500000</v>
      </c>
      <c r="G176" s="179">
        <v>13814000</v>
      </c>
      <c r="H176" s="179">
        <v>0</v>
      </c>
      <c r="I176" s="179">
        <v>0</v>
      </c>
      <c r="J176" s="179">
        <v>0</v>
      </c>
      <c r="K176" s="179">
        <v>5647191</v>
      </c>
      <c r="L176" s="179">
        <v>5280071</v>
      </c>
      <c r="M176" s="179">
        <v>23852809</v>
      </c>
      <c r="N176" s="179">
        <v>8166809</v>
      </c>
    </row>
    <row r="177" spans="1:14" s="156" customFormat="1" x14ac:dyDescent="0.25">
      <c r="A177" s="156" t="s">
        <v>544</v>
      </c>
      <c r="B177" s="156" t="s">
        <v>281</v>
      </c>
      <c r="C177" s="156" t="s">
        <v>282</v>
      </c>
      <c r="D177" s="156" t="s">
        <v>543</v>
      </c>
      <c r="E177" s="179">
        <v>29500000</v>
      </c>
      <c r="F177" s="179">
        <v>29500000</v>
      </c>
      <c r="G177" s="179">
        <v>13814000</v>
      </c>
      <c r="H177" s="179">
        <v>0</v>
      </c>
      <c r="I177" s="179">
        <v>0</v>
      </c>
      <c r="J177" s="179">
        <v>0</v>
      </c>
      <c r="K177" s="179">
        <v>5647191</v>
      </c>
      <c r="L177" s="179">
        <v>5280071</v>
      </c>
      <c r="M177" s="179">
        <v>23852809</v>
      </c>
      <c r="N177" s="179">
        <v>8166809</v>
      </c>
    </row>
    <row r="178" spans="1:14" s="156" customFormat="1" x14ac:dyDescent="0.25">
      <c r="A178" s="156" t="s">
        <v>544</v>
      </c>
      <c r="B178" s="156" t="s">
        <v>285</v>
      </c>
      <c r="C178" s="156" t="s">
        <v>286</v>
      </c>
      <c r="D178" s="156" t="s">
        <v>543</v>
      </c>
      <c r="E178" s="179">
        <v>4700000</v>
      </c>
      <c r="F178" s="179">
        <v>5950000</v>
      </c>
      <c r="G178" s="179">
        <v>4425000</v>
      </c>
      <c r="H178" s="179">
        <v>0</v>
      </c>
      <c r="I178" s="179">
        <v>0</v>
      </c>
      <c r="J178" s="179">
        <v>0</v>
      </c>
      <c r="K178" s="179">
        <v>777120</v>
      </c>
      <c r="L178" s="179">
        <v>410000</v>
      </c>
      <c r="M178" s="179">
        <v>5172880</v>
      </c>
      <c r="N178" s="179">
        <v>3647880</v>
      </c>
    </row>
    <row r="179" spans="1:14" s="156" customFormat="1" x14ac:dyDescent="0.25">
      <c r="A179" s="156" t="s">
        <v>544</v>
      </c>
      <c r="B179" s="156" t="s">
        <v>287</v>
      </c>
      <c r="C179" s="156" t="s">
        <v>288</v>
      </c>
      <c r="D179" s="156" t="s">
        <v>543</v>
      </c>
      <c r="E179" s="179">
        <v>3800000</v>
      </c>
      <c r="F179" s="179">
        <v>3800000</v>
      </c>
      <c r="G179" s="179">
        <v>914000</v>
      </c>
      <c r="H179" s="179">
        <v>0</v>
      </c>
      <c r="I179" s="179">
        <v>0</v>
      </c>
      <c r="J179" s="179">
        <v>0</v>
      </c>
      <c r="K179" s="179">
        <v>913570</v>
      </c>
      <c r="L179" s="179">
        <v>913570</v>
      </c>
      <c r="M179" s="179">
        <v>2886430</v>
      </c>
      <c r="N179" s="179">
        <v>430</v>
      </c>
    </row>
    <row r="180" spans="1:14" s="156" customFormat="1" x14ac:dyDescent="0.25">
      <c r="A180" s="156" t="s">
        <v>544</v>
      </c>
      <c r="B180" s="156" t="s">
        <v>289</v>
      </c>
      <c r="C180" s="156" t="s">
        <v>290</v>
      </c>
      <c r="D180" s="156" t="s">
        <v>543</v>
      </c>
      <c r="E180" s="179">
        <v>1000000</v>
      </c>
      <c r="F180" s="179">
        <v>750000</v>
      </c>
      <c r="G180" s="179">
        <v>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750000</v>
      </c>
      <c r="N180" s="179">
        <v>0</v>
      </c>
    </row>
    <row r="181" spans="1:14" s="156" customFormat="1" x14ac:dyDescent="0.25">
      <c r="A181" s="156" t="s">
        <v>544</v>
      </c>
      <c r="B181" s="156" t="s">
        <v>293</v>
      </c>
      <c r="C181" s="156" t="s">
        <v>294</v>
      </c>
      <c r="D181" s="156" t="s">
        <v>543</v>
      </c>
      <c r="E181" s="179">
        <v>16000000</v>
      </c>
      <c r="F181" s="179">
        <v>16000000</v>
      </c>
      <c r="G181" s="179">
        <v>8000000</v>
      </c>
      <c r="H181" s="179">
        <v>0</v>
      </c>
      <c r="I181" s="179">
        <v>0</v>
      </c>
      <c r="J181" s="179">
        <v>0</v>
      </c>
      <c r="K181" s="179">
        <v>3956501</v>
      </c>
      <c r="L181" s="179">
        <v>3956501</v>
      </c>
      <c r="M181" s="179">
        <v>12043499</v>
      </c>
      <c r="N181" s="179">
        <v>4043499</v>
      </c>
    </row>
    <row r="182" spans="1:14" s="156" customFormat="1" x14ac:dyDescent="0.25">
      <c r="A182" s="156" t="s">
        <v>544</v>
      </c>
      <c r="B182" s="156" t="s">
        <v>295</v>
      </c>
      <c r="C182" s="156" t="s">
        <v>296</v>
      </c>
      <c r="D182" s="156" t="s">
        <v>543</v>
      </c>
      <c r="E182" s="179">
        <v>4000000</v>
      </c>
      <c r="F182" s="179">
        <v>3000000</v>
      </c>
      <c r="G182" s="179">
        <v>475000</v>
      </c>
      <c r="H182" s="179">
        <v>0</v>
      </c>
      <c r="I182" s="179">
        <v>0</v>
      </c>
      <c r="J182" s="179">
        <v>0</v>
      </c>
      <c r="K182" s="179">
        <v>0</v>
      </c>
      <c r="L182" s="179">
        <v>0</v>
      </c>
      <c r="M182" s="179">
        <v>3000000</v>
      </c>
      <c r="N182" s="179">
        <v>475000</v>
      </c>
    </row>
    <row r="183" spans="1:14" s="156" customFormat="1" x14ac:dyDescent="0.25">
      <c r="A183" s="156">
        <v>214781</v>
      </c>
      <c r="B183" s="156" t="s">
        <v>587</v>
      </c>
      <c r="C183" s="156" t="s">
        <v>587</v>
      </c>
      <c r="D183" s="156" t="s">
        <v>541</v>
      </c>
      <c r="E183" s="179">
        <v>11325587195</v>
      </c>
      <c r="F183" s="179">
        <v>11325587195</v>
      </c>
      <c r="G183" s="179">
        <v>10630631596</v>
      </c>
      <c r="H183" s="179">
        <v>79300</v>
      </c>
      <c r="I183" s="179">
        <v>1115102592.72</v>
      </c>
      <c r="J183" s="179">
        <v>10448100.220000001</v>
      </c>
      <c r="K183" s="179">
        <v>4064003766.7800002</v>
      </c>
      <c r="L183" s="179">
        <v>4020083955.6300001</v>
      </c>
      <c r="M183" s="179">
        <v>6135953435.2799997</v>
      </c>
      <c r="N183" s="179">
        <v>5440997836.2799997</v>
      </c>
    </row>
    <row r="184" spans="1:14" s="156" customFormat="1" x14ac:dyDescent="0.25">
      <c r="A184" s="156" t="s">
        <v>545</v>
      </c>
      <c r="B184" s="156" t="s">
        <v>92</v>
      </c>
      <c r="C184" s="156" t="s">
        <v>93</v>
      </c>
      <c r="D184" s="156" t="s">
        <v>541</v>
      </c>
      <c r="E184" s="179">
        <v>9908319000</v>
      </c>
      <c r="F184" s="179">
        <v>9908319000</v>
      </c>
      <c r="G184" s="179">
        <v>9899719000</v>
      </c>
      <c r="H184" s="179">
        <v>0</v>
      </c>
      <c r="I184" s="179">
        <v>909901536</v>
      </c>
      <c r="J184" s="179">
        <v>0</v>
      </c>
      <c r="K184" s="179">
        <v>3681564420.54</v>
      </c>
      <c r="L184" s="179">
        <v>3681564420.54</v>
      </c>
      <c r="M184" s="179">
        <v>5316853043.46</v>
      </c>
      <c r="N184" s="179">
        <v>5308253043.46</v>
      </c>
    </row>
    <row r="185" spans="1:14" s="156" customFormat="1" x14ac:dyDescent="0.25">
      <c r="A185" s="156" t="s">
        <v>545</v>
      </c>
      <c r="B185" s="156" t="s">
        <v>94</v>
      </c>
      <c r="C185" s="156" t="s">
        <v>95</v>
      </c>
      <c r="D185" s="156" t="s">
        <v>541</v>
      </c>
      <c r="E185" s="179">
        <v>3418584000</v>
      </c>
      <c r="F185" s="179">
        <v>3418584000</v>
      </c>
      <c r="G185" s="179">
        <v>3418584000</v>
      </c>
      <c r="H185" s="179">
        <v>0</v>
      </c>
      <c r="I185" s="179">
        <v>764487.75</v>
      </c>
      <c r="J185" s="179">
        <v>0</v>
      </c>
      <c r="K185" s="179">
        <v>1236293569.5599999</v>
      </c>
      <c r="L185" s="179">
        <v>1236293569.5599999</v>
      </c>
      <c r="M185" s="179">
        <v>2181525942.6900001</v>
      </c>
      <c r="N185" s="179">
        <v>2181525942.6900001</v>
      </c>
    </row>
    <row r="186" spans="1:14" s="156" customFormat="1" x14ac:dyDescent="0.25">
      <c r="A186" s="156" t="s">
        <v>545</v>
      </c>
      <c r="B186" s="156" t="s">
        <v>96</v>
      </c>
      <c r="C186" s="156" t="s">
        <v>97</v>
      </c>
      <c r="D186" s="156" t="s">
        <v>541</v>
      </c>
      <c r="E186" s="179">
        <v>3413584000</v>
      </c>
      <c r="F186" s="179">
        <v>3413584000</v>
      </c>
      <c r="G186" s="179">
        <v>3413584000</v>
      </c>
      <c r="H186" s="179">
        <v>0</v>
      </c>
      <c r="I186" s="179">
        <v>764487.75</v>
      </c>
      <c r="J186" s="179">
        <v>0</v>
      </c>
      <c r="K186" s="179">
        <v>1236293569.5599999</v>
      </c>
      <c r="L186" s="179">
        <v>1236293569.5599999</v>
      </c>
      <c r="M186" s="179">
        <v>2176525942.6900001</v>
      </c>
      <c r="N186" s="179">
        <v>2176525942.6900001</v>
      </c>
    </row>
    <row r="187" spans="1:14" s="156" customFormat="1" x14ac:dyDescent="0.25">
      <c r="A187" s="156" t="s">
        <v>545</v>
      </c>
      <c r="B187" s="156" t="s">
        <v>313</v>
      </c>
      <c r="C187" s="156" t="s">
        <v>314</v>
      </c>
      <c r="D187" s="156" t="s">
        <v>541</v>
      </c>
      <c r="E187" s="179">
        <v>5000000</v>
      </c>
      <c r="F187" s="179">
        <v>5000000</v>
      </c>
      <c r="G187" s="179">
        <v>5000000</v>
      </c>
      <c r="H187" s="179">
        <v>0</v>
      </c>
      <c r="I187" s="179">
        <v>0</v>
      </c>
      <c r="J187" s="179">
        <v>0</v>
      </c>
      <c r="K187" s="179">
        <v>0</v>
      </c>
      <c r="L187" s="179">
        <v>0</v>
      </c>
      <c r="M187" s="179">
        <v>5000000</v>
      </c>
      <c r="N187" s="179">
        <v>5000000</v>
      </c>
    </row>
    <row r="188" spans="1:14" s="156" customFormat="1" x14ac:dyDescent="0.25">
      <c r="A188" s="156" t="s">
        <v>545</v>
      </c>
      <c r="B188" s="156" t="s">
        <v>98</v>
      </c>
      <c r="C188" s="156" t="s">
        <v>99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2501038.35</v>
      </c>
      <c r="L188" s="179">
        <v>2501038.35</v>
      </c>
      <c r="M188" s="179">
        <v>8498961.6500000004</v>
      </c>
      <c r="N188" s="179">
        <v>8498961.6500000004</v>
      </c>
    </row>
    <row r="189" spans="1:14" s="156" customFormat="1" x14ac:dyDescent="0.25">
      <c r="A189" s="156" t="s">
        <v>545</v>
      </c>
      <c r="B189" s="156" t="s">
        <v>100</v>
      </c>
      <c r="C189" s="156" t="s">
        <v>101</v>
      </c>
      <c r="D189" s="156" t="s">
        <v>541</v>
      </c>
      <c r="E189" s="179">
        <v>11000000</v>
      </c>
      <c r="F189" s="179">
        <v>11000000</v>
      </c>
      <c r="G189" s="179">
        <v>11000000</v>
      </c>
      <c r="H189" s="179">
        <v>0</v>
      </c>
      <c r="I189" s="179">
        <v>0</v>
      </c>
      <c r="J189" s="179">
        <v>0</v>
      </c>
      <c r="K189" s="179">
        <v>2501038.35</v>
      </c>
      <c r="L189" s="179">
        <v>2501038.35</v>
      </c>
      <c r="M189" s="179">
        <v>8498961.6500000004</v>
      </c>
      <c r="N189" s="179">
        <v>8498961.6500000004</v>
      </c>
    </row>
    <row r="190" spans="1:14" s="156" customFormat="1" x14ac:dyDescent="0.25">
      <c r="A190" s="156" t="s">
        <v>545</v>
      </c>
      <c r="B190" s="156" t="s">
        <v>102</v>
      </c>
      <c r="C190" s="156" t="s">
        <v>103</v>
      </c>
      <c r="D190" s="156" t="s">
        <v>541</v>
      </c>
      <c r="E190" s="179">
        <v>4978167000</v>
      </c>
      <c r="F190" s="179">
        <v>4978167000</v>
      </c>
      <c r="G190" s="179">
        <v>4969567000</v>
      </c>
      <c r="H190" s="179">
        <v>0</v>
      </c>
      <c r="I190" s="179">
        <v>1327404.25</v>
      </c>
      <c r="J190" s="179">
        <v>0</v>
      </c>
      <c r="K190" s="179">
        <v>1850011456.6300001</v>
      </c>
      <c r="L190" s="179">
        <v>1850011456.6300001</v>
      </c>
      <c r="M190" s="179">
        <v>3126828139.1199999</v>
      </c>
      <c r="N190" s="179">
        <v>3118228139.1199999</v>
      </c>
    </row>
    <row r="191" spans="1:14" s="156" customFormat="1" x14ac:dyDescent="0.25">
      <c r="A191" s="156" t="s">
        <v>545</v>
      </c>
      <c r="B191" s="156" t="s">
        <v>104</v>
      </c>
      <c r="C191" s="156" t="s">
        <v>105</v>
      </c>
      <c r="D191" s="156" t="s">
        <v>541</v>
      </c>
      <c r="E191" s="179">
        <v>913627000</v>
      </c>
      <c r="F191" s="179">
        <v>913627000</v>
      </c>
      <c r="G191" s="179">
        <v>905027000</v>
      </c>
      <c r="H191" s="179">
        <v>0</v>
      </c>
      <c r="I191" s="179">
        <v>478674</v>
      </c>
      <c r="J191" s="179">
        <v>0</v>
      </c>
      <c r="K191" s="179">
        <v>309432788.57999998</v>
      </c>
      <c r="L191" s="179">
        <v>309432788.57999998</v>
      </c>
      <c r="M191" s="179">
        <v>603715537.41999996</v>
      </c>
      <c r="N191" s="179">
        <v>595115537.41999996</v>
      </c>
    </row>
    <row r="192" spans="1:14" s="156" customFormat="1" x14ac:dyDescent="0.25">
      <c r="A192" s="156" t="s">
        <v>545</v>
      </c>
      <c r="B192" s="156" t="s">
        <v>106</v>
      </c>
      <c r="C192" s="156" t="s">
        <v>107</v>
      </c>
      <c r="D192" s="156" t="s">
        <v>541</v>
      </c>
      <c r="E192" s="179">
        <v>2244831000</v>
      </c>
      <c r="F192" s="179">
        <v>2244831000</v>
      </c>
      <c r="G192" s="179">
        <v>2244831000</v>
      </c>
      <c r="H192" s="179">
        <v>0</v>
      </c>
      <c r="I192" s="179">
        <v>616723.5</v>
      </c>
      <c r="J192" s="179">
        <v>0</v>
      </c>
      <c r="K192" s="179">
        <v>814607790.38999999</v>
      </c>
      <c r="L192" s="179">
        <v>814607790.38999999</v>
      </c>
      <c r="M192" s="179">
        <v>1429606486.1099999</v>
      </c>
      <c r="N192" s="179">
        <v>1429606486.1099999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0</v>
      </c>
      <c r="J193" s="179">
        <v>0</v>
      </c>
      <c r="K193" s="179">
        <v>493915397.87</v>
      </c>
      <c r="L193" s="179">
        <v>493915397.87</v>
      </c>
      <c r="M193" s="179">
        <v>47077602.130000003</v>
      </c>
      <c r="N193" s="179">
        <v>47077602.130000003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232006.75</v>
      </c>
      <c r="J194" s="179">
        <v>0</v>
      </c>
      <c r="K194" s="179">
        <v>232055479.78999999</v>
      </c>
      <c r="L194" s="179">
        <v>232055479.78999999</v>
      </c>
      <c r="M194" s="179">
        <v>398589513.45999998</v>
      </c>
      <c r="N194" s="179">
        <v>398589513.45999998</v>
      </c>
    </row>
    <row r="195" spans="1:14" s="156" customFormat="1" x14ac:dyDescent="0.25">
      <c r="A195" s="156" t="s">
        <v>545</v>
      </c>
      <c r="B195" s="156" t="s">
        <v>112</v>
      </c>
      <c r="C195" s="156" t="s">
        <v>113</v>
      </c>
      <c r="D195" s="156" t="s">
        <v>543</v>
      </c>
      <c r="E195" s="179">
        <v>647839000</v>
      </c>
      <c r="F195" s="179">
        <v>647839000</v>
      </c>
      <c r="G195" s="179">
        <v>647839000</v>
      </c>
      <c r="H195" s="179">
        <v>0</v>
      </c>
      <c r="I195" s="179">
        <v>0</v>
      </c>
      <c r="J195" s="179">
        <v>0</v>
      </c>
      <c r="K195" s="179">
        <v>0</v>
      </c>
      <c r="L195" s="179">
        <v>0</v>
      </c>
      <c r="M195" s="179">
        <v>647839000</v>
      </c>
      <c r="N195" s="179">
        <v>647839000</v>
      </c>
    </row>
    <row r="196" spans="1:14" s="156" customFormat="1" x14ac:dyDescent="0.25">
      <c r="A196" s="156" t="s">
        <v>545</v>
      </c>
      <c r="B196" s="156" t="s">
        <v>114</v>
      </c>
      <c r="C196" s="156" t="s">
        <v>115</v>
      </c>
      <c r="D196" s="156" t="s">
        <v>541</v>
      </c>
      <c r="E196" s="179">
        <v>756883000</v>
      </c>
      <c r="F196" s="179">
        <v>756883000</v>
      </c>
      <c r="G196" s="179">
        <v>756883000</v>
      </c>
      <c r="H196" s="179">
        <v>0</v>
      </c>
      <c r="I196" s="179">
        <v>455828937</v>
      </c>
      <c r="J196" s="179">
        <v>0</v>
      </c>
      <c r="K196" s="179">
        <v>301054063</v>
      </c>
      <c r="L196" s="179">
        <v>301054063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315</v>
      </c>
      <c r="C197" s="156" t="s">
        <v>597</v>
      </c>
      <c r="D197" s="156" t="s">
        <v>541</v>
      </c>
      <c r="E197" s="179">
        <v>718069000</v>
      </c>
      <c r="F197" s="179">
        <v>718069000</v>
      </c>
      <c r="G197" s="179">
        <v>718069000</v>
      </c>
      <c r="H197" s="179">
        <v>0</v>
      </c>
      <c r="I197" s="179">
        <v>432451832</v>
      </c>
      <c r="J197" s="179">
        <v>0</v>
      </c>
      <c r="K197" s="179">
        <v>285617168</v>
      </c>
      <c r="L197" s="179">
        <v>285617168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38814000</v>
      </c>
      <c r="F198" s="179">
        <v>38814000</v>
      </c>
      <c r="G198" s="179">
        <v>38814000</v>
      </c>
      <c r="H198" s="179">
        <v>0</v>
      </c>
      <c r="I198" s="179">
        <v>23377105</v>
      </c>
      <c r="J198" s="179">
        <v>0</v>
      </c>
      <c r="K198" s="179">
        <v>15436895</v>
      </c>
      <c r="L198" s="179">
        <v>15436895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118</v>
      </c>
      <c r="C199" s="156" t="s">
        <v>119</v>
      </c>
      <c r="D199" s="156" t="s">
        <v>541</v>
      </c>
      <c r="E199" s="179">
        <v>743685000</v>
      </c>
      <c r="F199" s="179">
        <v>743685000</v>
      </c>
      <c r="G199" s="179">
        <v>743685000</v>
      </c>
      <c r="H199" s="179">
        <v>0</v>
      </c>
      <c r="I199" s="179">
        <v>451980707</v>
      </c>
      <c r="J199" s="179">
        <v>0</v>
      </c>
      <c r="K199" s="179">
        <v>291704293</v>
      </c>
      <c r="L199" s="179">
        <v>291704293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317</v>
      </c>
      <c r="C200" s="156" t="s">
        <v>598</v>
      </c>
      <c r="D200" s="156" t="s">
        <v>541</v>
      </c>
      <c r="E200" s="179">
        <v>394355000</v>
      </c>
      <c r="F200" s="179">
        <v>394355000</v>
      </c>
      <c r="G200" s="179">
        <v>394355000</v>
      </c>
      <c r="H200" s="179">
        <v>0</v>
      </c>
      <c r="I200" s="179">
        <v>241582435</v>
      </c>
      <c r="J200" s="179">
        <v>0</v>
      </c>
      <c r="K200" s="179">
        <v>152772565</v>
      </c>
      <c r="L200" s="179">
        <v>152772565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318</v>
      </c>
      <c r="C201" s="156" t="s">
        <v>599</v>
      </c>
      <c r="D201" s="156" t="s">
        <v>541</v>
      </c>
      <c r="E201" s="179">
        <v>116443000</v>
      </c>
      <c r="F201" s="179">
        <v>116443000</v>
      </c>
      <c r="G201" s="179">
        <v>116443000</v>
      </c>
      <c r="H201" s="179">
        <v>0</v>
      </c>
      <c r="I201" s="179">
        <v>70132463</v>
      </c>
      <c r="J201" s="179">
        <v>0</v>
      </c>
      <c r="K201" s="179">
        <v>46310537</v>
      </c>
      <c r="L201" s="179">
        <v>46310537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319</v>
      </c>
      <c r="C202" s="156" t="s">
        <v>600</v>
      </c>
      <c r="D202" s="156" t="s">
        <v>541</v>
      </c>
      <c r="E202" s="179">
        <v>232887000</v>
      </c>
      <c r="F202" s="179">
        <v>232887000</v>
      </c>
      <c r="G202" s="179">
        <v>232887000</v>
      </c>
      <c r="H202" s="179">
        <v>0</v>
      </c>
      <c r="I202" s="179">
        <v>140265809</v>
      </c>
      <c r="J202" s="179">
        <v>0</v>
      </c>
      <c r="K202" s="179">
        <v>92621191</v>
      </c>
      <c r="L202" s="179">
        <v>92621191</v>
      </c>
      <c r="M202" s="179">
        <v>0</v>
      </c>
      <c r="N202" s="179">
        <v>0</v>
      </c>
    </row>
    <row r="203" spans="1:14" s="156" customFormat="1" x14ac:dyDescent="0.25">
      <c r="A203" s="156" t="s">
        <v>545</v>
      </c>
      <c r="B203" s="156" t="s">
        <v>123</v>
      </c>
      <c r="C203" s="156" t="s">
        <v>124</v>
      </c>
      <c r="D203" s="156" t="s">
        <v>541</v>
      </c>
      <c r="E203" s="179">
        <v>1006874402</v>
      </c>
      <c r="F203" s="179">
        <v>1006874402</v>
      </c>
      <c r="G203" s="179">
        <v>506722900</v>
      </c>
      <c r="H203" s="179">
        <v>79300</v>
      </c>
      <c r="I203" s="179">
        <v>123918723.47</v>
      </c>
      <c r="J203" s="179">
        <v>9097118.0299999993</v>
      </c>
      <c r="K203" s="179">
        <v>288081428.56</v>
      </c>
      <c r="L203" s="179">
        <v>244410265.33000001</v>
      </c>
      <c r="M203" s="179">
        <v>585697831.94000006</v>
      </c>
      <c r="N203" s="179">
        <v>85546329.939999998</v>
      </c>
    </row>
    <row r="204" spans="1:14" s="156" customFormat="1" x14ac:dyDescent="0.25">
      <c r="A204" s="156" t="s">
        <v>545</v>
      </c>
      <c r="B204" s="156" t="s">
        <v>125</v>
      </c>
      <c r="C204" s="156" t="s">
        <v>126</v>
      </c>
      <c r="D204" s="156" t="s">
        <v>541</v>
      </c>
      <c r="E204" s="179">
        <v>331717997</v>
      </c>
      <c r="F204" s="179">
        <v>331717997</v>
      </c>
      <c r="G204" s="179">
        <v>151238998</v>
      </c>
      <c r="H204" s="179">
        <v>0</v>
      </c>
      <c r="I204" s="179">
        <v>30318482.559999999</v>
      </c>
      <c r="J204" s="179">
        <v>8038499.04</v>
      </c>
      <c r="K204" s="179">
        <v>97290679.450000003</v>
      </c>
      <c r="L204" s="179">
        <v>85145808.409999996</v>
      </c>
      <c r="M204" s="179">
        <v>196070335.94999999</v>
      </c>
      <c r="N204" s="179">
        <v>15591336.949999999</v>
      </c>
    </row>
    <row r="205" spans="1:14" s="156" customFormat="1" x14ac:dyDescent="0.25">
      <c r="A205" s="156" t="s">
        <v>545</v>
      </c>
      <c r="B205" s="156" t="s">
        <v>306</v>
      </c>
      <c r="C205" s="156" t="s">
        <v>307</v>
      </c>
      <c r="D205" s="156" t="s">
        <v>541</v>
      </c>
      <c r="E205" s="179">
        <v>200526630</v>
      </c>
      <c r="F205" s="179">
        <v>200526630</v>
      </c>
      <c r="G205" s="179">
        <v>79143314</v>
      </c>
      <c r="H205" s="179">
        <v>0</v>
      </c>
      <c r="I205" s="179">
        <v>13321270</v>
      </c>
      <c r="J205" s="179">
        <v>0</v>
      </c>
      <c r="K205" s="179">
        <v>62677970</v>
      </c>
      <c r="L205" s="179">
        <v>50895430</v>
      </c>
      <c r="M205" s="179">
        <v>124527390</v>
      </c>
      <c r="N205" s="179">
        <v>3144074</v>
      </c>
    </row>
    <row r="206" spans="1:14" s="156" customFormat="1" x14ac:dyDescent="0.25">
      <c r="A206" s="156" t="s">
        <v>545</v>
      </c>
      <c r="B206" s="156" t="s">
        <v>320</v>
      </c>
      <c r="C206" s="156" t="s">
        <v>321</v>
      </c>
      <c r="D206" s="156" t="s">
        <v>541</v>
      </c>
      <c r="E206" s="179">
        <v>3933000</v>
      </c>
      <c r="F206" s="179">
        <v>3933000</v>
      </c>
      <c r="G206" s="179">
        <v>1566500</v>
      </c>
      <c r="H206" s="179">
        <v>0</v>
      </c>
      <c r="I206" s="179">
        <v>832209.34</v>
      </c>
      <c r="J206" s="179">
        <v>0</v>
      </c>
      <c r="K206" s="179">
        <v>722933.17</v>
      </c>
      <c r="L206" s="179">
        <v>493597.38</v>
      </c>
      <c r="M206" s="179">
        <v>2377857.4900000002</v>
      </c>
      <c r="N206" s="179">
        <v>11357.49</v>
      </c>
    </row>
    <row r="207" spans="1:14" s="156" customFormat="1" x14ac:dyDescent="0.25">
      <c r="A207" s="156" t="s">
        <v>545</v>
      </c>
      <c r="B207" s="156" t="s">
        <v>127</v>
      </c>
      <c r="C207" s="156" t="s">
        <v>128</v>
      </c>
      <c r="D207" s="156" t="s">
        <v>541</v>
      </c>
      <c r="E207" s="179">
        <v>98126131</v>
      </c>
      <c r="F207" s="179">
        <v>98126131</v>
      </c>
      <c r="G207" s="179">
        <v>53063066</v>
      </c>
      <c r="H207" s="179">
        <v>0</v>
      </c>
      <c r="I207" s="179">
        <v>15208283.98</v>
      </c>
      <c r="J207" s="179">
        <v>5202912</v>
      </c>
      <c r="K207" s="179">
        <v>26321724.079999998</v>
      </c>
      <c r="L207" s="179">
        <v>26321724.079999998</v>
      </c>
      <c r="M207" s="179">
        <v>51393210.939999998</v>
      </c>
      <c r="N207" s="179">
        <v>6330145.9400000004</v>
      </c>
    </row>
    <row r="208" spans="1:14" s="156" customFormat="1" x14ac:dyDescent="0.25">
      <c r="A208" s="156" t="s">
        <v>545</v>
      </c>
      <c r="B208" s="156" t="s">
        <v>322</v>
      </c>
      <c r="C208" s="156" t="s">
        <v>323</v>
      </c>
      <c r="D208" s="156" t="s">
        <v>541</v>
      </c>
      <c r="E208" s="179">
        <v>1774000</v>
      </c>
      <c r="F208" s="179">
        <v>1774000</v>
      </c>
      <c r="G208" s="179">
        <v>1087000</v>
      </c>
      <c r="H208" s="179">
        <v>0</v>
      </c>
      <c r="I208" s="179">
        <v>329637.62</v>
      </c>
      <c r="J208" s="179">
        <v>0</v>
      </c>
      <c r="K208" s="179">
        <v>677479.5</v>
      </c>
      <c r="L208" s="179">
        <v>544484.25</v>
      </c>
      <c r="M208" s="179">
        <v>766882.88</v>
      </c>
      <c r="N208" s="179">
        <v>79882.880000000005</v>
      </c>
    </row>
    <row r="209" spans="1:14" s="156" customFormat="1" x14ac:dyDescent="0.25">
      <c r="A209" s="156" t="s">
        <v>545</v>
      </c>
      <c r="B209" s="156" t="s">
        <v>129</v>
      </c>
      <c r="C209" s="156" t="s">
        <v>130</v>
      </c>
      <c r="D209" s="156" t="s">
        <v>541</v>
      </c>
      <c r="E209" s="179">
        <v>27358236</v>
      </c>
      <c r="F209" s="179">
        <v>27358236</v>
      </c>
      <c r="G209" s="179">
        <v>16379118</v>
      </c>
      <c r="H209" s="179">
        <v>0</v>
      </c>
      <c r="I209" s="179">
        <v>627081.62</v>
      </c>
      <c r="J209" s="179">
        <v>2835587.04</v>
      </c>
      <c r="K209" s="179">
        <v>6890572.7000000002</v>
      </c>
      <c r="L209" s="179">
        <v>6890572.7000000002</v>
      </c>
      <c r="M209" s="179">
        <v>17004994.640000001</v>
      </c>
      <c r="N209" s="179">
        <v>6025876.6399999997</v>
      </c>
    </row>
    <row r="210" spans="1:14" s="156" customFormat="1" x14ac:dyDescent="0.25">
      <c r="A210" s="156" t="s">
        <v>545</v>
      </c>
      <c r="B210" s="156" t="s">
        <v>131</v>
      </c>
      <c r="C210" s="156" t="s">
        <v>132</v>
      </c>
      <c r="D210" s="156" t="s">
        <v>541</v>
      </c>
      <c r="E210" s="179">
        <v>126929000</v>
      </c>
      <c r="F210" s="179">
        <v>126929000</v>
      </c>
      <c r="G210" s="179">
        <v>62914500</v>
      </c>
      <c r="H210" s="179">
        <v>0</v>
      </c>
      <c r="I210" s="179">
        <v>11349810.51</v>
      </c>
      <c r="J210" s="179">
        <v>0</v>
      </c>
      <c r="K210" s="179">
        <v>34835184.729999997</v>
      </c>
      <c r="L210" s="179">
        <v>33107401.359999999</v>
      </c>
      <c r="M210" s="179">
        <v>80744004.760000005</v>
      </c>
      <c r="N210" s="179">
        <v>16729504.76</v>
      </c>
    </row>
    <row r="211" spans="1:14" s="156" customFormat="1" x14ac:dyDescent="0.25">
      <c r="A211" s="156" t="s">
        <v>545</v>
      </c>
      <c r="B211" s="156" t="s">
        <v>133</v>
      </c>
      <c r="C211" s="156" t="s">
        <v>134</v>
      </c>
      <c r="D211" s="156" t="s">
        <v>541</v>
      </c>
      <c r="E211" s="179">
        <v>13400000</v>
      </c>
      <c r="F211" s="179">
        <v>13400000</v>
      </c>
      <c r="G211" s="179">
        <v>9700000</v>
      </c>
      <c r="H211" s="179">
        <v>0</v>
      </c>
      <c r="I211" s="179">
        <v>429881</v>
      </c>
      <c r="J211" s="179">
        <v>0</v>
      </c>
      <c r="K211" s="179">
        <v>5692714</v>
      </c>
      <c r="L211" s="179">
        <v>5692714</v>
      </c>
      <c r="M211" s="179">
        <v>7277405</v>
      </c>
      <c r="N211" s="179">
        <v>3577405</v>
      </c>
    </row>
    <row r="212" spans="1:14" s="156" customFormat="1" x14ac:dyDescent="0.25">
      <c r="A212" s="156" t="s">
        <v>545</v>
      </c>
      <c r="B212" s="156" t="s">
        <v>135</v>
      </c>
      <c r="C212" s="156" t="s">
        <v>136</v>
      </c>
      <c r="D212" s="156" t="s">
        <v>541</v>
      </c>
      <c r="E212" s="179">
        <v>49200000</v>
      </c>
      <c r="F212" s="179">
        <v>49200000</v>
      </c>
      <c r="G212" s="179">
        <v>21300000</v>
      </c>
      <c r="H212" s="179">
        <v>0</v>
      </c>
      <c r="I212" s="179">
        <v>5502430</v>
      </c>
      <c r="J212" s="179">
        <v>0</v>
      </c>
      <c r="K212" s="179">
        <v>15395325</v>
      </c>
      <c r="L212" s="179">
        <v>15395325</v>
      </c>
      <c r="M212" s="179">
        <v>28302245</v>
      </c>
      <c r="N212" s="179">
        <v>402245</v>
      </c>
    </row>
    <row r="213" spans="1:14" s="156" customFormat="1" x14ac:dyDescent="0.25">
      <c r="A213" s="156" t="s">
        <v>545</v>
      </c>
      <c r="B213" s="156" t="s">
        <v>137</v>
      </c>
      <c r="C213" s="156" t="s">
        <v>138</v>
      </c>
      <c r="D213" s="156" t="s">
        <v>541</v>
      </c>
      <c r="E213" s="179">
        <v>12000000</v>
      </c>
      <c r="F213" s="179">
        <v>12000000</v>
      </c>
      <c r="G213" s="179">
        <v>3550000</v>
      </c>
      <c r="H213" s="179">
        <v>0</v>
      </c>
      <c r="I213" s="179">
        <v>477180</v>
      </c>
      <c r="J213" s="179">
        <v>0</v>
      </c>
      <c r="K213" s="179">
        <v>731520</v>
      </c>
      <c r="L213" s="179">
        <v>731520</v>
      </c>
      <c r="M213" s="179">
        <v>10791300</v>
      </c>
      <c r="N213" s="179">
        <v>2341300</v>
      </c>
    </row>
    <row r="214" spans="1:14" s="156" customFormat="1" x14ac:dyDescent="0.25">
      <c r="A214" s="156" t="s">
        <v>545</v>
      </c>
      <c r="B214" s="156" t="s">
        <v>139</v>
      </c>
      <c r="C214" s="156" t="s">
        <v>140</v>
      </c>
      <c r="D214" s="156" t="s">
        <v>541</v>
      </c>
      <c r="E214" s="179">
        <v>47604000</v>
      </c>
      <c r="F214" s="179">
        <v>47604000</v>
      </c>
      <c r="G214" s="179">
        <v>25802000</v>
      </c>
      <c r="H214" s="179">
        <v>0</v>
      </c>
      <c r="I214" s="179">
        <v>4698926.96</v>
      </c>
      <c r="J214" s="179">
        <v>0</v>
      </c>
      <c r="K214" s="179">
        <v>11876018.279999999</v>
      </c>
      <c r="L214" s="179">
        <v>10148234.91</v>
      </c>
      <c r="M214" s="179">
        <v>31029054.760000002</v>
      </c>
      <c r="N214" s="179">
        <v>9227054.7599999998</v>
      </c>
    </row>
    <row r="215" spans="1:14" s="156" customFormat="1" x14ac:dyDescent="0.25">
      <c r="A215" s="156" t="s">
        <v>545</v>
      </c>
      <c r="B215" s="156" t="s">
        <v>141</v>
      </c>
      <c r="C215" s="156" t="s">
        <v>142</v>
      </c>
      <c r="D215" s="156" t="s">
        <v>541</v>
      </c>
      <c r="E215" s="179">
        <v>4725000</v>
      </c>
      <c r="F215" s="179">
        <v>4725000</v>
      </c>
      <c r="G215" s="179">
        <v>2562500</v>
      </c>
      <c r="H215" s="179">
        <v>0</v>
      </c>
      <c r="I215" s="179">
        <v>241392.55</v>
      </c>
      <c r="J215" s="179">
        <v>0</v>
      </c>
      <c r="K215" s="179">
        <v>1139607.45</v>
      </c>
      <c r="L215" s="179">
        <v>1139607.45</v>
      </c>
      <c r="M215" s="179">
        <v>3344000</v>
      </c>
      <c r="N215" s="179">
        <v>1181500</v>
      </c>
    </row>
    <row r="216" spans="1:14" s="156" customFormat="1" x14ac:dyDescent="0.25">
      <c r="A216" s="156" t="s">
        <v>545</v>
      </c>
      <c r="B216" s="156" t="s">
        <v>143</v>
      </c>
      <c r="C216" s="156" t="s">
        <v>144</v>
      </c>
      <c r="D216" s="156" t="s">
        <v>541</v>
      </c>
      <c r="E216" s="179">
        <v>3746000</v>
      </c>
      <c r="F216" s="179">
        <v>3746000</v>
      </c>
      <c r="G216" s="179">
        <v>2153700</v>
      </c>
      <c r="H216" s="179">
        <v>0</v>
      </c>
      <c r="I216" s="179">
        <v>630652.56999999995</v>
      </c>
      <c r="J216" s="179">
        <v>0</v>
      </c>
      <c r="K216" s="179">
        <v>269430.65000000002</v>
      </c>
      <c r="L216" s="179">
        <v>269430.65000000002</v>
      </c>
      <c r="M216" s="179">
        <v>2845916.78</v>
      </c>
      <c r="N216" s="179">
        <v>1253616.78</v>
      </c>
    </row>
    <row r="217" spans="1:14" s="156" customFormat="1" x14ac:dyDescent="0.25">
      <c r="A217" s="156" t="s">
        <v>545</v>
      </c>
      <c r="B217" s="156" t="s">
        <v>145</v>
      </c>
      <c r="C217" s="156" t="s">
        <v>146</v>
      </c>
      <c r="D217" s="156" t="s">
        <v>541</v>
      </c>
      <c r="E217" s="179">
        <v>500000</v>
      </c>
      <c r="F217" s="179">
        <v>500000</v>
      </c>
      <c r="G217" s="179">
        <v>430700</v>
      </c>
      <c r="H217" s="179">
        <v>0</v>
      </c>
      <c r="I217" s="179">
        <v>100000</v>
      </c>
      <c r="J217" s="179">
        <v>0</v>
      </c>
      <c r="K217" s="179">
        <v>71970</v>
      </c>
      <c r="L217" s="179">
        <v>71970</v>
      </c>
      <c r="M217" s="179">
        <v>328030</v>
      </c>
      <c r="N217" s="179">
        <v>258730</v>
      </c>
    </row>
    <row r="218" spans="1:14" s="156" customFormat="1" x14ac:dyDescent="0.25">
      <c r="A218" s="156" t="s">
        <v>545</v>
      </c>
      <c r="B218" s="156" t="s">
        <v>147</v>
      </c>
      <c r="C218" s="156" t="s">
        <v>148</v>
      </c>
      <c r="D218" s="156" t="s">
        <v>541</v>
      </c>
      <c r="E218" s="179">
        <v>1000000</v>
      </c>
      <c r="F218" s="179">
        <v>1000000</v>
      </c>
      <c r="G218" s="179">
        <v>500000</v>
      </c>
      <c r="H218" s="179">
        <v>0</v>
      </c>
      <c r="I218" s="179">
        <v>95845</v>
      </c>
      <c r="J218" s="179">
        <v>0</v>
      </c>
      <c r="K218" s="179">
        <v>73105</v>
      </c>
      <c r="L218" s="179">
        <v>73105</v>
      </c>
      <c r="M218" s="179">
        <v>831050</v>
      </c>
      <c r="N218" s="179">
        <v>331050</v>
      </c>
    </row>
    <row r="219" spans="1:14" s="156" customFormat="1" x14ac:dyDescent="0.25">
      <c r="A219" s="156" t="s">
        <v>545</v>
      </c>
      <c r="B219" s="156" t="s">
        <v>149</v>
      </c>
      <c r="C219" s="156" t="s">
        <v>150</v>
      </c>
      <c r="D219" s="156" t="s">
        <v>541</v>
      </c>
      <c r="E219" s="179">
        <v>200000</v>
      </c>
      <c r="F219" s="179">
        <v>200000</v>
      </c>
      <c r="G219" s="179">
        <v>200000</v>
      </c>
      <c r="H219" s="179">
        <v>0</v>
      </c>
      <c r="I219" s="179">
        <v>60841.5</v>
      </c>
      <c r="J219" s="179">
        <v>0</v>
      </c>
      <c r="K219" s="179">
        <v>36390</v>
      </c>
      <c r="L219" s="179">
        <v>36390</v>
      </c>
      <c r="M219" s="179">
        <v>102768.5</v>
      </c>
      <c r="N219" s="179">
        <v>102768.5</v>
      </c>
    </row>
    <row r="220" spans="1:14" s="156" customFormat="1" x14ac:dyDescent="0.25">
      <c r="A220" s="156" t="s">
        <v>545</v>
      </c>
      <c r="B220" s="156" t="s">
        <v>326</v>
      </c>
      <c r="C220" s="156" t="s">
        <v>327</v>
      </c>
      <c r="D220" s="156" t="s">
        <v>541</v>
      </c>
      <c r="E220" s="179">
        <v>2046000</v>
      </c>
      <c r="F220" s="179">
        <v>2046000</v>
      </c>
      <c r="G220" s="179">
        <v>1023000</v>
      </c>
      <c r="H220" s="179">
        <v>0</v>
      </c>
      <c r="I220" s="179">
        <v>373966.07</v>
      </c>
      <c r="J220" s="179">
        <v>0</v>
      </c>
      <c r="K220" s="179">
        <v>87965.65</v>
      </c>
      <c r="L220" s="179">
        <v>87965.65</v>
      </c>
      <c r="M220" s="179">
        <v>1584068.28</v>
      </c>
      <c r="N220" s="179">
        <v>561068.28</v>
      </c>
    </row>
    <row r="221" spans="1:14" s="156" customFormat="1" x14ac:dyDescent="0.25">
      <c r="A221" s="156" t="s">
        <v>545</v>
      </c>
      <c r="B221" s="156" t="s">
        <v>151</v>
      </c>
      <c r="C221" s="156" t="s">
        <v>152</v>
      </c>
      <c r="D221" s="156" t="s">
        <v>541</v>
      </c>
      <c r="E221" s="179">
        <v>334518795</v>
      </c>
      <c r="F221" s="179">
        <v>334518795</v>
      </c>
      <c r="G221" s="179">
        <v>177559398</v>
      </c>
      <c r="H221" s="179">
        <v>0</v>
      </c>
      <c r="I221" s="179">
        <v>49562451.060000002</v>
      </c>
      <c r="J221" s="179">
        <v>0</v>
      </c>
      <c r="K221" s="179">
        <v>103122280.08</v>
      </c>
      <c r="L221" s="179">
        <v>77707596.560000002</v>
      </c>
      <c r="M221" s="179">
        <v>181834063.86000001</v>
      </c>
      <c r="N221" s="179">
        <v>24874666.859999999</v>
      </c>
    </row>
    <row r="222" spans="1:14" s="156" customFormat="1" x14ac:dyDescent="0.25">
      <c r="A222" s="156" t="s">
        <v>545</v>
      </c>
      <c r="B222" s="156" t="s">
        <v>328</v>
      </c>
      <c r="C222" s="156" t="s">
        <v>329</v>
      </c>
      <c r="D222" s="156" t="s">
        <v>541</v>
      </c>
      <c r="E222" s="179">
        <v>2000000</v>
      </c>
      <c r="F222" s="179">
        <v>2000000</v>
      </c>
      <c r="G222" s="179">
        <v>0</v>
      </c>
      <c r="H222" s="179">
        <v>0</v>
      </c>
      <c r="I222" s="179">
        <v>0</v>
      </c>
      <c r="J222" s="179">
        <v>0</v>
      </c>
      <c r="K222" s="179">
        <v>0</v>
      </c>
      <c r="L222" s="179">
        <v>0</v>
      </c>
      <c r="M222" s="179">
        <v>2000000</v>
      </c>
      <c r="N222" s="179">
        <v>0</v>
      </c>
    </row>
    <row r="223" spans="1:14" s="156" customFormat="1" x14ac:dyDescent="0.25">
      <c r="A223" s="156" t="s">
        <v>545</v>
      </c>
      <c r="B223" s="156" t="s">
        <v>330</v>
      </c>
      <c r="C223" s="156" t="s">
        <v>604</v>
      </c>
      <c r="D223" s="156" t="s">
        <v>541</v>
      </c>
      <c r="E223" s="179">
        <v>5000000</v>
      </c>
      <c r="F223" s="179">
        <v>5000000</v>
      </c>
      <c r="G223" s="179">
        <v>5000000</v>
      </c>
      <c r="H223" s="179">
        <v>0</v>
      </c>
      <c r="I223" s="179">
        <v>4556956</v>
      </c>
      <c r="J223" s="179">
        <v>0</v>
      </c>
      <c r="K223" s="179">
        <v>0</v>
      </c>
      <c r="L223" s="179">
        <v>0</v>
      </c>
      <c r="M223" s="179">
        <v>443044</v>
      </c>
      <c r="N223" s="179">
        <v>443044</v>
      </c>
    </row>
    <row r="224" spans="1:14" s="156" customFormat="1" x14ac:dyDescent="0.25">
      <c r="A224" s="156" t="s">
        <v>545</v>
      </c>
      <c r="B224" s="156" t="s">
        <v>154</v>
      </c>
      <c r="C224" s="156" t="s">
        <v>155</v>
      </c>
      <c r="D224" s="156" t="s">
        <v>541</v>
      </c>
      <c r="E224" s="179">
        <v>319951179</v>
      </c>
      <c r="F224" s="179">
        <v>319951179</v>
      </c>
      <c r="G224" s="179">
        <v>166175590</v>
      </c>
      <c r="H224" s="179">
        <v>0</v>
      </c>
      <c r="I224" s="179">
        <v>43051397.57</v>
      </c>
      <c r="J224" s="179">
        <v>0</v>
      </c>
      <c r="K224" s="179">
        <v>101241778.08</v>
      </c>
      <c r="L224" s="179">
        <v>75872684.560000002</v>
      </c>
      <c r="M224" s="179">
        <v>175658003.34999999</v>
      </c>
      <c r="N224" s="179">
        <v>21882414.350000001</v>
      </c>
    </row>
    <row r="225" spans="1:14" s="156" customFormat="1" x14ac:dyDescent="0.25">
      <c r="A225" s="156" t="s">
        <v>545</v>
      </c>
      <c r="B225" s="156" t="s">
        <v>156</v>
      </c>
      <c r="C225" s="156" t="s">
        <v>157</v>
      </c>
      <c r="D225" s="156" t="s">
        <v>541</v>
      </c>
      <c r="E225" s="179">
        <v>7567616</v>
      </c>
      <c r="F225" s="179">
        <v>7567616</v>
      </c>
      <c r="G225" s="179">
        <v>6383808</v>
      </c>
      <c r="H225" s="179">
        <v>0</v>
      </c>
      <c r="I225" s="179">
        <v>1954097.49</v>
      </c>
      <c r="J225" s="179">
        <v>0</v>
      </c>
      <c r="K225" s="179">
        <v>1880502</v>
      </c>
      <c r="L225" s="179">
        <v>1834912</v>
      </c>
      <c r="M225" s="179">
        <v>3733016.51</v>
      </c>
      <c r="N225" s="179">
        <v>2549208.5099999998</v>
      </c>
    </row>
    <row r="226" spans="1:14" s="156" customFormat="1" x14ac:dyDescent="0.25">
      <c r="A226" s="156" t="s">
        <v>545</v>
      </c>
      <c r="B226" s="156" t="s">
        <v>158</v>
      </c>
      <c r="C226" s="156" t="s">
        <v>159</v>
      </c>
      <c r="D226" s="156" t="s">
        <v>541</v>
      </c>
      <c r="E226" s="179">
        <v>33445676</v>
      </c>
      <c r="F226" s="179">
        <v>33445676</v>
      </c>
      <c r="G226" s="179">
        <v>24617838</v>
      </c>
      <c r="H226" s="179">
        <v>79300</v>
      </c>
      <c r="I226" s="179">
        <v>5354799.8</v>
      </c>
      <c r="J226" s="179">
        <v>0</v>
      </c>
      <c r="K226" s="179">
        <v>13099631.1</v>
      </c>
      <c r="L226" s="179">
        <v>12985581.1</v>
      </c>
      <c r="M226" s="179">
        <v>14911945.1</v>
      </c>
      <c r="N226" s="179">
        <v>6084107.0999999996</v>
      </c>
    </row>
    <row r="227" spans="1:14" s="156" customFormat="1" x14ac:dyDescent="0.25">
      <c r="A227" s="156" t="s">
        <v>545</v>
      </c>
      <c r="B227" s="156" t="s">
        <v>160</v>
      </c>
      <c r="C227" s="156" t="s">
        <v>161</v>
      </c>
      <c r="D227" s="156" t="s">
        <v>541</v>
      </c>
      <c r="E227" s="179">
        <v>1700000</v>
      </c>
      <c r="F227" s="179">
        <v>1700000</v>
      </c>
      <c r="G227" s="179">
        <v>850000</v>
      </c>
      <c r="H227" s="179">
        <v>0</v>
      </c>
      <c r="I227" s="179">
        <v>127350</v>
      </c>
      <c r="J227" s="179">
        <v>0</v>
      </c>
      <c r="K227" s="179">
        <v>368270</v>
      </c>
      <c r="L227" s="179">
        <v>368270</v>
      </c>
      <c r="M227" s="179">
        <v>1204380</v>
      </c>
      <c r="N227" s="179">
        <v>354380</v>
      </c>
    </row>
    <row r="228" spans="1:14" s="156" customFormat="1" x14ac:dyDescent="0.25">
      <c r="A228" s="156" t="s">
        <v>545</v>
      </c>
      <c r="B228" s="156" t="s">
        <v>162</v>
      </c>
      <c r="C228" s="156" t="s">
        <v>163</v>
      </c>
      <c r="D228" s="156" t="s">
        <v>541</v>
      </c>
      <c r="E228" s="179">
        <v>24979191</v>
      </c>
      <c r="F228" s="179">
        <v>24979191</v>
      </c>
      <c r="G228" s="179">
        <v>18489596</v>
      </c>
      <c r="H228" s="179">
        <v>79300</v>
      </c>
      <c r="I228" s="179">
        <v>4503896</v>
      </c>
      <c r="J228" s="179">
        <v>0</v>
      </c>
      <c r="K228" s="179">
        <v>10876400</v>
      </c>
      <c r="L228" s="179">
        <v>10762350</v>
      </c>
      <c r="M228" s="179">
        <v>9519595</v>
      </c>
      <c r="N228" s="179">
        <v>3030000</v>
      </c>
    </row>
    <row r="229" spans="1:14" s="156" customFormat="1" x14ac:dyDescent="0.25">
      <c r="A229" s="156" t="s">
        <v>545</v>
      </c>
      <c r="B229" s="156" t="s">
        <v>164</v>
      </c>
      <c r="C229" s="156" t="s">
        <v>165</v>
      </c>
      <c r="D229" s="156" t="s">
        <v>541</v>
      </c>
      <c r="E229" s="179">
        <v>2035715</v>
      </c>
      <c r="F229" s="179">
        <v>2035715</v>
      </c>
      <c r="G229" s="179">
        <v>1092858</v>
      </c>
      <c r="H229" s="179">
        <v>0</v>
      </c>
      <c r="I229" s="179">
        <v>0</v>
      </c>
      <c r="J229" s="179">
        <v>0</v>
      </c>
      <c r="K229" s="179">
        <v>366738</v>
      </c>
      <c r="L229" s="179">
        <v>366738</v>
      </c>
      <c r="M229" s="179">
        <v>1668977</v>
      </c>
      <c r="N229" s="179">
        <v>726120</v>
      </c>
    </row>
    <row r="230" spans="1:14" s="156" customFormat="1" x14ac:dyDescent="0.25">
      <c r="A230" s="156" t="s">
        <v>545</v>
      </c>
      <c r="B230" s="156" t="s">
        <v>166</v>
      </c>
      <c r="C230" s="156" t="s">
        <v>167</v>
      </c>
      <c r="D230" s="156" t="s">
        <v>541</v>
      </c>
      <c r="E230" s="179">
        <v>4730770</v>
      </c>
      <c r="F230" s="179">
        <v>4730770</v>
      </c>
      <c r="G230" s="179">
        <v>4185384</v>
      </c>
      <c r="H230" s="179">
        <v>0</v>
      </c>
      <c r="I230" s="179">
        <v>723553.8</v>
      </c>
      <c r="J230" s="179">
        <v>0</v>
      </c>
      <c r="K230" s="179">
        <v>1488223.1</v>
      </c>
      <c r="L230" s="179">
        <v>1488223.1</v>
      </c>
      <c r="M230" s="179">
        <v>2518993.1</v>
      </c>
      <c r="N230" s="179">
        <v>1973607.1</v>
      </c>
    </row>
    <row r="231" spans="1:14" s="156" customFormat="1" x14ac:dyDescent="0.25">
      <c r="A231" s="156" t="s">
        <v>545</v>
      </c>
      <c r="B231" s="156" t="s">
        <v>168</v>
      </c>
      <c r="C231" s="156" t="s">
        <v>169</v>
      </c>
      <c r="D231" s="156" t="s">
        <v>541</v>
      </c>
      <c r="E231" s="179">
        <v>83546141</v>
      </c>
      <c r="F231" s="179">
        <v>83546141</v>
      </c>
      <c r="G231" s="179">
        <v>44073070</v>
      </c>
      <c r="H231" s="179">
        <v>0</v>
      </c>
      <c r="I231" s="179">
        <v>5426581</v>
      </c>
      <c r="J231" s="179">
        <v>0</v>
      </c>
      <c r="K231" s="179">
        <v>25358126</v>
      </c>
      <c r="L231" s="179">
        <v>25358126</v>
      </c>
      <c r="M231" s="179">
        <v>52761434</v>
      </c>
      <c r="N231" s="179">
        <v>13288363</v>
      </c>
    </row>
    <row r="232" spans="1:14" s="156" customFormat="1" x14ac:dyDescent="0.25">
      <c r="A232" s="156" t="s">
        <v>545</v>
      </c>
      <c r="B232" s="156" t="s">
        <v>170</v>
      </c>
      <c r="C232" s="156" t="s">
        <v>171</v>
      </c>
      <c r="D232" s="156" t="s">
        <v>541</v>
      </c>
      <c r="E232" s="179">
        <v>83546141</v>
      </c>
      <c r="F232" s="179">
        <v>83546141</v>
      </c>
      <c r="G232" s="179">
        <v>44073070</v>
      </c>
      <c r="H232" s="179">
        <v>0</v>
      </c>
      <c r="I232" s="179">
        <v>5426581</v>
      </c>
      <c r="J232" s="179">
        <v>0</v>
      </c>
      <c r="K232" s="179">
        <v>25358126</v>
      </c>
      <c r="L232" s="179">
        <v>25358126</v>
      </c>
      <c r="M232" s="179">
        <v>52761434</v>
      </c>
      <c r="N232" s="179">
        <v>13288363</v>
      </c>
    </row>
    <row r="233" spans="1:14" s="156" customFormat="1" x14ac:dyDescent="0.25">
      <c r="A233" s="156" t="s">
        <v>545</v>
      </c>
      <c r="B233" s="156" t="s">
        <v>172</v>
      </c>
      <c r="C233" s="156" t="s">
        <v>173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309</v>
      </c>
      <c r="C234" s="156" t="s">
        <v>310</v>
      </c>
      <c r="D234" s="156" t="s">
        <v>541</v>
      </c>
      <c r="E234" s="179">
        <v>0</v>
      </c>
      <c r="F234" s="179">
        <v>0</v>
      </c>
      <c r="G234" s="179">
        <v>0</v>
      </c>
      <c r="H234" s="179">
        <v>0</v>
      </c>
      <c r="I234" s="179">
        <v>0</v>
      </c>
      <c r="J234" s="179">
        <v>0</v>
      </c>
      <c r="K234" s="179">
        <v>0</v>
      </c>
      <c r="L234" s="179">
        <v>0</v>
      </c>
      <c r="M234" s="179">
        <v>0</v>
      </c>
      <c r="N234" s="179">
        <v>0</v>
      </c>
    </row>
    <row r="235" spans="1:14" s="156" customFormat="1" x14ac:dyDescent="0.25">
      <c r="A235" s="156" t="s">
        <v>545</v>
      </c>
      <c r="B235" s="156" t="s">
        <v>178</v>
      </c>
      <c r="C235" s="156" t="s">
        <v>179</v>
      </c>
      <c r="D235" s="156" t="s">
        <v>541</v>
      </c>
      <c r="E235" s="179">
        <v>89480793</v>
      </c>
      <c r="F235" s="179">
        <v>89480793</v>
      </c>
      <c r="G235" s="179">
        <v>42220396</v>
      </c>
      <c r="H235" s="179">
        <v>0</v>
      </c>
      <c r="I235" s="179">
        <v>21137938.190000001</v>
      </c>
      <c r="J235" s="179">
        <v>1058618.99</v>
      </c>
      <c r="K235" s="179">
        <v>14105896.550000001</v>
      </c>
      <c r="L235" s="179">
        <v>9836121.25</v>
      </c>
      <c r="M235" s="179">
        <v>53178339.270000003</v>
      </c>
      <c r="N235" s="179">
        <v>5917942.2699999996</v>
      </c>
    </row>
    <row r="236" spans="1:14" s="156" customFormat="1" x14ac:dyDescent="0.25">
      <c r="A236" s="156" t="s">
        <v>545</v>
      </c>
      <c r="B236" s="156" t="s">
        <v>180</v>
      </c>
      <c r="C236" s="156" t="s">
        <v>181</v>
      </c>
      <c r="D236" s="156" t="s">
        <v>541</v>
      </c>
      <c r="E236" s="179">
        <v>13000000</v>
      </c>
      <c r="F236" s="179">
        <v>13000000</v>
      </c>
      <c r="G236" s="179">
        <v>8000000</v>
      </c>
      <c r="H236" s="179">
        <v>0</v>
      </c>
      <c r="I236" s="179">
        <v>2278063.0499999998</v>
      </c>
      <c r="J236" s="179">
        <v>0</v>
      </c>
      <c r="K236" s="179">
        <v>3515094.62</v>
      </c>
      <c r="L236" s="179">
        <v>2070272.92</v>
      </c>
      <c r="M236" s="179">
        <v>7206842.3300000001</v>
      </c>
      <c r="N236" s="179">
        <v>2206842.33</v>
      </c>
    </row>
    <row r="237" spans="1:14" s="156" customFormat="1" x14ac:dyDescent="0.25">
      <c r="A237" s="156" t="s">
        <v>545</v>
      </c>
      <c r="B237" s="156" t="s">
        <v>332</v>
      </c>
      <c r="C237" s="156" t="s">
        <v>333</v>
      </c>
      <c r="D237" s="156" t="s">
        <v>541</v>
      </c>
      <c r="E237" s="179">
        <v>1918000</v>
      </c>
      <c r="F237" s="179">
        <v>1918000</v>
      </c>
      <c r="G237" s="179">
        <v>1359000</v>
      </c>
      <c r="H237" s="179">
        <v>0</v>
      </c>
      <c r="I237" s="179">
        <v>443517.88</v>
      </c>
      <c r="J237" s="179">
        <v>0</v>
      </c>
      <c r="K237" s="179">
        <v>756606.25</v>
      </c>
      <c r="L237" s="179">
        <v>756606.25</v>
      </c>
      <c r="M237" s="179">
        <v>717875.87</v>
      </c>
      <c r="N237" s="179">
        <v>158875.87</v>
      </c>
    </row>
    <row r="238" spans="1:14" s="156" customFormat="1" x14ac:dyDescent="0.25">
      <c r="A238" s="156" t="s">
        <v>545</v>
      </c>
      <c r="B238" s="156" t="s">
        <v>182</v>
      </c>
      <c r="C238" s="156" t="s">
        <v>183</v>
      </c>
      <c r="D238" s="156" t="s">
        <v>541</v>
      </c>
      <c r="E238" s="179">
        <v>25420000</v>
      </c>
      <c r="F238" s="179">
        <v>25420000</v>
      </c>
      <c r="G238" s="179">
        <v>12660000</v>
      </c>
      <c r="H238" s="179">
        <v>0</v>
      </c>
      <c r="I238" s="179">
        <v>10792989</v>
      </c>
      <c r="J238" s="179">
        <v>0</v>
      </c>
      <c r="K238" s="179">
        <v>1133135</v>
      </c>
      <c r="L238" s="179">
        <v>486256</v>
      </c>
      <c r="M238" s="179">
        <v>13493876</v>
      </c>
      <c r="N238" s="179">
        <v>733876</v>
      </c>
    </row>
    <row r="239" spans="1:14" s="156" customFormat="1" x14ac:dyDescent="0.25">
      <c r="A239" s="156" t="s">
        <v>545</v>
      </c>
      <c r="B239" s="156" t="s">
        <v>184</v>
      </c>
      <c r="C239" s="156" t="s">
        <v>185</v>
      </c>
      <c r="D239" s="156" t="s">
        <v>541</v>
      </c>
      <c r="E239" s="179">
        <v>7181770</v>
      </c>
      <c r="F239" s="179">
        <v>7181770</v>
      </c>
      <c r="G239" s="179">
        <v>3590884</v>
      </c>
      <c r="H239" s="179">
        <v>0</v>
      </c>
      <c r="I239" s="179">
        <v>2061583.2</v>
      </c>
      <c r="J239" s="179">
        <v>0</v>
      </c>
      <c r="K239" s="179">
        <v>800000</v>
      </c>
      <c r="L239" s="179">
        <v>800000</v>
      </c>
      <c r="M239" s="179">
        <v>4320186.8</v>
      </c>
      <c r="N239" s="179">
        <v>729300.8</v>
      </c>
    </row>
    <row r="240" spans="1:14" s="156" customFormat="1" x14ac:dyDescent="0.25">
      <c r="A240" s="156" t="s">
        <v>545</v>
      </c>
      <c r="B240" s="156" t="s">
        <v>186</v>
      </c>
      <c r="C240" s="156" t="s">
        <v>187</v>
      </c>
      <c r="D240" s="156" t="s">
        <v>541</v>
      </c>
      <c r="E240" s="179">
        <v>8196286</v>
      </c>
      <c r="F240" s="179">
        <v>8196286</v>
      </c>
      <c r="G240" s="179">
        <v>4098144</v>
      </c>
      <c r="H240" s="179">
        <v>0</v>
      </c>
      <c r="I240" s="179">
        <v>1332293</v>
      </c>
      <c r="J240" s="179">
        <v>138618.99</v>
      </c>
      <c r="K240" s="179">
        <v>2247048.2000000002</v>
      </c>
      <c r="L240" s="179">
        <v>878973.6</v>
      </c>
      <c r="M240" s="179">
        <v>4478325.8099999996</v>
      </c>
      <c r="N240" s="179">
        <v>380183.81</v>
      </c>
    </row>
    <row r="241" spans="1:14" s="156" customFormat="1" x14ac:dyDescent="0.25">
      <c r="A241" s="156" t="s">
        <v>545</v>
      </c>
      <c r="B241" s="156" t="s">
        <v>188</v>
      </c>
      <c r="C241" s="156" t="s">
        <v>189</v>
      </c>
      <c r="D241" s="156" t="s">
        <v>541</v>
      </c>
      <c r="E241" s="179">
        <v>28160737</v>
      </c>
      <c r="F241" s="179">
        <v>28160737</v>
      </c>
      <c r="G241" s="179">
        <v>10410368</v>
      </c>
      <c r="H241" s="179">
        <v>0</v>
      </c>
      <c r="I241" s="179">
        <v>2995000</v>
      </c>
      <c r="J241" s="179">
        <v>920000</v>
      </c>
      <c r="K241" s="179">
        <v>5654012.4800000004</v>
      </c>
      <c r="L241" s="179">
        <v>4844012.4800000004</v>
      </c>
      <c r="M241" s="179">
        <v>18591724.52</v>
      </c>
      <c r="N241" s="179">
        <v>841355.52</v>
      </c>
    </row>
    <row r="242" spans="1:14" s="156" customFormat="1" x14ac:dyDescent="0.25">
      <c r="A242" s="156" t="s">
        <v>545</v>
      </c>
      <c r="B242" s="156" t="s">
        <v>190</v>
      </c>
      <c r="C242" s="156" t="s">
        <v>191</v>
      </c>
      <c r="D242" s="156" t="s">
        <v>541</v>
      </c>
      <c r="E242" s="179">
        <v>5604000</v>
      </c>
      <c r="F242" s="179">
        <v>5604000</v>
      </c>
      <c r="G242" s="179">
        <v>2102000</v>
      </c>
      <c r="H242" s="179">
        <v>0</v>
      </c>
      <c r="I242" s="179">
        <v>1234492.06</v>
      </c>
      <c r="J242" s="179">
        <v>0</v>
      </c>
      <c r="K242" s="179">
        <v>0</v>
      </c>
      <c r="L242" s="179">
        <v>0</v>
      </c>
      <c r="M242" s="179">
        <v>4369507.9400000004</v>
      </c>
      <c r="N242" s="179">
        <v>867507.94</v>
      </c>
    </row>
    <row r="243" spans="1:14" s="156" customFormat="1" x14ac:dyDescent="0.25">
      <c r="A243" s="156" t="s">
        <v>545</v>
      </c>
      <c r="B243" s="156" t="s">
        <v>192</v>
      </c>
      <c r="C243" s="156" t="s">
        <v>193</v>
      </c>
      <c r="D243" s="156" t="s">
        <v>541</v>
      </c>
      <c r="E243" s="179">
        <v>1340000</v>
      </c>
      <c r="F243" s="179">
        <v>1340000</v>
      </c>
      <c r="G243" s="179">
        <v>1270000</v>
      </c>
      <c r="H243" s="179">
        <v>0</v>
      </c>
      <c r="I243" s="179">
        <v>24800</v>
      </c>
      <c r="J243" s="179">
        <v>0</v>
      </c>
      <c r="K243" s="179">
        <v>200</v>
      </c>
      <c r="L243" s="179">
        <v>200</v>
      </c>
      <c r="M243" s="179">
        <v>1315000</v>
      </c>
      <c r="N243" s="179">
        <v>1245000</v>
      </c>
    </row>
    <row r="244" spans="1:14" s="156" customFormat="1" x14ac:dyDescent="0.25">
      <c r="A244" s="156" t="s">
        <v>545</v>
      </c>
      <c r="B244" s="156" t="s">
        <v>194</v>
      </c>
      <c r="C244" s="156" t="s">
        <v>195</v>
      </c>
      <c r="D244" s="156" t="s">
        <v>541</v>
      </c>
      <c r="E244" s="179">
        <v>1340000</v>
      </c>
      <c r="F244" s="179">
        <v>1340000</v>
      </c>
      <c r="G244" s="179">
        <v>1270000</v>
      </c>
      <c r="H244" s="179">
        <v>0</v>
      </c>
      <c r="I244" s="179">
        <v>24800</v>
      </c>
      <c r="J244" s="179">
        <v>0</v>
      </c>
      <c r="K244" s="179">
        <v>200</v>
      </c>
      <c r="L244" s="179">
        <v>200</v>
      </c>
      <c r="M244" s="179">
        <v>1315000</v>
      </c>
      <c r="N244" s="179">
        <v>1245000</v>
      </c>
    </row>
    <row r="245" spans="1:14" s="156" customFormat="1" x14ac:dyDescent="0.25">
      <c r="A245" s="156" t="s">
        <v>545</v>
      </c>
      <c r="B245" s="156" t="s">
        <v>196</v>
      </c>
      <c r="C245" s="156" t="s">
        <v>197</v>
      </c>
      <c r="D245" s="156" t="s">
        <v>541</v>
      </c>
      <c r="E245" s="179">
        <v>2150000</v>
      </c>
      <c r="F245" s="179">
        <v>2150000</v>
      </c>
      <c r="G245" s="179">
        <v>675000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2036792.22</v>
      </c>
      <c r="N245" s="179">
        <v>561792.22</v>
      </c>
    </row>
    <row r="246" spans="1:14" s="156" customFormat="1" x14ac:dyDescent="0.25">
      <c r="A246" s="156" t="s">
        <v>545</v>
      </c>
      <c r="B246" s="156" t="s">
        <v>334</v>
      </c>
      <c r="C246" s="156" t="s">
        <v>335</v>
      </c>
      <c r="D246" s="156" t="s">
        <v>541</v>
      </c>
      <c r="E246" s="179">
        <v>150000</v>
      </c>
      <c r="F246" s="179">
        <v>150000</v>
      </c>
      <c r="G246" s="179">
        <v>150000</v>
      </c>
      <c r="H246" s="179">
        <v>0</v>
      </c>
      <c r="I246" s="179">
        <v>113207.78</v>
      </c>
      <c r="J246" s="179">
        <v>0</v>
      </c>
      <c r="K246" s="179">
        <v>0</v>
      </c>
      <c r="L246" s="179">
        <v>0</v>
      </c>
      <c r="M246" s="179">
        <v>36792.22</v>
      </c>
      <c r="N246" s="179">
        <v>36792.22</v>
      </c>
    </row>
    <row r="247" spans="1:14" s="156" customFormat="1" x14ac:dyDescent="0.25">
      <c r="A247" s="156" t="s">
        <v>545</v>
      </c>
      <c r="B247" s="156" t="s">
        <v>198</v>
      </c>
      <c r="C247" s="156" t="s">
        <v>199</v>
      </c>
      <c r="D247" s="156" t="s">
        <v>541</v>
      </c>
      <c r="E247" s="179">
        <v>2000000</v>
      </c>
      <c r="F247" s="179">
        <v>2000000</v>
      </c>
      <c r="G247" s="179">
        <v>525000</v>
      </c>
      <c r="H247" s="179">
        <v>0</v>
      </c>
      <c r="I247" s="179">
        <v>0</v>
      </c>
      <c r="J247" s="179">
        <v>0</v>
      </c>
      <c r="K247" s="179">
        <v>0</v>
      </c>
      <c r="L247" s="179">
        <v>0</v>
      </c>
      <c r="M247" s="179">
        <v>2000000</v>
      </c>
      <c r="N247" s="179">
        <v>525000</v>
      </c>
    </row>
    <row r="248" spans="1:14" s="156" customFormat="1" x14ac:dyDescent="0.25">
      <c r="A248" s="156" t="s">
        <v>545</v>
      </c>
      <c r="B248" s="156" t="s">
        <v>200</v>
      </c>
      <c r="C248" s="156" t="s">
        <v>201</v>
      </c>
      <c r="D248" s="156" t="s">
        <v>541</v>
      </c>
      <c r="E248" s="179">
        <v>65233793</v>
      </c>
      <c r="F248" s="179">
        <v>65233793</v>
      </c>
      <c r="G248" s="179">
        <v>21136896</v>
      </c>
      <c r="H248" s="179">
        <v>0</v>
      </c>
      <c r="I248" s="179">
        <v>4190386.21</v>
      </c>
      <c r="J248" s="179">
        <v>0</v>
      </c>
      <c r="K248" s="179">
        <v>6602798.79</v>
      </c>
      <c r="L248" s="179">
        <v>6602798.79</v>
      </c>
      <c r="M248" s="179">
        <v>54440608</v>
      </c>
      <c r="N248" s="179">
        <v>10343711</v>
      </c>
    </row>
    <row r="249" spans="1:14" s="156" customFormat="1" x14ac:dyDescent="0.25">
      <c r="A249" s="156" t="s">
        <v>545</v>
      </c>
      <c r="B249" s="156" t="s">
        <v>202</v>
      </c>
      <c r="C249" s="156" t="s">
        <v>203</v>
      </c>
      <c r="D249" s="156" t="s">
        <v>541</v>
      </c>
      <c r="E249" s="179">
        <v>34706100</v>
      </c>
      <c r="F249" s="179">
        <v>34706100</v>
      </c>
      <c r="G249" s="179">
        <v>15353050</v>
      </c>
      <c r="H249" s="179">
        <v>0</v>
      </c>
      <c r="I249" s="179">
        <v>4013671.21</v>
      </c>
      <c r="J249" s="179">
        <v>0</v>
      </c>
      <c r="K249" s="179">
        <v>5682398.79</v>
      </c>
      <c r="L249" s="179">
        <v>5682398.79</v>
      </c>
      <c r="M249" s="179">
        <v>25010030</v>
      </c>
      <c r="N249" s="179">
        <v>5656980</v>
      </c>
    </row>
    <row r="250" spans="1:14" s="156" customFormat="1" x14ac:dyDescent="0.25">
      <c r="A250" s="156" t="s">
        <v>545</v>
      </c>
      <c r="B250" s="156" t="s">
        <v>204</v>
      </c>
      <c r="C250" s="156" t="s">
        <v>205</v>
      </c>
      <c r="D250" s="156" t="s">
        <v>541</v>
      </c>
      <c r="E250" s="179">
        <v>26298967</v>
      </c>
      <c r="F250" s="179">
        <v>26298967</v>
      </c>
      <c r="G250" s="179">
        <v>13149484</v>
      </c>
      <c r="H250" s="179">
        <v>0</v>
      </c>
      <c r="I250" s="179">
        <v>4013671.21</v>
      </c>
      <c r="J250" s="179">
        <v>0</v>
      </c>
      <c r="K250" s="179">
        <v>5682398.79</v>
      </c>
      <c r="L250" s="179">
        <v>5682398.79</v>
      </c>
      <c r="M250" s="179">
        <v>16602897</v>
      </c>
      <c r="N250" s="179">
        <v>3453414</v>
      </c>
    </row>
    <row r="251" spans="1:14" s="156" customFormat="1" x14ac:dyDescent="0.25">
      <c r="A251" s="156" t="s">
        <v>545</v>
      </c>
      <c r="B251" s="156" t="s">
        <v>208</v>
      </c>
      <c r="C251" s="156" t="s">
        <v>209</v>
      </c>
      <c r="D251" s="156" t="s">
        <v>541</v>
      </c>
      <c r="E251" s="179">
        <v>8102133</v>
      </c>
      <c r="F251" s="179">
        <v>8102133</v>
      </c>
      <c r="G251" s="179">
        <v>2051066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8102133</v>
      </c>
      <c r="N251" s="179">
        <v>2051066</v>
      </c>
    </row>
    <row r="252" spans="1:14" s="156" customFormat="1" x14ac:dyDescent="0.25">
      <c r="A252" s="156" t="s">
        <v>545</v>
      </c>
      <c r="B252" s="156" t="s">
        <v>210</v>
      </c>
      <c r="C252" s="156" t="s">
        <v>211</v>
      </c>
      <c r="D252" s="156" t="s">
        <v>541</v>
      </c>
      <c r="E252" s="179">
        <v>305000</v>
      </c>
      <c r="F252" s="179">
        <v>305000</v>
      </c>
      <c r="G252" s="179">
        <v>152500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305000</v>
      </c>
      <c r="N252" s="179">
        <v>152500</v>
      </c>
    </row>
    <row r="253" spans="1:14" s="156" customFormat="1" x14ac:dyDescent="0.25">
      <c r="A253" s="156" t="s">
        <v>545</v>
      </c>
      <c r="B253" s="156" t="s">
        <v>216</v>
      </c>
      <c r="C253" s="156" t="s">
        <v>217</v>
      </c>
      <c r="D253" s="156" t="s">
        <v>541</v>
      </c>
      <c r="E253" s="179">
        <v>2978000</v>
      </c>
      <c r="F253" s="179">
        <v>2978000</v>
      </c>
      <c r="G253" s="179">
        <v>989000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2978000</v>
      </c>
      <c r="N253" s="179">
        <v>989000</v>
      </c>
    </row>
    <row r="254" spans="1:14" s="156" customFormat="1" x14ac:dyDescent="0.25">
      <c r="A254" s="156" t="s">
        <v>545</v>
      </c>
      <c r="B254" s="156" t="s">
        <v>218</v>
      </c>
      <c r="C254" s="156" t="s">
        <v>219</v>
      </c>
      <c r="D254" s="156" t="s">
        <v>541</v>
      </c>
      <c r="E254" s="179">
        <v>830000</v>
      </c>
      <c r="F254" s="179">
        <v>830000</v>
      </c>
      <c r="G254" s="179">
        <v>215000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830000</v>
      </c>
      <c r="N254" s="179">
        <v>215000</v>
      </c>
    </row>
    <row r="255" spans="1:14" s="156" customFormat="1" x14ac:dyDescent="0.25">
      <c r="A255" s="156" t="s">
        <v>545</v>
      </c>
      <c r="B255" s="156" t="s">
        <v>336</v>
      </c>
      <c r="C255" s="156" t="s">
        <v>337</v>
      </c>
      <c r="D255" s="156" t="s">
        <v>541</v>
      </c>
      <c r="E255" s="179">
        <v>67000</v>
      </c>
      <c r="F255" s="179">
        <v>67000</v>
      </c>
      <c r="G255" s="179">
        <v>33500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67000</v>
      </c>
      <c r="N255" s="179">
        <v>33500</v>
      </c>
    </row>
    <row r="256" spans="1:14" s="156" customFormat="1" x14ac:dyDescent="0.25">
      <c r="A256" s="156" t="s">
        <v>545</v>
      </c>
      <c r="B256" s="156" t="s">
        <v>338</v>
      </c>
      <c r="C256" s="156" t="s">
        <v>339</v>
      </c>
      <c r="D256" s="156" t="s">
        <v>541</v>
      </c>
      <c r="E256" s="179">
        <v>99000</v>
      </c>
      <c r="F256" s="179">
        <v>99000</v>
      </c>
      <c r="G256" s="179">
        <v>49500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99000</v>
      </c>
      <c r="N256" s="179">
        <v>49500</v>
      </c>
    </row>
    <row r="257" spans="1:14" s="156" customFormat="1" x14ac:dyDescent="0.25">
      <c r="A257" s="156" t="s">
        <v>545</v>
      </c>
      <c r="B257" s="156" t="s">
        <v>220</v>
      </c>
      <c r="C257" s="156" t="s">
        <v>221</v>
      </c>
      <c r="D257" s="156" t="s">
        <v>541</v>
      </c>
      <c r="E257" s="179">
        <v>1345000</v>
      </c>
      <c r="F257" s="179">
        <v>1345000</v>
      </c>
      <c r="G257" s="179">
        <v>372500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1345000</v>
      </c>
      <c r="N257" s="179">
        <v>372500</v>
      </c>
    </row>
    <row r="258" spans="1:14" s="156" customFormat="1" x14ac:dyDescent="0.25">
      <c r="A258" s="156" t="s">
        <v>545</v>
      </c>
      <c r="B258" s="156" t="s">
        <v>222</v>
      </c>
      <c r="C258" s="156" t="s">
        <v>223</v>
      </c>
      <c r="D258" s="156" t="s">
        <v>541</v>
      </c>
      <c r="E258" s="179">
        <v>40000</v>
      </c>
      <c r="F258" s="179">
        <v>40000</v>
      </c>
      <c r="G258" s="179">
        <v>20000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40000</v>
      </c>
      <c r="N258" s="179">
        <v>20000</v>
      </c>
    </row>
    <row r="259" spans="1:14" s="156" customFormat="1" x14ac:dyDescent="0.25">
      <c r="A259" s="156" t="s">
        <v>545</v>
      </c>
      <c r="B259" s="156" t="s">
        <v>224</v>
      </c>
      <c r="C259" s="156" t="s">
        <v>225</v>
      </c>
      <c r="D259" s="156" t="s">
        <v>541</v>
      </c>
      <c r="E259" s="179">
        <v>198000</v>
      </c>
      <c r="F259" s="179">
        <v>198000</v>
      </c>
      <c r="G259" s="179">
        <v>99000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198000</v>
      </c>
      <c r="N259" s="179">
        <v>99000</v>
      </c>
    </row>
    <row r="260" spans="1:14" s="156" customFormat="1" x14ac:dyDescent="0.25">
      <c r="A260" s="156" t="s">
        <v>545</v>
      </c>
      <c r="B260" s="156" t="s">
        <v>226</v>
      </c>
      <c r="C260" s="156" t="s">
        <v>227</v>
      </c>
      <c r="D260" s="156" t="s">
        <v>541</v>
      </c>
      <c r="E260" s="179">
        <v>399000</v>
      </c>
      <c r="F260" s="179">
        <v>399000</v>
      </c>
      <c r="G260" s="179">
        <v>199500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399000</v>
      </c>
      <c r="N260" s="179">
        <v>199500</v>
      </c>
    </row>
    <row r="261" spans="1:14" s="156" customFormat="1" x14ac:dyDescent="0.25">
      <c r="A261" s="156" t="s">
        <v>545</v>
      </c>
      <c r="B261" s="156" t="s">
        <v>228</v>
      </c>
      <c r="C261" s="156" t="s">
        <v>229</v>
      </c>
      <c r="D261" s="156" t="s">
        <v>541</v>
      </c>
      <c r="E261" s="179">
        <v>3047000</v>
      </c>
      <c r="F261" s="179">
        <v>3047000</v>
      </c>
      <c r="G261" s="179">
        <v>873500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3047000</v>
      </c>
      <c r="N261" s="179">
        <v>873500</v>
      </c>
    </row>
    <row r="262" spans="1:14" s="156" customFormat="1" x14ac:dyDescent="0.25">
      <c r="A262" s="156" t="s">
        <v>545</v>
      </c>
      <c r="B262" s="156" t="s">
        <v>230</v>
      </c>
      <c r="C262" s="156" t="s">
        <v>231</v>
      </c>
      <c r="D262" s="156" t="s">
        <v>541</v>
      </c>
      <c r="E262" s="179">
        <v>251000</v>
      </c>
      <c r="F262" s="179">
        <v>251000</v>
      </c>
      <c r="G262" s="179">
        <v>125500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251000</v>
      </c>
      <c r="N262" s="179">
        <v>125500</v>
      </c>
    </row>
    <row r="263" spans="1:14" s="156" customFormat="1" x14ac:dyDescent="0.25">
      <c r="A263" s="156" t="s">
        <v>545</v>
      </c>
      <c r="B263" s="156" t="s">
        <v>232</v>
      </c>
      <c r="C263" s="156" t="s">
        <v>233</v>
      </c>
      <c r="D263" s="156" t="s">
        <v>541</v>
      </c>
      <c r="E263" s="179">
        <v>2796000</v>
      </c>
      <c r="F263" s="179">
        <v>2796000</v>
      </c>
      <c r="G263" s="179">
        <v>748000</v>
      </c>
      <c r="H263" s="179">
        <v>0</v>
      </c>
      <c r="I263" s="179">
        <v>0</v>
      </c>
      <c r="J263" s="179">
        <v>0</v>
      </c>
      <c r="K263" s="179">
        <v>0</v>
      </c>
      <c r="L263" s="179">
        <v>0</v>
      </c>
      <c r="M263" s="179">
        <v>2796000</v>
      </c>
      <c r="N263" s="179">
        <v>748000</v>
      </c>
    </row>
    <row r="264" spans="1:14" s="156" customFormat="1" x14ac:dyDescent="0.25">
      <c r="A264" s="156" t="s">
        <v>545</v>
      </c>
      <c r="B264" s="156" t="s">
        <v>234</v>
      </c>
      <c r="C264" s="156" t="s">
        <v>601</v>
      </c>
      <c r="D264" s="156" t="s">
        <v>541</v>
      </c>
      <c r="E264" s="179">
        <v>24502693</v>
      </c>
      <c r="F264" s="179">
        <v>24502693</v>
      </c>
      <c r="G264" s="179">
        <v>3921346</v>
      </c>
      <c r="H264" s="179">
        <v>0</v>
      </c>
      <c r="I264" s="179">
        <v>176715</v>
      </c>
      <c r="J264" s="179">
        <v>0</v>
      </c>
      <c r="K264" s="179">
        <v>920400</v>
      </c>
      <c r="L264" s="179">
        <v>920400</v>
      </c>
      <c r="M264" s="179">
        <v>23405578</v>
      </c>
      <c r="N264" s="179">
        <v>2824231</v>
      </c>
    </row>
    <row r="265" spans="1:14" s="156" customFormat="1" x14ac:dyDescent="0.25">
      <c r="A265" s="156" t="s">
        <v>545</v>
      </c>
      <c r="B265" s="156" t="s">
        <v>235</v>
      </c>
      <c r="C265" s="156" t="s">
        <v>236</v>
      </c>
      <c r="D265" s="156" t="s">
        <v>541</v>
      </c>
      <c r="E265" s="179">
        <v>7116000</v>
      </c>
      <c r="F265" s="179">
        <v>7116000</v>
      </c>
      <c r="G265" s="179">
        <v>1908000</v>
      </c>
      <c r="H265" s="179">
        <v>0</v>
      </c>
      <c r="I265" s="179">
        <v>0</v>
      </c>
      <c r="J265" s="179">
        <v>0</v>
      </c>
      <c r="K265" s="179">
        <v>119000</v>
      </c>
      <c r="L265" s="179">
        <v>119000</v>
      </c>
      <c r="M265" s="179">
        <v>6997000</v>
      </c>
      <c r="N265" s="179">
        <v>1789000</v>
      </c>
    </row>
    <row r="266" spans="1:14" s="156" customFormat="1" x14ac:dyDescent="0.25">
      <c r="A266" s="156" t="s">
        <v>545</v>
      </c>
      <c r="B266" s="156" t="s">
        <v>237</v>
      </c>
      <c r="C266" s="156" t="s">
        <v>238</v>
      </c>
      <c r="D266" s="156" t="s">
        <v>541</v>
      </c>
      <c r="E266" s="179">
        <v>0</v>
      </c>
      <c r="F266" s="179">
        <v>0</v>
      </c>
      <c r="G266" s="179">
        <v>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0</v>
      </c>
      <c r="N266" s="179">
        <v>0</v>
      </c>
    </row>
    <row r="267" spans="1:14" s="156" customFormat="1" x14ac:dyDescent="0.25">
      <c r="A267" s="156" t="s">
        <v>545</v>
      </c>
      <c r="B267" s="156" t="s">
        <v>239</v>
      </c>
      <c r="C267" s="156" t="s">
        <v>240</v>
      </c>
      <c r="D267" s="156" t="s">
        <v>541</v>
      </c>
      <c r="E267" s="179">
        <v>15203693</v>
      </c>
      <c r="F267" s="179">
        <v>15203693</v>
      </c>
      <c r="G267" s="179">
        <v>871846</v>
      </c>
      <c r="H267" s="179">
        <v>0</v>
      </c>
      <c r="I267" s="179">
        <v>39375</v>
      </c>
      <c r="J267" s="179">
        <v>0</v>
      </c>
      <c r="K267" s="179">
        <v>410000</v>
      </c>
      <c r="L267" s="179">
        <v>410000</v>
      </c>
      <c r="M267" s="179">
        <v>14754318</v>
      </c>
      <c r="N267" s="179">
        <v>422471</v>
      </c>
    </row>
    <row r="268" spans="1:14" s="156" customFormat="1" x14ac:dyDescent="0.25">
      <c r="A268" s="156" t="s">
        <v>545</v>
      </c>
      <c r="B268" s="156" t="s">
        <v>241</v>
      </c>
      <c r="C268" s="156" t="s">
        <v>242</v>
      </c>
      <c r="D268" s="156" t="s">
        <v>541</v>
      </c>
      <c r="E268" s="179">
        <v>133000</v>
      </c>
      <c r="F268" s="179">
        <v>133000</v>
      </c>
      <c r="G268" s="179">
        <v>66500</v>
      </c>
      <c r="H268" s="179">
        <v>0</v>
      </c>
      <c r="I268" s="179">
        <v>0</v>
      </c>
      <c r="J268" s="179">
        <v>0</v>
      </c>
      <c r="K268" s="179">
        <v>0</v>
      </c>
      <c r="L268" s="179">
        <v>0</v>
      </c>
      <c r="M268" s="179">
        <v>133000</v>
      </c>
      <c r="N268" s="179">
        <v>66500</v>
      </c>
    </row>
    <row r="269" spans="1:14" s="156" customFormat="1" x14ac:dyDescent="0.25">
      <c r="A269" s="156" t="s">
        <v>545</v>
      </c>
      <c r="B269" s="156" t="s">
        <v>243</v>
      </c>
      <c r="C269" s="156" t="s">
        <v>244</v>
      </c>
      <c r="D269" s="156" t="s">
        <v>541</v>
      </c>
      <c r="E269" s="179">
        <v>1356000</v>
      </c>
      <c r="F269" s="179">
        <v>1356000</v>
      </c>
      <c r="G269" s="179">
        <v>728000</v>
      </c>
      <c r="H269" s="179">
        <v>0</v>
      </c>
      <c r="I269" s="179">
        <v>0</v>
      </c>
      <c r="J269" s="179">
        <v>0</v>
      </c>
      <c r="K269" s="179">
        <v>386600</v>
      </c>
      <c r="L269" s="179">
        <v>386600</v>
      </c>
      <c r="M269" s="179">
        <v>969400</v>
      </c>
      <c r="N269" s="179">
        <v>341400</v>
      </c>
    </row>
    <row r="270" spans="1:14" s="156" customFormat="1" x14ac:dyDescent="0.25">
      <c r="A270" s="156" t="s">
        <v>545</v>
      </c>
      <c r="B270" s="156" t="s">
        <v>245</v>
      </c>
      <c r="C270" s="156" t="s">
        <v>246</v>
      </c>
      <c r="D270" s="156" t="s">
        <v>541</v>
      </c>
      <c r="E270" s="179">
        <v>123000</v>
      </c>
      <c r="F270" s="179">
        <v>123000</v>
      </c>
      <c r="G270" s="179">
        <v>61500</v>
      </c>
      <c r="H270" s="179">
        <v>0</v>
      </c>
      <c r="I270" s="179">
        <v>0</v>
      </c>
      <c r="J270" s="179">
        <v>0</v>
      </c>
      <c r="K270" s="179">
        <v>4800</v>
      </c>
      <c r="L270" s="179">
        <v>4800</v>
      </c>
      <c r="M270" s="179">
        <v>118200</v>
      </c>
      <c r="N270" s="179">
        <v>56700</v>
      </c>
    </row>
    <row r="271" spans="1:14" s="156" customFormat="1" x14ac:dyDescent="0.25">
      <c r="A271" s="156" t="s">
        <v>545</v>
      </c>
      <c r="B271" s="156" t="s">
        <v>249</v>
      </c>
      <c r="C271" s="156" t="s">
        <v>250</v>
      </c>
      <c r="D271" s="156" t="s">
        <v>541</v>
      </c>
      <c r="E271" s="179">
        <v>571000</v>
      </c>
      <c r="F271" s="179">
        <v>571000</v>
      </c>
      <c r="G271" s="179">
        <v>285500</v>
      </c>
      <c r="H271" s="179">
        <v>0</v>
      </c>
      <c r="I271" s="179">
        <v>137340</v>
      </c>
      <c r="J271" s="179">
        <v>0</v>
      </c>
      <c r="K271" s="179">
        <v>0</v>
      </c>
      <c r="L271" s="179">
        <v>0</v>
      </c>
      <c r="M271" s="179">
        <v>433660</v>
      </c>
      <c r="N271" s="179">
        <v>148160</v>
      </c>
    </row>
    <row r="272" spans="1:14" s="156" customFormat="1" x14ac:dyDescent="0.25">
      <c r="A272" s="156" t="s">
        <v>545</v>
      </c>
      <c r="B272" s="156" t="s">
        <v>251</v>
      </c>
      <c r="C272" s="156" t="s">
        <v>252</v>
      </c>
      <c r="D272" s="156" t="s">
        <v>541</v>
      </c>
      <c r="E272" s="179">
        <v>298129000</v>
      </c>
      <c r="F272" s="179">
        <v>298129000</v>
      </c>
      <c r="G272" s="179">
        <v>163323300</v>
      </c>
      <c r="H272" s="179">
        <v>0</v>
      </c>
      <c r="I272" s="179">
        <v>69670544.680000007</v>
      </c>
      <c r="J272" s="179">
        <v>0</v>
      </c>
      <c r="K272" s="179">
        <v>73744187.319999993</v>
      </c>
      <c r="L272" s="179">
        <v>73744187.319999993</v>
      </c>
      <c r="M272" s="179">
        <v>154714268</v>
      </c>
      <c r="N272" s="179">
        <v>19908568</v>
      </c>
    </row>
    <row r="273" spans="1:14" s="156" customFormat="1" x14ac:dyDescent="0.25">
      <c r="A273" s="156" t="s">
        <v>545</v>
      </c>
      <c r="B273" s="156" t="s">
        <v>253</v>
      </c>
      <c r="C273" s="156" t="s">
        <v>254</v>
      </c>
      <c r="D273" s="156" t="s">
        <v>541</v>
      </c>
      <c r="E273" s="179">
        <v>115667000</v>
      </c>
      <c r="F273" s="179">
        <v>115667000</v>
      </c>
      <c r="G273" s="179">
        <v>115667000</v>
      </c>
      <c r="H273" s="179">
        <v>0</v>
      </c>
      <c r="I273" s="179">
        <v>69665162.670000002</v>
      </c>
      <c r="J273" s="179">
        <v>0</v>
      </c>
      <c r="K273" s="179">
        <v>46001837.329999998</v>
      </c>
      <c r="L273" s="179">
        <v>46001837.329999998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344</v>
      </c>
      <c r="C274" s="156" t="s">
        <v>602</v>
      </c>
      <c r="D274" s="156" t="s">
        <v>541</v>
      </c>
      <c r="E274" s="179">
        <v>96260000</v>
      </c>
      <c r="F274" s="179">
        <v>96260000</v>
      </c>
      <c r="G274" s="179">
        <v>96260000</v>
      </c>
      <c r="H274" s="179">
        <v>0</v>
      </c>
      <c r="I274" s="179">
        <v>57976591.759999998</v>
      </c>
      <c r="J274" s="179">
        <v>0</v>
      </c>
      <c r="K274" s="179">
        <v>38283408.240000002</v>
      </c>
      <c r="L274" s="179">
        <v>38283408.240000002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345</v>
      </c>
      <c r="C275" s="156" t="s">
        <v>603</v>
      </c>
      <c r="D275" s="156" t="s">
        <v>541</v>
      </c>
      <c r="E275" s="179">
        <v>19407000</v>
      </c>
      <c r="F275" s="179">
        <v>19407000</v>
      </c>
      <c r="G275" s="179">
        <v>19407000</v>
      </c>
      <c r="H275" s="179">
        <v>0</v>
      </c>
      <c r="I275" s="179">
        <v>11688570.91</v>
      </c>
      <c r="J275" s="179">
        <v>0</v>
      </c>
      <c r="K275" s="179">
        <v>7718429.0899999999</v>
      </c>
      <c r="L275" s="179">
        <v>7718429.0899999999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261</v>
      </c>
      <c r="C276" s="156" t="s">
        <v>262</v>
      </c>
      <c r="D276" s="156" t="s">
        <v>541</v>
      </c>
      <c r="E276" s="179">
        <v>179462000</v>
      </c>
      <c r="F276" s="179">
        <v>179462000</v>
      </c>
      <c r="G276" s="179">
        <v>46906300</v>
      </c>
      <c r="H276" s="179">
        <v>0</v>
      </c>
      <c r="I276" s="179">
        <v>5382.01</v>
      </c>
      <c r="J276" s="179">
        <v>0</v>
      </c>
      <c r="K276" s="179">
        <v>27742349.989999998</v>
      </c>
      <c r="L276" s="179">
        <v>27742349.989999998</v>
      </c>
      <c r="M276" s="179">
        <v>151714268</v>
      </c>
      <c r="N276" s="179">
        <v>19158568</v>
      </c>
    </row>
    <row r="277" spans="1:14" s="156" customFormat="1" x14ac:dyDescent="0.25">
      <c r="A277" s="156" t="s">
        <v>545</v>
      </c>
      <c r="B277" s="156" t="s">
        <v>263</v>
      </c>
      <c r="C277" s="156" t="s">
        <v>264</v>
      </c>
      <c r="D277" s="156" t="s">
        <v>541</v>
      </c>
      <c r="E277" s="179">
        <v>150000000</v>
      </c>
      <c r="F277" s="179">
        <v>150000000</v>
      </c>
      <c r="G277" s="179">
        <v>17444300</v>
      </c>
      <c r="H277" s="179">
        <v>0</v>
      </c>
      <c r="I277" s="179">
        <v>5382.01</v>
      </c>
      <c r="J277" s="179">
        <v>0</v>
      </c>
      <c r="K277" s="179">
        <v>16763917.99</v>
      </c>
      <c r="L277" s="179">
        <v>16763917.99</v>
      </c>
      <c r="M277" s="179">
        <v>133230700</v>
      </c>
      <c r="N277" s="179">
        <v>675000</v>
      </c>
    </row>
    <row r="278" spans="1:14" s="156" customFormat="1" x14ac:dyDescent="0.25">
      <c r="A278" s="156" t="s">
        <v>545</v>
      </c>
      <c r="B278" s="156" t="s">
        <v>265</v>
      </c>
      <c r="C278" s="156" t="s">
        <v>266</v>
      </c>
      <c r="D278" s="156" t="s">
        <v>541</v>
      </c>
      <c r="E278" s="179">
        <v>29462000</v>
      </c>
      <c r="F278" s="179">
        <v>29462000</v>
      </c>
      <c r="G278" s="179">
        <v>29462000</v>
      </c>
      <c r="H278" s="179">
        <v>0</v>
      </c>
      <c r="I278" s="179">
        <v>0</v>
      </c>
      <c r="J278" s="179">
        <v>0</v>
      </c>
      <c r="K278" s="179">
        <v>10978432</v>
      </c>
      <c r="L278" s="179">
        <v>10978432</v>
      </c>
      <c r="M278" s="179">
        <v>18483568</v>
      </c>
      <c r="N278" s="179">
        <v>18483568</v>
      </c>
    </row>
    <row r="279" spans="1:14" s="156" customFormat="1" x14ac:dyDescent="0.25">
      <c r="A279" s="156" t="s">
        <v>545</v>
      </c>
      <c r="B279" s="156" t="s">
        <v>267</v>
      </c>
      <c r="C279" s="156" t="s">
        <v>268</v>
      </c>
      <c r="D279" s="156" t="s">
        <v>541</v>
      </c>
      <c r="E279" s="179">
        <v>3000000</v>
      </c>
      <c r="F279" s="179">
        <v>3000000</v>
      </c>
      <c r="G279" s="179">
        <v>750000</v>
      </c>
      <c r="H279" s="179">
        <v>0</v>
      </c>
      <c r="I279" s="179">
        <v>0</v>
      </c>
      <c r="J279" s="179">
        <v>0</v>
      </c>
      <c r="K279" s="179">
        <v>0</v>
      </c>
      <c r="L279" s="179">
        <v>0</v>
      </c>
      <c r="M279" s="179">
        <v>3000000</v>
      </c>
      <c r="N279" s="179">
        <v>750000</v>
      </c>
    </row>
    <row r="280" spans="1:14" s="156" customFormat="1" x14ac:dyDescent="0.25">
      <c r="A280" s="156" t="s">
        <v>545</v>
      </c>
      <c r="B280" s="156" t="s">
        <v>269</v>
      </c>
      <c r="C280" s="156" t="s">
        <v>270</v>
      </c>
      <c r="D280" s="156" t="s">
        <v>541</v>
      </c>
      <c r="E280" s="179">
        <v>3000000</v>
      </c>
      <c r="F280" s="179">
        <v>3000000</v>
      </c>
      <c r="G280" s="179">
        <v>750000</v>
      </c>
      <c r="H280" s="179">
        <v>0</v>
      </c>
      <c r="I280" s="179">
        <v>0</v>
      </c>
      <c r="J280" s="179">
        <v>0</v>
      </c>
      <c r="K280" s="179">
        <v>0</v>
      </c>
      <c r="L280" s="179">
        <v>0</v>
      </c>
      <c r="M280" s="179">
        <v>3000000</v>
      </c>
      <c r="N280" s="179">
        <v>750000</v>
      </c>
    </row>
    <row r="281" spans="1:14" s="156" customFormat="1" x14ac:dyDescent="0.25">
      <c r="A281" s="156" t="s">
        <v>545</v>
      </c>
      <c r="B281" s="156" t="s">
        <v>279</v>
      </c>
      <c r="C281" s="156" t="s">
        <v>280</v>
      </c>
      <c r="D281" s="156" t="s">
        <v>543</v>
      </c>
      <c r="E281" s="179">
        <v>47031000</v>
      </c>
      <c r="F281" s="179">
        <v>47031000</v>
      </c>
      <c r="G281" s="179">
        <v>39729500</v>
      </c>
      <c r="H281" s="179">
        <v>0</v>
      </c>
      <c r="I281" s="179">
        <v>7421402.3600000003</v>
      </c>
      <c r="J281" s="179">
        <v>1350982.19</v>
      </c>
      <c r="K281" s="179">
        <v>14010931.57</v>
      </c>
      <c r="L281" s="179">
        <v>13762283.65</v>
      </c>
      <c r="M281" s="179">
        <v>24247683.879999999</v>
      </c>
      <c r="N281" s="179">
        <v>16946183.879999999</v>
      </c>
    </row>
    <row r="282" spans="1:14" s="156" customFormat="1" x14ac:dyDescent="0.25">
      <c r="A282" s="156" t="s">
        <v>545</v>
      </c>
      <c r="B282" s="156" t="s">
        <v>281</v>
      </c>
      <c r="C282" s="156" t="s">
        <v>282</v>
      </c>
      <c r="D282" s="156" t="s">
        <v>543</v>
      </c>
      <c r="E282" s="179">
        <v>25000000</v>
      </c>
      <c r="F282" s="179">
        <v>23649017.809999999</v>
      </c>
      <c r="G282" s="179">
        <v>16347517.810000001</v>
      </c>
      <c r="H282" s="179">
        <v>0</v>
      </c>
      <c r="I282" s="179">
        <v>0</v>
      </c>
      <c r="J282" s="179">
        <v>0</v>
      </c>
      <c r="K282" s="179">
        <v>13762283.65</v>
      </c>
      <c r="L282" s="179">
        <v>13762283.65</v>
      </c>
      <c r="M282" s="179">
        <v>9886734.1600000001</v>
      </c>
      <c r="N282" s="179">
        <v>2585234.16</v>
      </c>
    </row>
    <row r="283" spans="1:14" s="156" customFormat="1" x14ac:dyDescent="0.25">
      <c r="A283" s="156" t="s">
        <v>545</v>
      </c>
      <c r="B283" s="156" t="s">
        <v>398</v>
      </c>
      <c r="C283" s="156" t="s">
        <v>501</v>
      </c>
      <c r="D283" s="156" t="s">
        <v>543</v>
      </c>
      <c r="E283" s="179">
        <v>15000000</v>
      </c>
      <c r="F283" s="179">
        <v>15000000</v>
      </c>
      <c r="G283" s="179">
        <v>13762284</v>
      </c>
      <c r="H283" s="179">
        <v>0</v>
      </c>
      <c r="I283" s="179">
        <v>0</v>
      </c>
      <c r="J283" s="179">
        <v>0</v>
      </c>
      <c r="K283" s="179">
        <v>13762283.65</v>
      </c>
      <c r="L283" s="179">
        <v>13762283.65</v>
      </c>
      <c r="M283" s="179">
        <v>1237716.3500000001</v>
      </c>
      <c r="N283" s="179">
        <v>0.35</v>
      </c>
    </row>
    <row r="284" spans="1:14" s="156" customFormat="1" x14ac:dyDescent="0.25">
      <c r="A284" s="156" t="s">
        <v>545</v>
      </c>
      <c r="B284" s="156" t="s">
        <v>285</v>
      </c>
      <c r="C284" s="156" t="s">
        <v>286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287</v>
      </c>
      <c r="C285" s="156" t="s">
        <v>288</v>
      </c>
      <c r="D285" s="156" t="s">
        <v>543</v>
      </c>
      <c r="E285" s="179">
        <v>0</v>
      </c>
      <c r="F285" s="179">
        <v>0</v>
      </c>
      <c r="G285" s="179">
        <v>0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289</v>
      </c>
      <c r="C286" s="156" t="s">
        <v>290</v>
      </c>
      <c r="D286" s="156" t="s">
        <v>543</v>
      </c>
      <c r="E286" s="179">
        <v>10000000</v>
      </c>
      <c r="F286" s="179">
        <v>8649017.8100000005</v>
      </c>
      <c r="G286" s="179">
        <v>2585233.81</v>
      </c>
      <c r="H286" s="179">
        <v>0</v>
      </c>
      <c r="I286" s="179">
        <v>0</v>
      </c>
      <c r="J286" s="179">
        <v>0</v>
      </c>
      <c r="K286" s="179">
        <v>0</v>
      </c>
      <c r="L286" s="179">
        <v>0</v>
      </c>
      <c r="M286" s="179">
        <v>8649017.8100000005</v>
      </c>
      <c r="N286" s="179">
        <v>2585233.81</v>
      </c>
    </row>
    <row r="287" spans="1:14" s="156" customFormat="1" x14ac:dyDescent="0.25">
      <c r="A287" s="156" t="s">
        <v>545</v>
      </c>
      <c r="B287" s="156" t="s">
        <v>291</v>
      </c>
      <c r="C287" s="156" t="s">
        <v>292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297</v>
      </c>
      <c r="C288" s="156" t="s">
        <v>298</v>
      </c>
      <c r="D288" s="156" t="s">
        <v>543</v>
      </c>
      <c r="E288" s="179">
        <v>0</v>
      </c>
      <c r="F288" s="179">
        <v>1350982.19</v>
      </c>
      <c r="G288" s="179">
        <v>1350982.19</v>
      </c>
      <c r="H288" s="179">
        <v>0</v>
      </c>
      <c r="I288" s="179">
        <v>0</v>
      </c>
      <c r="J288" s="179">
        <v>1350982.19</v>
      </c>
      <c r="K288" s="179">
        <v>0</v>
      </c>
      <c r="L288" s="179">
        <v>0</v>
      </c>
      <c r="M288" s="179">
        <v>0</v>
      </c>
      <c r="N288" s="179">
        <v>0</v>
      </c>
    </row>
    <row r="289" spans="1:14" s="156" customFormat="1" x14ac:dyDescent="0.25">
      <c r="A289" s="156" t="s">
        <v>545</v>
      </c>
      <c r="B289" s="156" t="s">
        <v>299</v>
      </c>
      <c r="C289" s="156" t="s">
        <v>300</v>
      </c>
      <c r="D289" s="156" t="s">
        <v>543</v>
      </c>
      <c r="E289" s="179">
        <v>0</v>
      </c>
      <c r="F289" s="179">
        <v>1350982.19</v>
      </c>
      <c r="G289" s="179">
        <v>1350982.19</v>
      </c>
      <c r="H289" s="179">
        <v>0</v>
      </c>
      <c r="I289" s="179">
        <v>0</v>
      </c>
      <c r="J289" s="179">
        <v>1350982.19</v>
      </c>
      <c r="K289" s="179">
        <v>0</v>
      </c>
      <c r="L289" s="179">
        <v>0</v>
      </c>
      <c r="M289" s="179">
        <v>0</v>
      </c>
      <c r="N289" s="179">
        <v>0</v>
      </c>
    </row>
    <row r="290" spans="1:14" s="156" customFormat="1" x14ac:dyDescent="0.25">
      <c r="A290" s="156" t="s">
        <v>545</v>
      </c>
      <c r="B290" s="156" t="s">
        <v>340</v>
      </c>
      <c r="C290" s="156" t="s">
        <v>341</v>
      </c>
      <c r="D290" s="156" t="s">
        <v>543</v>
      </c>
      <c r="E290" s="179">
        <v>22031000</v>
      </c>
      <c r="F290" s="179">
        <v>22031000</v>
      </c>
      <c r="G290" s="179">
        <v>22031000</v>
      </c>
      <c r="H290" s="179">
        <v>0</v>
      </c>
      <c r="I290" s="179">
        <v>7421402.3600000003</v>
      </c>
      <c r="J290" s="179">
        <v>0</v>
      </c>
      <c r="K290" s="179">
        <v>248647.92</v>
      </c>
      <c r="L290" s="179">
        <v>0</v>
      </c>
      <c r="M290" s="179">
        <v>14360949.720000001</v>
      </c>
      <c r="N290" s="179">
        <v>14360949.720000001</v>
      </c>
    </row>
    <row r="291" spans="1:14" s="156" customFormat="1" x14ac:dyDescent="0.25">
      <c r="A291" s="156" t="s">
        <v>545</v>
      </c>
      <c r="B291" s="156" t="s">
        <v>342</v>
      </c>
      <c r="C291" s="156" t="s">
        <v>343</v>
      </c>
      <c r="D291" s="156" t="s">
        <v>543</v>
      </c>
      <c r="E291" s="179">
        <v>22031000</v>
      </c>
      <c r="F291" s="179">
        <v>22031000</v>
      </c>
      <c r="G291" s="179">
        <v>22031000</v>
      </c>
      <c r="H291" s="179">
        <v>0</v>
      </c>
      <c r="I291" s="179">
        <v>7421402.3600000003</v>
      </c>
      <c r="J291" s="179">
        <v>0</v>
      </c>
      <c r="K291" s="179">
        <v>248647.92</v>
      </c>
      <c r="L291" s="179">
        <v>0</v>
      </c>
      <c r="M291" s="179">
        <v>14360949.720000001</v>
      </c>
      <c r="N291" s="179">
        <v>14360949.720000001</v>
      </c>
    </row>
    <row r="292" spans="1:14" s="156" customFormat="1" x14ac:dyDescent="0.25">
      <c r="A292" s="156">
        <v>214783</v>
      </c>
      <c r="B292" s="156" t="s">
        <v>587</v>
      </c>
      <c r="C292" s="156" t="s">
        <v>587</v>
      </c>
      <c r="D292" s="156" t="s">
        <v>541</v>
      </c>
      <c r="E292" s="179">
        <v>106163237755</v>
      </c>
      <c r="F292" s="179">
        <v>112163237755</v>
      </c>
      <c r="G292" s="179">
        <v>91509405562.899994</v>
      </c>
      <c r="H292" s="179">
        <v>233554461.50999999</v>
      </c>
      <c r="I292" s="179">
        <v>12965180273.75</v>
      </c>
      <c r="J292" s="179">
        <v>478752079.41000003</v>
      </c>
      <c r="K292" s="179">
        <v>36750879651.699997</v>
      </c>
      <c r="L292" s="179">
        <v>36017472974.160004</v>
      </c>
      <c r="M292" s="179">
        <v>61734871288.629997</v>
      </c>
      <c r="N292" s="179">
        <v>41081039096.529999</v>
      </c>
    </row>
    <row r="293" spans="1:14" s="156" customFormat="1" x14ac:dyDescent="0.25">
      <c r="A293" s="156" t="s">
        <v>546</v>
      </c>
      <c r="B293" s="156" t="s">
        <v>92</v>
      </c>
      <c r="C293" s="156" t="s">
        <v>93</v>
      </c>
      <c r="D293" s="156" t="s">
        <v>541</v>
      </c>
      <c r="E293" s="179">
        <v>69224041000</v>
      </c>
      <c r="F293" s="179">
        <v>69224041000</v>
      </c>
      <c r="G293" s="179">
        <v>69024041000</v>
      </c>
      <c r="H293" s="179">
        <v>0</v>
      </c>
      <c r="I293" s="179">
        <v>5982688611.5</v>
      </c>
      <c r="J293" s="179">
        <v>0</v>
      </c>
      <c r="K293" s="179">
        <v>28032015144.200001</v>
      </c>
      <c r="L293" s="179">
        <v>28032015144.200001</v>
      </c>
      <c r="M293" s="179">
        <v>35209337244.300003</v>
      </c>
      <c r="N293" s="179">
        <v>35009337244.300003</v>
      </c>
    </row>
    <row r="294" spans="1:14" s="156" customFormat="1" x14ac:dyDescent="0.25">
      <c r="A294" s="156" t="s">
        <v>546</v>
      </c>
      <c r="B294" s="156" t="s">
        <v>94</v>
      </c>
      <c r="C294" s="156" t="s">
        <v>95</v>
      </c>
      <c r="D294" s="156" t="s">
        <v>541</v>
      </c>
      <c r="E294" s="179">
        <v>25618223000</v>
      </c>
      <c r="F294" s="179">
        <v>25618223000</v>
      </c>
      <c r="G294" s="179">
        <v>25618223000</v>
      </c>
      <c r="H294" s="179">
        <v>0</v>
      </c>
      <c r="I294" s="179">
        <v>160325</v>
      </c>
      <c r="J294" s="179">
        <v>0</v>
      </c>
      <c r="K294" s="179">
        <v>9824698125.1200008</v>
      </c>
      <c r="L294" s="179">
        <v>9824698125.1200008</v>
      </c>
      <c r="M294" s="179">
        <v>15793364549.879999</v>
      </c>
      <c r="N294" s="179">
        <v>15793364549.879999</v>
      </c>
    </row>
    <row r="295" spans="1:14" s="156" customFormat="1" x14ac:dyDescent="0.25">
      <c r="A295" s="156" t="s">
        <v>546</v>
      </c>
      <c r="B295" s="156" t="s">
        <v>96</v>
      </c>
      <c r="C295" s="156" t="s">
        <v>97</v>
      </c>
      <c r="D295" s="156" t="s">
        <v>541</v>
      </c>
      <c r="E295" s="179">
        <v>25601107000</v>
      </c>
      <c r="F295" s="179">
        <v>25601107000</v>
      </c>
      <c r="G295" s="179">
        <v>25601107000</v>
      </c>
      <c r="H295" s="179">
        <v>0</v>
      </c>
      <c r="I295" s="179">
        <v>160325</v>
      </c>
      <c r="J295" s="179">
        <v>0</v>
      </c>
      <c r="K295" s="179">
        <v>9809426325.1200008</v>
      </c>
      <c r="L295" s="179">
        <v>9809426325.1200008</v>
      </c>
      <c r="M295" s="179">
        <v>15791520349.879999</v>
      </c>
      <c r="N295" s="179">
        <v>15791520349.879999</v>
      </c>
    </row>
    <row r="296" spans="1:14" s="156" customFormat="1" x14ac:dyDescent="0.25">
      <c r="A296" s="156" t="s">
        <v>546</v>
      </c>
      <c r="B296" s="156" t="s">
        <v>346</v>
      </c>
      <c r="C296" s="156" t="s">
        <v>347</v>
      </c>
      <c r="D296" s="156" t="s">
        <v>541</v>
      </c>
      <c r="E296" s="179">
        <v>17116000</v>
      </c>
      <c r="F296" s="179">
        <v>17116000</v>
      </c>
      <c r="G296" s="179">
        <v>17116000</v>
      </c>
      <c r="H296" s="179">
        <v>0</v>
      </c>
      <c r="I296" s="179">
        <v>0</v>
      </c>
      <c r="J296" s="179">
        <v>0</v>
      </c>
      <c r="K296" s="179">
        <v>15271800</v>
      </c>
      <c r="L296" s="179">
        <v>15271800</v>
      </c>
      <c r="M296" s="179">
        <v>1844200</v>
      </c>
      <c r="N296" s="179">
        <v>1844200</v>
      </c>
    </row>
    <row r="297" spans="1:14" s="156" customFormat="1" x14ac:dyDescent="0.25">
      <c r="A297" s="156" t="s">
        <v>546</v>
      </c>
      <c r="B297" s="156" t="s">
        <v>98</v>
      </c>
      <c r="C297" s="156" t="s">
        <v>99</v>
      </c>
      <c r="D297" s="156" t="s">
        <v>541</v>
      </c>
      <c r="E297" s="179">
        <v>3406791000</v>
      </c>
      <c r="F297" s="179">
        <v>3406791000</v>
      </c>
      <c r="G297" s="179">
        <v>3406791000</v>
      </c>
      <c r="H297" s="179">
        <v>0</v>
      </c>
      <c r="I297" s="179">
        <v>40081.25</v>
      </c>
      <c r="J297" s="179">
        <v>0</v>
      </c>
      <c r="K297" s="179">
        <v>1506387748.29</v>
      </c>
      <c r="L297" s="179">
        <v>1506387748.29</v>
      </c>
      <c r="M297" s="179">
        <v>1900363170.46</v>
      </c>
      <c r="N297" s="179">
        <v>1900363170.46</v>
      </c>
    </row>
    <row r="298" spans="1:14" s="156" customFormat="1" x14ac:dyDescent="0.25">
      <c r="A298" s="156" t="s">
        <v>546</v>
      </c>
      <c r="B298" s="156" t="s">
        <v>100</v>
      </c>
      <c r="C298" s="156" t="s">
        <v>101</v>
      </c>
      <c r="D298" s="156" t="s">
        <v>541</v>
      </c>
      <c r="E298" s="179">
        <v>8000000</v>
      </c>
      <c r="F298" s="179">
        <v>8000000</v>
      </c>
      <c r="G298" s="179">
        <v>8000000</v>
      </c>
      <c r="H298" s="179">
        <v>0</v>
      </c>
      <c r="I298" s="179">
        <v>0</v>
      </c>
      <c r="J298" s="179">
        <v>0</v>
      </c>
      <c r="K298" s="179">
        <v>3008346.56</v>
      </c>
      <c r="L298" s="179">
        <v>3008346.56</v>
      </c>
      <c r="M298" s="179">
        <v>4991653.4400000004</v>
      </c>
      <c r="N298" s="179">
        <v>4991653.4400000004</v>
      </c>
    </row>
    <row r="299" spans="1:14" s="156" customFormat="1" x14ac:dyDescent="0.25">
      <c r="A299" s="156" t="s">
        <v>546</v>
      </c>
      <c r="B299" s="156" t="s">
        <v>348</v>
      </c>
      <c r="C299" s="156" t="s">
        <v>349</v>
      </c>
      <c r="D299" s="156" t="s">
        <v>541</v>
      </c>
      <c r="E299" s="179">
        <v>24994000</v>
      </c>
      <c r="F299" s="179">
        <v>24994000</v>
      </c>
      <c r="G299" s="179">
        <v>24994000</v>
      </c>
      <c r="H299" s="179">
        <v>0</v>
      </c>
      <c r="I299" s="179">
        <v>0</v>
      </c>
      <c r="J299" s="179">
        <v>0</v>
      </c>
      <c r="K299" s="179">
        <v>2932969</v>
      </c>
      <c r="L299" s="179">
        <v>2932969</v>
      </c>
      <c r="M299" s="179">
        <v>22061031</v>
      </c>
      <c r="N299" s="179">
        <v>22061031</v>
      </c>
    </row>
    <row r="300" spans="1:14" s="156" customFormat="1" x14ac:dyDescent="0.25">
      <c r="A300" s="156" t="s">
        <v>546</v>
      </c>
      <c r="B300" s="156" t="s">
        <v>350</v>
      </c>
      <c r="C300" s="156" t="s">
        <v>351</v>
      </c>
      <c r="D300" s="156" t="s">
        <v>541</v>
      </c>
      <c r="E300" s="179">
        <v>3373797000</v>
      </c>
      <c r="F300" s="179">
        <v>3373797000</v>
      </c>
      <c r="G300" s="179">
        <v>3373797000</v>
      </c>
      <c r="H300" s="179">
        <v>0</v>
      </c>
      <c r="I300" s="179">
        <v>40081.25</v>
      </c>
      <c r="J300" s="179">
        <v>0</v>
      </c>
      <c r="K300" s="179">
        <v>1500446432.73</v>
      </c>
      <c r="L300" s="179">
        <v>1500446432.73</v>
      </c>
      <c r="M300" s="179">
        <v>1873310486.02</v>
      </c>
      <c r="N300" s="179">
        <v>1873310486.02</v>
      </c>
    </row>
    <row r="301" spans="1:14" s="156" customFormat="1" x14ac:dyDescent="0.25">
      <c r="A301" s="156" t="s">
        <v>546</v>
      </c>
      <c r="B301" s="156" t="s">
        <v>102</v>
      </c>
      <c r="C301" s="156" t="s">
        <v>103</v>
      </c>
      <c r="D301" s="156" t="s">
        <v>541</v>
      </c>
      <c r="E301" s="179">
        <v>29694590000</v>
      </c>
      <c r="F301" s="179">
        <v>29694590000</v>
      </c>
      <c r="G301" s="179">
        <v>29494590000</v>
      </c>
      <c r="H301" s="179">
        <v>0</v>
      </c>
      <c r="I301" s="179">
        <v>118113.25</v>
      </c>
      <c r="J301" s="179">
        <v>0</v>
      </c>
      <c r="K301" s="179">
        <v>12178862362.790001</v>
      </c>
      <c r="L301" s="179">
        <v>12178862362.790001</v>
      </c>
      <c r="M301" s="179">
        <v>17515609523.959999</v>
      </c>
      <c r="N301" s="179">
        <v>17315609523.959999</v>
      </c>
    </row>
    <row r="302" spans="1:14" s="156" customFormat="1" x14ac:dyDescent="0.25">
      <c r="A302" s="156" t="s">
        <v>546</v>
      </c>
      <c r="B302" s="156" t="s">
        <v>104</v>
      </c>
      <c r="C302" s="156" t="s">
        <v>105</v>
      </c>
      <c r="D302" s="156" t="s">
        <v>541</v>
      </c>
      <c r="E302" s="179">
        <v>9856906000</v>
      </c>
      <c r="F302" s="179">
        <v>9856906000</v>
      </c>
      <c r="G302" s="179">
        <v>9656906000</v>
      </c>
      <c r="H302" s="179">
        <v>0</v>
      </c>
      <c r="I302" s="179">
        <v>49881.5</v>
      </c>
      <c r="J302" s="179">
        <v>0</v>
      </c>
      <c r="K302" s="179">
        <v>3832597141.4499998</v>
      </c>
      <c r="L302" s="179">
        <v>3832597141.4499998</v>
      </c>
      <c r="M302" s="179">
        <v>6024258977.0500002</v>
      </c>
      <c r="N302" s="179">
        <v>5824258977.0500002</v>
      </c>
    </row>
    <row r="303" spans="1:14" s="156" customFormat="1" x14ac:dyDescent="0.25">
      <c r="A303" s="156" t="s">
        <v>546</v>
      </c>
      <c r="B303" s="156" t="s">
        <v>106</v>
      </c>
      <c r="C303" s="156" t="s">
        <v>107</v>
      </c>
      <c r="D303" s="156" t="s">
        <v>541</v>
      </c>
      <c r="E303" s="179">
        <v>3637068000</v>
      </c>
      <c r="F303" s="179">
        <v>3637068000</v>
      </c>
      <c r="G303" s="179">
        <v>3637068000</v>
      </c>
      <c r="H303" s="179">
        <v>0</v>
      </c>
      <c r="I303" s="179">
        <v>0</v>
      </c>
      <c r="J303" s="179">
        <v>0</v>
      </c>
      <c r="K303" s="179">
        <v>1353288603.75</v>
      </c>
      <c r="L303" s="179">
        <v>1353288603.75</v>
      </c>
      <c r="M303" s="179">
        <v>2283779396.25</v>
      </c>
      <c r="N303" s="179">
        <v>2283779396.25</v>
      </c>
    </row>
    <row r="304" spans="1:14" s="156" customFormat="1" x14ac:dyDescent="0.25">
      <c r="A304" s="156" t="s">
        <v>546</v>
      </c>
      <c r="B304" s="156" t="s">
        <v>108</v>
      </c>
      <c r="C304" s="156" t="s">
        <v>109</v>
      </c>
      <c r="D304" s="156" t="s">
        <v>541</v>
      </c>
      <c r="E304" s="179">
        <v>3859929000</v>
      </c>
      <c r="F304" s="179">
        <v>3859929000</v>
      </c>
      <c r="G304" s="179">
        <v>3859929000</v>
      </c>
      <c r="H304" s="179">
        <v>0</v>
      </c>
      <c r="I304" s="179">
        <v>0</v>
      </c>
      <c r="J304" s="179">
        <v>0</v>
      </c>
      <c r="K304" s="179">
        <v>3840892017.1399999</v>
      </c>
      <c r="L304" s="179">
        <v>3840892017.1399999</v>
      </c>
      <c r="M304" s="179">
        <v>19036982.859999999</v>
      </c>
      <c r="N304" s="179">
        <v>19036982.859999999</v>
      </c>
    </row>
    <row r="305" spans="1:14" s="156" customFormat="1" x14ac:dyDescent="0.25">
      <c r="A305" s="156" t="s">
        <v>546</v>
      </c>
      <c r="B305" s="156" t="s">
        <v>110</v>
      </c>
      <c r="C305" s="156" t="s">
        <v>111</v>
      </c>
      <c r="D305" s="156" t="s">
        <v>541</v>
      </c>
      <c r="E305" s="179">
        <v>7961754000</v>
      </c>
      <c r="F305" s="179">
        <v>7961754000</v>
      </c>
      <c r="G305" s="179">
        <v>7961754000</v>
      </c>
      <c r="H305" s="179">
        <v>0</v>
      </c>
      <c r="I305" s="179">
        <v>68231.75</v>
      </c>
      <c r="J305" s="179">
        <v>0</v>
      </c>
      <c r="K305" s="179">
        <v>3146331138.1900001</v>
      </c>
      <c r="L305" s="179">
        <v>3146331138.1900001</v>
      </c>
      <c r="M305" s="179">
        <v>4815354630.0600004</v>
      </c>
      <c r="N305" s="179">
        <v>4815354630.0600004</v>
      </c>
    </row>
    <row r="306" spans="1:14" s="156" customFormat="1" x14ac:dyDescent="0.25">
      <c r="A306" s="156" t="s">
        <v>546</v>
      </c>
      <c r="B306" s="156" t="s">
        <v>112</v>
      </c>
      <c r="C306" s="156" t="s">
        <v>113</v>
      </c>
      <c r="D306" s="156" t="s">
        <v>543</v>
      </c>
      <c r="E306" s="179">
        <v>4378933000</v>
      </c>
      <c r="F306" s="179">
        <v>4378933000</v>
      </c>
      <c r="G306" s="179">
        <v>4378933000</v>
      </c>
      <c r="H306" s="179">
        <v>0</v>
      </c>
      <c r="I306" s="179">
        <v>0</v>
      </c>
      <c r="J306" s="179">
        <v>0</v>
      </c>
      <c r="K306" s="179">
        <v>5753462.2599999998</v>
      </c>
      <c r="L306" s="179">
        <v>5753462.2599999998</v>
      </c>
      <c r="M306" s="179">
        <v>4373179537.7399998</v>
      </c>
      <c r="N306" s="179">
        <v>4373179537.7399998</v>
      </c>
    </row>
    <row r="307" spans="1:14" s="156" customFormat="1" x14ac:dyDescent="0.25">
      <c r="A307" s="156" t="s">
        <v>546</v>
      </c>
      <c r="B307" s="156" t="s">
        <v>114</v>
      </c>
      <c r="C307" s="156" t="s">
        <v>115</v>
      </c>
      <c r="D307" s="156" t="s">
        <v>541</v>
      </c>
      <c r="E307" s="179">
        <v>5298410000</v>
      </c>
      <c r="F307" s="179">
        <v>5298410000</v>
      </c>
      <c r="G307" s="179">
        <v>5298410000</v>
      </c>
      <c r="H307" s="179">
        <v>0</v>
      </c>
      <c r="I307" s="179">
        <v>3016938095</v>
      </c>
      <c r="J307" s="179">
        <v>0</v>
      </c>
      <c r="K307" s="179">
        <v>2281471905</v>
      </c>
      <c r="L307" s="179">
        <v>2281471905</v>
      </c>
      <c r="M307" s="179">
        <v>0</v>
      </c>
      <c r="N307" s="179">
        <v>0</v>
      </c>
    </row>
    <row r="308" spans="1:14" s="156" customFormat="1" x14ac:dyDescent="0.25">
      <c r="A308" s="156" t="s">
        <v>546</v>
      </c>
      <c r="B308" s="156" t="s">
        <v>352</v>
      </c>
      <c r="C308" s="156" t="s">
        <v>597</v>
      </c>
      <c r="D308" s="156" t="s">
        <v>541</v>
      </c>
      <c r="E308" s="179">
        <v>5026697000</v>
      </c>
      <c r="F308" s="179">
        <v>5026697000</v>
      </c>
      <c r="G308" s="179">
        <v>5026697000</v>
      </c>
      <c r="H308" s="179">
        <v>0</v>
      </c>
      <c r="I308" s="179">
        <v>2862198875</v>
      </c>
      <c r="J308" s="179">
        <v>0</v>
      </c>
      <c r="K308" s="179">
        <v>2164498125</v>
      </c>
      <c r="L308" s="179">
        <v>2164498125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353</v>
      </c>
      <c r="C309" s="156" t="s">
        <v>583</v>
      </c>
      <c r="D309" s="156" t="s">
        <v>541</v>
      </c>
      <c r="E309" s="179">
        <v>271713000</v>
      </c>
      <c r="F309" s="179">
        <v>271713000</v>
      </c>
      <c r="G309" s="179">
        <v>271713000</v>
      </c>
      <c r="H309" s="179">
        <v>0</v>
      </c>
      <c r="I309" s="179">
        <v>154739220</v>
      </c>
      <c r="J309" s="179">
        <v>0</v>
      </c>
      <c r="K309" s="179">
        <v>116973780</v>
      </c>
      <c r="L309" s="179">
        <v>116973780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118</v>
      </c>
      <c r="C310" s="156" t="s">
        <v>119</v>
      </c>
      <c r="D310" s="156" t="s">
        <v>541</v>
      </c>
      <c r="E310" s="179">
        <v>5206027000</v>
      </c>
      <c r="F310" s="179">
        <v>5206027000</v>
      </c>
      <c r="G310" s="179">
        <v>5206027000</v>
      </c>
      <c r="H310" s="179">
        <v>0</v>
      </c>
      <c r="I310" s="179">
        <v>2965431997</v>
      </c>
      <c r="J310" s="179">
        <v>0</v>
      </c>
      <c r="K310" s="179">
        <v>2240595003</v>
      </c>
      <c r="L310" s="179">
        <v>2240595003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354</v>
      </c>
      <c r="C311" s="156" t="s">
        <v>598</v>
      </c>
      <c r="D311" s="156" t="s">
        <v>541</v>
      </c>
      <c r="E311" s="179">
        <v>2760607000</v>
      </c>
      <c r="F311" s="179">
        <v>2760607000</v>
      </c>
      <c r="G311" s="179">
        <v>2760607000</v>
      </c>
      <c r="H311" s="179">
        <v>0</v>
      </c>
      <c r="I311" s="179">
        <v>1572778980</v>
      </c>
      <c r="J311" s="179">
        <v>0</v>
      </c>
      <c r="K311" s="179">
        <v>1187828020</v>
      </c>
      <c r="L311" s="179">
        <v>1187828020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355</v>
      </c>
      <c r="C312" s="156" t="s">
        <v>599</v>
      </c>
      <c r="D312" s="156" t="s">
        <v>541</v>
      </c>
      <c r="E312" s="179">
        <v>815140000</v>
      </c>
      <c r="F312" s="179">
        <v>815140000</v>
      </c>
      <c r="G312" s="179">
        <v>815140000</v>
      </c>
      <c r="H312" s="179">
        <v>0</v>
      </c>
      <c r="I312" s="179">
        <v>464217146</v>
      </c>
      <c r="J312" s="179">
        <v>0</v>
      </c>
      <c r="K312" s="179">
        <v>350922854</v>
      </c>
      <c r="L312" s="179">
        <v>350922854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356</v>
      </c>
      <c r="C313" s="156" t="s">
        <v>600</v>
      </c>
      <c r="D313" s="156" t="s">
        <v>541</v>
      </c>
      <c r="E313" s="179">
        <v>1630280000</v>
      </c>
      <c r="F313" s="179">
        <v>1630280000</v>
      </c>
      <c r="G313" s="179">
        <v>1630280000</v>
      </c>
      <c r="H313" s="179">
        <v>0</v>
      </c>
      <c r="I313" s="179">
        <v>928435871</v>
      </c>
      <c r="J313" s="179">
        <v>0</v>
      </c>
      <c r="K313" s="179">
        <v>701844129</v>
      </c>
      <c r="L313" s="179">
        <v>701844129</v>
      </c>
      <c r="M313" s="179">
        <v>0</v>
      </c>
      <c r="N313" s="179">
        <v>0</v>
      </c>
    </row>
    <row r="314" spans="1:14" s="156" customFormat="1" x14ac:dyDescent="0.25">
      <c r="A314" s="156" t="s">
        <v>546</v>
      </c>
      <c r="B314" s="156" t="s">
        <v>123</v>
      </c>
      <c r="C314" s="156" t="s">
        <v>124</v>
      </c>
      <c r="D314" s="156" t="s">
        <v>541</v>
      </c>
      <c r="E314" s="179">
        <v>9869454182</v>
      </c>
      <c r="F314" s="179">
        <v>13869454182</v>
      </c>
      <c r="G314" s="179">
        <v>8449981708.3999996</v>
      </c>
      <c r="H314" s="179">
        <v>61006498.509999998</v>
      </c>
      <c r="I314" s="179">
        <v>1060007758</v>
      </c>
      <c r="J314" s="179">
        <v>462021817.82999998</v>
      </c>
      <c r="K314" s="179">
        <v>3051603990.3699999</v>
      </c>
      <c r="L314" s="179">
        <v>2971331515.25</v>
      </c>
      <c r="M314" s="179">
        <v>9234814117.2900009</v>
      </c>
      <c r="N314" s="179">
        <v>3815341643.6900001</v>
      </c>
    </row>
    <row r="315" spans="1:14" s="156" customFormat="1" x14ac:dyDescent="0.25">
      <c r="A315" s="156" t="s">
        <v>546</v>
      </c>
      <c r="B315" s="156" t="s">
        <v>125</v>
      </c>
      <c r="C315" s="156" t="s">
        <v>126</v>
      </c>
      <c r="D315" s="156" t="s">
        <v>541</v>
      </c>
      <c r="E315" s="179">
        <v>3181468559</v>
      </c>
      <c r="F315" s="179">
        <v>7181468559</v>
      </c>
      <c r="G315" s="179">
        <v>5170984067.8999996</v>
      </c>
      <c r="H315" s="179">
        <v>52159348.509999998</v>
      </c>
      <c r="I315" s="179">
        <v>258895746.09999999</v>
      </c>
      <c r="J315" s="179">
        <v>447517283.60000002</v>
      </c>
      <c r="K315" s="179">
        <v>1137059738.9100001</v>
      </c>
      <c r="L315" s="179">
        <v>1072647635.29</v>
      </c>
      <c r="M315" s="179">
        <v>5285836441.8800001</v>
      </c>
      <c r="N315" s="179">
        <v>3275351950.7800002</v>
      </c>
    </row>
    <row r="316" spans="1:14" s="156" customFormat="1" x14ac:dyDescent="0.25">
      <c r="A316" s="156" t="s">
        <v>546</v>
      </c>
      <c r="B316" s="156" t="s">
        <v>306</v>
      </c>
      <c r="C316" s="156" t="s">
        <v>307</v>
      </c>
      <c r="D316" s="156" t="s">
        <v>541</v>
      </c>
      <c r="E316" s="179">
        <v>431740903</v>
      </c>
      <c r="F316" s="179">
        <v>431740903</v>
      </c>
      <c r="G316" s="179">
        <v>215870451.80000001</v>
      </c>
      <c r="H316" s="179">
        <v>0</v>
      </c>
      <c r="I316" s="179">
        <v>69551197.189999998</v>
      </c>
      <c r="J316" s="179">
        <v>0</v>
      </c>
      <c r="K316" s="179">
        <v>146091092.88</v>
      </c>
      <c r="L316" s="179">
        <v>146091092.88</v>
      </c>
      <c r="M316" s="179">
        <v>216098612.93000001</v>
      </c>
      <c r="N316" s="179">
        <v>228161.73</v>
      </c>
    </row>
    <row r="317" spans="1:14" s="156" customFormat="1" x14ac:dyDescent="0.25">
      <c r="A317" s="156" t="s">
        <v>546</v>
      </c>
      <c r="B317" s="156" t="s">
        <v>127</v>
      </c>
      <c r="C317" s="156" t="s">
        <v>128</v>
      </c>
      <c r="D317" s="156" t="s">
        <v>541</v>
      </c>
      <c r="E317" s="179">
        <v>719138329</v>
      </c>
      <c r="F317" s="179">
        <v>719138329</v>
      </c>
      <c r="G317" s="179">
        <v>359569164.30000001</v>
      </c>
      <c r="H317" s="179">
        <v>0</v>
      </c>
      <c r="I317" s="179">
        <v>32864262.620000001</v>
      </c>
      <c r="J317" s="179">
        <v>0</v>
      </c>
      <c r="K317" s="179">
        <v>272164144.31</v>
      </c>
      <c r="L317" s="179">
        <v>209264289.03999999</v>
      </c>
      <c r="M317" s="179">
        <v>414109922.06999999</v>
      </c>
      <c r="N317" s="179">
        <v>54540757.369999997</v>
      </c>
    </row>
    <row r="318" spans="1:14" s="156" customFormat="1" x14ac:dyDescent="0.25">
      <c r="A318" s="156" t="s">
        <v>546</v>
      </c>
      <c r="B318" s="156" t="s">
        <v>322</v>
      </c>
      <c r="C318" s="156" t="s">
        <v>323</v>
      </c>
      <c r="D318" s="156" t="s">
        <v>541</v>
      </c>
      <c r="E318" s="179">
        <v>23472000</v>
      </c>
      <c r="F318" s="179">
        <v>23472000</v>
      </c>
      <c r="G318" s="179">
        <v>11736000</v>
      </c>
      <c r="H318" s="179">
        <v>0</v>
      </c>
      <c r="I318" s="179">
        <v>6854754.0599999996</v>
      </c>
      <c r="J318" s="179">
        <v>0</v>
      </c>
      <c r="K318" s="179">
        <v>1627014.4</v>
      </c>
      <c r="L318" s="179">
        <v>1627014.4</v>
      </c>
      <c r="M318" s="179">
        <v>14990231.539999999</v>
      </c>
      <c r="N318" s="179">
        <v>3254231.54</v>
      </c>
    </row>
    <row r="319" spans="1:14" s="156" customFormat="1" x14ac:dyDescent="0.25">
      <c r="A319" s="156" t="s">
        <v>546</v>
      </c>
      <c r="B319" s="156" t="s">
        <v>129</v>
      </c>
      <c r="C319" s="156" t="s">
        <v>130</v>
      </c>
      <c r="D319" s="156" t="s">
        <v>541</v>
      </c>
      <c r="E319" s="179">
        <v>2007117327</v>
      </c>
      <c r="F319" s="179">
        <v>2007117327</v>
      </c>
      <c r="G319" s="179">
        <v>583808451.79999995</v>
      </c>
      <c r="H319" s="179">
        <v>52159348.509999998</v>
      </c>
      <c r="I319" s="179">
        <v>149625532.22999999</v>
      </c>
      <c r="J319" s="179">
        <v>0</v>
      </c>
      <c r="K319" s="179">
        <v>273318076.62</v>
      </c>
      <c r="L319" s="179">
        <v>271805828.26999998</v>
      </c>
      <c r="M319" s="179">
        <v>1532014369.6400001</v>
      </c>
      <c r="N319" s="179">
        <v>108705494.44</v>
      </c>
    </row>
    <row r="320" spans="1:14" s="156" customFormat="1" x14ac:dyDescent="0.25">
      <c r="A320" s="156" t="s">
        <v>546</v>
      </c>
      <c r="B320" s="156" t="s">
        <v>129</v>
      </c>
      <c r="C320" s="156" t="s">
        <v>130</v>
      </c>
      <c r="D320" s="156" t="s">
        <v>543</v>
      </c>
      <c r="E320" s="179">
        <v>0</v>
      </c>
      <c r="F320" s="179">
        <v>4000000000</v>
      </c>
      <c r="G320" s="179">
        <v>4000000000</v>
      </c>
      <c r="H320" s="179">
        <v>0</v>
      </c>
      <c r="I320" s="179">
        <v>0</v>
      </c>
      <c r="J320" s="179">
        <v>447517283.60000002</v>
      </c>
      <c r="K320" s="179">
        <v>443859410.69999999</v>
      </c>
      <c r="L320" s="179">
        <v>443859410.69999999</v>
      </c>
      <c r="M320" s="179">
        <v>3108623305.6999998</v>
      </c>
      <c r="N320" s="179">
        <v>3108623305.6999998</v>
      </c>
    </row>
    <row r="321" spans="1:14" s="156" customFormat="1" x14ac:dyDescent="0.25">
      <c r="A321" s="156" t="s">
        <v>546</v>
      </c>
      <c r="B321" s="156" t="s">
        <v>131</v>
      </c>
      <c r="C321" s="156" t="s">
        <v>132</v>
      </c>
      <c r="D321" s="156" t="s">
        <v>541</v>
      </c>
      <c r="E321" s="179">
        <v>4328674526</v>
      </c>
      <c r="F321" s="179">
        <v>4328674526</v>
      </c>
      <c r="G321" s="179">
        <v>2187066229.5</v>
      </c>
      <c r="H321" s="179">
        <v>0</v>
      </c>
      <c r="I321" s="179">
        <v>461742144.05000001</v>
      </c>
      <c r="J321" s="179">
        <v>3242700</v>
      </c>
      <c r="K321" s="179">
        <v>1631068992.1800001</v>
      </c>
      <c r="L321" s="179">
        <v>1627616602.3800001</v>
      </c>
      <c r="M321" s="179">
        <v>2232620689.77</v>
      </c>
      <c r="N321" s="179">
        <v>91012393.269999996</v>
      </c>
    </row>
    <row r="322" spans="1:14" s="156" customFormat="1" x14ac:dyDescent="0.25">
      <c r="A322" s="156" t="s">
        <v>546</v>
      </c>
      <c r="B322" s="156" t="s">
        <v>133</v>
      </c>
      <c r="C322" s="156" t="s">
        <v>134</v>
      </c>
      <c r="D322" s="156" t="s">
        <v>541</v>
      </c>
      <c r="E322" s="179">
        <v>2503011786</v>
      </c>
      <c r="F322" s="179">
        <v>2503011786</v>
      </c>
      <c r="G322" s="179">
        <v>1251505893.5</v>
      </c>
      <c r="H322" s="179">
        <v>0</v>
      </c>
      <c r="I322" s="179">
        <v>318745537.5</v>
      </c>
      <c r="J322" s="179">
        <v>0</v>
      </c>
      <c r="K322" s="179">
        <v>932558925</v>
      </c>
      <c r="L322" s="179">
        <v>931783068</v>
      </c>
      <c r="M322" s="179">
        <v>1251707323.5</v>
      </c>
      <c r="N322" s="179">
        <v>201431</v>
      </c>
    </row>
    <row r="323" spans="1:14" s="156" customFormat="1" x14ac:dyDescent="0.25">
      <c r="A323" s="156" t="s">
        <v>546</v>
      </c>
      <c r="B323" s="156" t="s">
        <v>135</v>
      </c>
      <c r="C323" s="156" t="s">
        <v>136</v>
      </c>
      <c r="D323" s="156" t="s">
        <v>541</v>
      </c>
      <c r="E323" s="179">
        <v>973642474</v>
      </c>
      <c r="F323" s="179">
        <v>973642474</v>
      </c>
      <c r="G323" s="179">
        <v>460154570.5</v>
      </c>
      <c r="H323" s="179">
        <v>0</v>
      </c>
      <c r="I323" s="179">
        <v>42711723.950000003</v>
      </c>
      <c r="J323" s="179">
        <v>0</v>
      </c>
      <c r="K323" s="179">
        <v>416667010.55000001</v>
      </c>
      <c r="L323" s="179">
        <v>416582622.55000001</v>
      </c>
      <c r="M323" s="179">
        <v>514263739.5</v>
      </c>
      <c r="N323" s="179">
        <v>775836</v>
      </c>
    </row>
    <row r="324" spans="1:14" s="156" customFormat="1" x14ac:dyDescent="0.25">
      <c r="A324" s="156" t="s">
        <v>546</v>
      </c>
      <c r="B324" s="156" t="s">
        <v>137</v>
      </c>
      <c r="C324" s="156" t="s">
        <v>138</v>
      </c>
      <c r="D324" s="156" t="s">
        <v>541</v>
      </c>
      <c r="E324" s="179">
        <v>3942858</v>
      </c>
      <c r="F324" s="179">
        <v>3942858</v>
      </c>
      <c r="G324" s="179">
        <v>3942857.5</v>
      </c>
      <c r="H324" s="179">
        <v>0</v>
      </c>
      <c r="I324" s="179">
        <v>3026092.5</v>
      </c>
      <c r="J324" s="179">
        <v>0</v>
      </c>
      <c r="K324" s="179">
        <v>477870</v>
      </c>
      <c r="L324" s="179">
        <v>477870</v>
      </c>
      <c r="M324" s="179">
        <v>438895.5</v>
      </c>
      <c r="N324" s="179">
        <v>438895</v>
      </c>
    </row>
    <row r="325" spans="1:14" s="156" customFormat="1" x14ac:dyDescent="0.25">
      <c r="A325" s="156" t="s">
        <v>546</v>
      </c>
      <c r="B325" s="156" t="s">
        <v>139</v>
      </c>
      <c r="C325" s="156" t="s">
        <v>140</v>
      </c>
      <c r="D325" s="156" t="s">
        <v>541</v>
      </c>
      <c r="E325" s="179">
        <v>753229000</v>
      </c>
      <c r="F325" s="179">
        <v>753229000</v>
      </c>
      <c r="G325" s="179">
        <v>376614500</v>
      </c>
      <c r="H325" s="179">
        <v>0</v>
      </c>
      <c r="I325" s="179">
        <v>88089895.409999996</v>
      </c>
      <c r="J325" s="179">
        <v>0</v>
      </c>
      <c r="K325" s="179">
        <v>230971649.06</v>
      </c>
      <c r="L325" s="179">
        <v>228784061.06</v>
      </c>
      <c r="M325" s="179">
        <v>434167455.52999997</v>
      </c>
      <c r="N325" s="179">
        <v>57552955.530000001</v>
      </c>
    </row>
    <row r="326" spans="1:14" s="156" customFormat="1" x14ac:dyDescent="0.25">
      <c r="A326" s="156" t="s">
        <v>546</v>
      </c>
      <c r="B326" s="156" t="s">
        <v>141</v>
      </c>
      <c r="C326" s="156" t="s">
        <v>142</v>
      </c>
      <c r="D326" s="156" t="s">
        <v>541</v>
      </c>
      <c r="E326" s="179">
        <v>94848408</v>
      </c>
      <c r="F326" s="179">
        <v>94848408</v>
      </c>
      <c r="G326" s="179">
        <v>94848408</v>
      </c>
      <c r="H326" s="179">
        <v>0</v>
      </c>
      <c r="I326" s="179">
        <v>9168894.6899999995</v>
      </c>
      <c r="J326" s="179">
        <v>3242700</v>
      </c>
      <c r="K326" s="179">
        <v>50393537.57</v>
      </c>
      <c r="L326" s="179">
        <v>49988980.770000003</v>
      </c>
      <c r="M326" s="179">
        <v>32043275.739999998</v>
      </c>
      <c r="N326" s="179">
        <v>32043275.739999998</v>
      </c>
    </row>
    <row r="327" spans="1:14" s="156" customFormat="1" x14ac:dyDescent="0.25">
      <c r="A327" s="156" t="s">
        <v>546</v>
      </c>
      <c r="B327" s="156" t="s">
        <v>143</v>
      </c>
      <c r="C327" s="156" t="s">
        <v>144</v>
      </c>
      <c r="D327" s="156" t="s">
        <v>541</v>
      </c>
      <c r="E327" s="179">
        <v>4451091</v>
      </c>
      <c r="F327" s="179">
        <v>4451091</v>
      </c>
      <c r="G327" s="179">
        <v>3141090.75</v>
      </c>
      <c r="H327" s="179">
        <v>0</v>
      </c>
      <c r="I327" s="179">
        <v>926640</v>
      </c>
      <c r="J327" s="179">
        <v>0</v>
      </c>
      <c r="K327" s="179">
        <v>493470</v>
      </c>
      <c r="L327" s="179">
        <v>457470</v>
      </c>
      <c r="M327" s="179">
        <v>3030981</v>
      </c>
      <c r="N327" s="179">
        <v>1720980.75</v>
      </c>
    </row>
    <row r="328" spans="1:14" s="156" customFormat="1" x14ac:dyDescent="0.25">
      <c r="A328" s="156" t="s">
        <v>546</v>
      </c>
      <c r="B328" s="156" t="s">
        <v>145</v>
      </c>
      <c r="C328" s="156" t="s">
        <v>146</v>
      </c>
      <c r="D328" s="156" t="s">
        <v>541</v>
      </c>
      <c r="E328" s="179">
        <v>1831091</v>
      </c>
      <c r="F328" s="179">
        <v>1831091</v>
      </c>
      <c r="G328" s="179">
        <v>1831090.75</v>
      </c>
      <c r="H328" s="179">
        <v>0</v>
      </c>
      <c r="I328" s="179">
        <v>0</v>
      </c>
      <c r="J328" s="179">
        <v>0</v>
      </c>
      <c r="K328" s="179">
        <v>413470</v>
      </c>
      <c r="L328" s="179">
        <v>413470</v>
      </c>
      <c r="M328" s="179">
        <v>1417621</v>
      </c>
      <c r="N328" s="179">
        <v>1417620.75</v>
      </c>
    </row>
    <row r="329" spans="1:14" s="156" customFormat="1" x14ac:dyDescent="0.25">
      <c r="A329" s="156" t="s">
        <v>546</v>
      </c>
      <c r="B329" s="156" t="s">
        <v>147</v>
      </c>
      <c r="C329" s="156" t="s">
        <v>148</v>
      </c>
      <c r="D329" s="156" t="s">
        <v>541</v>
      </c>
      <c r="E329" s="179">
        <v>2620000</v>
      </c>
      <c r="F329" s="179">
        <v>2620000</v>
      </c>
      <c r="G329" s="179">
        <v>1310000</v>
      </c>
      <c r="H329" s="179">
        <v>0</v>
      </c>
      <c r="I329" s="179">
        <v>926640</v>
      </c>
      <c r="J329" s="179">
        <v>0</v>
      </c>
      <c r="K329" s="179">
        <v>80000</v>
      </c>
      <c r="L329" s="179">
        <v>44000</v>
      </c>
      <c r="M329" s="179">
        <v>1613360</v>
      </c>
      <c r="N329" s="179">
        <v>303360</v>
      </c>
    </row>
    <row r="330" spans="1:14" s="156" customFormat="1" x14ac:dyDescent="0.25">
      <c r="A330" s="156" t="s">
        <v>546</v>
      </c>
      <c r="B330" s="156" t="s">
        <v>151</v>
      </c>
      <c r="C330" s="156" t="s">
        <v>152</v>
      </c>
      <c r="D330" s="156" t="s">
        <v>541</v>
      </c>
      <c r="E330" s="179">
        <v>310063679</v>
      </c>
      <c r="F330" s="179">
        <v>310063679</v>
      </c>
      <c r="G330" s="179">
        <v>165502169.68000001</v>
      </c>
      <c r="H330" s="179">
        <v>0</v>
      </c>
      <c r="I330" s="179">
        <v>32345297.460000001</v>
      </c>
      <c r="J330" s="179">
        <v>9601834.2300000004</v>
      </c>
      <c r="K330" s="179">
        <v>33462663.260000002</v>
      </c>
      <c r="L330" s="179">
        <v>33315553.260000002</v>
      </c>
      <c r="M330" s="179">
        <v>234653884.05000001</v>
      </c>
      <c r="N330" s="179">
        <v>90092374.730000004</v>
      </c>
    </row>
    <row r="331" spans="1:14" s="156" customFormat="1" x14ac:dyDescent="0.25">
      <c r="A331" s="156" t="s">
        <v>546</v>
      </c>
      <c r="B331" s="156" t="s">
        <v>359</v>
      </c>
      <c r="C331" s="156" t="s">
        <v>605</v>
      </c>
      <c r="D331" s="156" t="s">
        <v>541</v>
      </c>
      <c r="E331" s="179">
        <v>21381819</v>
      </c>
      <c r="F331" s="179">
        <v>21381819</v>
      </c>
      <c r="G331" s="179">
        <v>21381818.75</v>
      </c>
      <c r="H331" s="179">
        <v>0</v>
      </c>
      <c r="I331" s="179">
        <v>4190000</v>
      </c>
      <c r="J331" s="179">
        <v>0</v>
      </c>
      <c r="K331" s="179">
        <v>4166088</v>
      </c>
      <c r="L331" s="179">
        <v>4166088</v>
      </c>
      <c r="M331" s="179">
        <v>13025731</v>
      </c>
      <c r="N331" s="179">
        <v>13025730.75</v>
      </c>
    </row>
    <row r="332" spans="1:14" s="156" customFormat="1" x14ac:dyDescent="0.25">
      <c r="A332" s="156" t="s">
        <v>546</v>
      </c>
      <c r="B332" s="156" t="s">
        <v>330</v>
      </c>
      <c r="C332" s="156" t="s">
        <v>604</v>
      </c>
      <c r="D332" s="156" t="s">
        <v>541</v>
      </c>
      <c r="E332" s="179">
        <v>106119000</v>
      </c>
      <c r="F332" s="179">
        <v>106119000</v>
      </c>
      <c r="G332" s="179">
        <v>53059500</v>
      </c>
      <c r="H332" s="179">
        <v>0</v>
      </c>
      <c r="I332" s="179">
        <v>23909262.780000001</v>
      </c>
      <c r="J332" s="179">
        <v>0</v>
      </c>
      <c r="K332" s="179">
        <v>4135000</v>
      </c>
      <c r="L332" s="179">
        <v>4125000</v>
      </c>
      <c r="M332" s="179">
        <v>78074737.219999999</v>
      </c>
      <c r="N332" s="179">
        <v>25015237.219999999</v>
      </c>
    </row>
    <row r="333" spans="1:14" s="156" customFormat="1" x14ac:dyDescent="0.25">
      <c r="A333" s="156" t="s">
        <v>546</v>
      </c>
      <c r="B333" s="156" t="s">
        <v>154</v>
      </c>
      <c r="C333" s="156" t="s">
        <v>155</v>
      </c>
      <c r="D333" s="156" t="s">
        <v>541</v>
      </c>
      <c r="E333" s="179">
        <v>126000000</v>
      </c>
      <c r="F333" s="179">
        <v>126000000</v>
      </c>
      <c r="G333" s="179">
        <v>57000000</v>
      </c>
      <c r="H333" s="179">
        <v>0</v>
      </c>
      <c r="I333" s="179">
        <v>577454.6</v>
      </c>
      <c r="J333" s="179">
        <v>9601834.2300000004</v>
      </c>
      <c r="K333" s="179">
        <v>16442191.359999999</v>
      </c>
      <c r="L333" s="179">
        <v>16442191.359999999</v>
      </c>
      <c r="M333" s="179">
        <v>99378519.810000002</v>
      </c>
      <c r="N333" s="179">
        <v>30378519.809999999</v>
      </c>
    </row>
    <row r="334" spans="1:14" s="156" customFormat="1" x14ac:dyDescent="0.25">
      <c r="A334" s="156" t="s">
        <v>546</v>
      </c>
      <c r="B334" s="156" t="s">
        <v>156</v>
      </c>
      <c r="C334" s="156" t="s">
        <v>157</v>
      </c>
      <c r="D334" s="156" t="s">
        <v>541</v>
      </c>
      <c r="E334" s="179">
        <v>56562860</v>
      </c>
      <c r="F334" s="179">
        <v>56562860</v>
      </c>
      <c r="G334" s="179">
        <v>34060850.93</v>
      </c>
      <c r="H334" s="179">
        <v>0</v>
      </c>
      <c r="I334" s="179">
        <v>3668580.08</v>
      </c>
      <c r="J334" s="179">
        <v>0</v>
      </c>
      <c r="K334" s="179">
        <v>8719383.9000000004</v>
      </c>
      <c r="L334" s="179">
        <v>8582273.9000000004</v>
      </c>
      <c r="M334" s="179">
        <v>44174896.020000003</v>
      </c>
      <c r="N334" s="179">
        <v>21672886.949999999</v>
      </c>
    </row>
    <row r="335" spans="1:14" s="156" customFormat="1" x14ac:dyDescent="0.25">
      <c r="A335" s="156" t="s">
        <v>546</v>
      </c>
      <c r="B335" s="156" t="s">
        <v>158</v>
      </c>
      <c r="C335" s="156" t="s">
        <v>159</v>
      </c>
      <c r="D335" s="156" t="s">
        <v>541</v>
      </c>
      <c r="E335" s="179">
        <v>128523280</v>
      </c>
      <c r="F335" s="179">
        <v>128523280</v>
      </c>
      <c r="G335" s="179">
        <v>71161343.019999996</v>
      </c>
      <c r="H335" s="179">
        <v>847150</v>
      </c>
      <c r="I335" s="179">
        <v>26725740</v>
      </c>
      <c r="J335" s="179">
        <v>0</v>
      </c>
      <c r="K335" s="179">
        <v>33919720</v>
      </c>
      <c r="L335" s="179">
        <v>33901070</v>
      </c>
      <c r="M335" s="179">
        <v>67030670</v>
      </c>
      <c r="N335" s="179">
        <v>9668733.0199999996</v>
      </c>
    </row>
    <row r="336" spans="1:14" s="156" customFormat="1" x14ac:dyDescent="0.25">
      <c r="A336" s="156" t="s">
        <v>546</v>
      </c>
      <c r="B336" s="156" t="s">
        <v>160</v>
      </c>
      <c r="C336" s="156" t="s">
        <v>161</v>
      </c>
      <c r="D336" s="156" t="s">
        <v>541</v>
      </c>
      <c r="E336" s="179">
        <v>4829000</v>
      </c>
      <c r="F336" s="179">
        <v>4829000</v>
      </c>
      <c r="G336" s="179">
        <v>3619140</v>
      </c>
      <c r="H336" s="179">
        <v>0</v>
      </c>
      <c r="I336" s="179">
        <v>509540</v>
      </c>
      <c r="J336" s="179">
        <v>0</v>
      </c>
      <c r="K336" s="179">
        <v>1130120</v>
      </c>
      <c r="L336" s="179">
        <v>1130120</v>
      </c>
      <c r="M336" s="179">
        <v>3189340</v>
      </c>
      <c r="N336" s="179">
        <v>1979480</v>
      </c>
    </row>
    <row r="337" spans="1:14" s="156" customFormat="1" x14ac:dyDescent="0.25">
      <c r="A337" s="156" t="s">
        <v>546</v>
      </c>
      <c r="B337" s="156" t="s">
        <v>162</v>
      </c>
      <c r="C337" s="156" t="s">
        <v>163</v>
      </c>
      <c r="D337" s="156" t="s">
        <v>541</v>
      </c>
      <c r="E337" s="179">
        <v>119154137</v>
      </c>
      <c r="F337" s="179">
        <v>119154137</v>
      </c>
      <c r="G337" s="179">
        <v>66407167.270000003</v>
      </c>
      <c r="H337" s="179">
        <v>847150</v>
      </c>
      <c r="I337" s="179">
        <v>26216200</v>
      </c>
      <c r="J337" s="179">
        <v>0</v>
      </c>
      <c r="K337" s="179">
        <v>32789600</v>
      </c>
      <c r="L337" s="179">
        <v>32770950</v>
      </c>
      <c r="M337" s="179">
        <v>59301187</v>
      </c>
      <c r="N337" s="179">
        <v>6554217.2699999996</v>
      </c>
    </row>
    <row r="338" spans="1:14" s="156" customFormat="1" x14ac:dyDescent="0.25">
      <c r="A338" s="156" t="s">
        <v>546</v>
      </c>
      <c r="B338" s="156" t="s">
        <v>164</v>
      </c>
      <c r="C338" s="156" t="s">
        <v>165</v>
      </c>
      <c r="D338" s="156" t="s">
        <v>541</v>
      </c>
      <c r="E338" s="179">
        <v>2851000</v>
      </c>
      <c r="F338" s="179">
        <v>2851000</v>
      </c>
      <c r="G338" s="179">
        <v>712750</v>
      </c>
      <c r="H338" s="179">
        <v>0</v>
      </c>
      <c r="I338" s="179">
        <v>0</v>
      </c>
      <c r="J338" s="179">
        <v>0</v>
      </c>
      <c r="K338" s="179">
        <v>0</v>
      </c>
      <c r="L338" s="179">
        <v>0</v>
      </c>
      <c r="M338" s="179">
        <v>2851000</v>
      </c>
      <c r="N338" s="179">
        <v>712750</v>
      </c>
    </row>
    <row r="339" spans="1:14" s="156" customFormat="1" x14ac:dyDescent="0.25">
      <c r="A339" s="156" t="s">
        <v>546</v>
      </c>
      <c r="B339" s="156" t="s">
        <v>166</v>
      </c>
      <c r="C339" s="156" t="s">
        <v>167</v>
      </c>
      <c r="D339" s="156" t="s">
        <v>541</v>
      </c>
      <c r="E339" s="179">
        <v>1689143</v>
      </c>
      <c r="F339" s="179">
        <v>1689143</v>
      </c>
      <c r="G339" s="179">
        <v>422285.75</v>
      </c>
      <c r="H339" s="179">
        <v>0</v>
      </c>
      <c r="I339" s="179">
        <v>0</v>
      </c>
      <c r="J339" s="179">
        <v>0</v>
      </c>
      <c r="K339" s="179">
        <v>0</v>
      </c>
      <c r="L339" s="179">
        <v>0</v>
      </c>
      <c r="M339" s="179">
        <v>1689143</v>
      </c>
      <c r="N339" s="179">
        <v>422285.75</v>
      </c>
    </row>
    <row r="340" spans="1:14" s="156" customFormat="1" x14ac:dyDescent="0.25">
      <c r="A340" s="156" t="s">
        <v>546</v>
      </c>
      <c r="B340" s="156" t="s">
        <v>168</v>
      </c>
      <c r="C340" s="156" t="s">
        <v>169</v>
      </c>
      <c r="D340" s="156" t="s">
        <v>541</v>
      </c>
      <c r="E340" s="179">
        <v>1290997262</v>
      </c>
      <c r="F340" s="179">
        <v>1244459372.29</v>
      </c>
      <c r="G340" s="179">
        <v>276054377.79000002</v>
      </c>
      <c r="H340" s="179">
        <v>0</v>
      </c>
      <c r="I340" s="179">
        <v>130403630.40000001</v>
      </c>
      <c r="J340" s="179">
        <v>0</v>
      </c>
      <c r="K340" s="179">
        <v>109156057.59999999</v>
      </c>
      <c r="L340" s="179">
        <v>109156057.59999999</v>
      </c>
      <c r="M340" s="179">
        <v>1004899684.29</v>
      </c>
      <c r="N340" s="179">
        <v>36494689.789999999</v>
      </c>
    </row>
    <row r="341" spans="1:14" s="156" customFormat="1" x14ac:dyDescent="0.25">
      <c r="A341" s="156" t="s">
        <v>546</v>
      </c>
      <c r="B341" s="156" t="s">
        <v>170</v>
      </c>
      <c r="C341" s="156" t="s">
        <v>171</v>
      </c>
      <c r="D341" s="156" t="s">
        <v>541</v>
      </c>
      <c r="E341" s="179">
        <v>1290997262</v>
      </c>
      <c r="F341" s="179">
        <v>1244459372.29</v>
      </c>
      <c r="G341" s="179">
        <v>276054377.79000002</v>
      </c>
      <c r="H341" s="179">
        <v>0</v>
      </c>
      <c r="I341" s="179">
        <v>130403630.40000001</v>
      </c>
      <c r="J341" s="179">
        <v>0</v>
      </c>
      <c r="K341" s="179">
        <v>109156057.59999999</v>
      </c>
      <c r="L341" s="179">
        <v>109156057.59999999</v>
      </c>
      <c r="M341" s="179">
        <v>1004899684.29</v>
      </c>
      <c r="N341" s="179">
        <v>36494689.789999999</v>
      </c>
    </row>
    <row r="342" spans="1:14" s="156" customFormat="1" x14ac:dyDescent="0.25">
      <c r="A342" s="156" t="s">
        <v>546</v>
      </c>
      <c r="B342" s="156" t="s">
        <v>172</v>
      </c>
      <c r="C342" s="156" t="s">
        <v>173</v>
      </c>
      <c r="D342" s="156" t="s">
        <v>541</v>
      </c>
      <c r="E342" s="179">
        <v>1413715</v>
      </c>
      <c r="F342" s="179">
        <v>1413715</v>
      </c>
      <c r="G342" s="179">
        <v>1413714.75</v>
      </c>
      <c r="H342" s="179">
        <v>0</v>
      </c>
      <c r="I342" s="179">
        <v>0</v>
      </c>
      <c r="J342" s="179">
        <v>0</v>
      </c>
      <c r="K342" s="179">
        <v>0</v>
      </c>
      <c r="L342" s="179">
        <v>0</v>
      </c>
      <c r="M342" s="179">
        <v>1413715</v>
      </c>
      <c r="N342" s="179">
        <v>1413714.75</v>
      </c>
    </row>
    <row r="343" spans="1:14" s="156" customFormat="1" x14ac:dyDescent="0.25">
      <c r="A343" s="156" t="s">
        <v>546</v>
      </c>
      <c r="B343" s="156" t="s">
        <v>309</v>
      </c>
      <c r="C343" s="156" t="s">
        <v>310</v>
      </c>
      <c r="D343" s="156" t="s">
        <v>541</v>
      </c>
      <c r="E343" s="179">
        <v>1413715</v>
      </c>
      <c r="F343" s="179">
        <v>1413715</v>
      </c>
      <c r="G343" s="179">
        <v>1413714.75</v>
      </c>
      <c r="H343" s="179">
        <v>0</v>
      </c>
      <c r="I343" s="179">
        <v>0</v>
      </c>
      <c r="J343" s="179">
        <v>0</v>
      </c>
      <c r="K343" s="179">
        <v>0</v>
      </c>
      <c r="L343" s="179">
        <v>0</v>
      </c>
      <c r="M343" s="179">
        <v>1413715</v>
      </c>
      <c r="N343" s="179">
        <v>1413714.75</v>
      </c>
    </row>
    <row r="344" spans="1:14" s="156" customFormat="1" x14ac:dyDescent="0.25">
      <c r="A344" s="156" t="s">
        <v>546</v>
      </c>
      <c r="B344" s="156" t="s">
        <v>178</v>
      </c>
      <c r="C344" s="156" t="s">
        <v>179</v>
      </c>
      <c r="D344" s="156" t="s">
        <v>541</v>
      </c>
      <c r="E344" s="179">
        <v>594069615</v>
      </c>
      <c r="F344" s="179">
        <v>594069615</v>
      </c>
      <c r="G344" s="179">
        <v>511724597.55000001</v>
      </c>
      <c r="H344" s="179">
        <v>8000000</v>
      </c>
      <c r="I344" s="179">
        <v>138632135</v>
      </c>
      <c r="J344" s="179">
        <v>1660000</v>
      </c>
      <c r="K344" s="179">
        <v>101578407.45</v>
      </c>
      <c r="L344" s="179">
        <v>89372185.75</v>
      </c>
      <c r="M344" s="179">
        <v>344199072.55000001</v>
      </c>
      <c r="N344" s="179">
        <v>261854055.09999999</v>
      </c>
    </row>
    <row r="345" spans="1:14" s="156" customFormat="1" x14ac:dyDescent="0.25">
      <c r="A345" s="156" t="s">
        <v>546</v>
      </c>
      <c r="B345" s="156" t="s">
        <v>180</v>
      </c>
      <c r="C345" s="156" t="s">
        <v>181</v>
      </c>
      <c r="D345" s="156" t="s">
        <v>541</v>
      </c>
      <c r="E345" s="179">
        <v>125656000</v>
      </c>
      <c r="F345" s="179">
        <v>125656000</v>
      </c>
      <c r="G345" s="179">
        <v>62828000</v>
      </c>
      <c r="H345" s="179">
        <v>0</v>
      </c>
      <c r="I345" s="179">
        <v>0</v>
      </c>
      <c r="J345" s="179">
        <v>0</v>
      </c>
      <c r="K345" s="179">
        <v>13349017</v>
      </c>
      <c r="L345" s="179">
        <v>13349017</v>
      </c>
      <c r="M345" s="179">
        <v>112306983</v>
      </c>
      <c r="N345" s="179">
        <v>49478983</v>
      </c>
    </row>
    <row r="346" spans="1:14" s="156" customFormat="1" x14ac:dyDescent="0.25">
      <c r="A346" s="156" t="s">
        <v>546</v>
      </c>
      <c r="B346" s="156" t="s">
        <v>332</v>
      </c>
      <c r="C346" s="156" t="s">
        <v>333</v>
      </c>
      <c r="D346" s="156" t="s">
        <v>541</v>
      </c>
      <c r="E346" s="179">
        <v>188229817</v>
      </c>
      <c r="F346" s="179">
        <v>188229817</v>
      </c>
      <c r="G346" s="179">
        <v>188229817</v>
      </c>
      <c r="H346" s="179">
        <v>0</v>
      </c>
      <c r="I346" s="179">
        <v>44081554.479999997</v>
      </c>
      <c r="J346" s="179">
        <v>0</v>
      </c>
      <c r="K346" s="179">
        <v>54525875.229999997</v>
      </c>
      <c r="L346" s="179">
        <v>54525875.229999997</v>
      </c>
      <c r="M346" s="179">
        <v>89622387.290000007</v>
      </c>
      <c r="N346" s="179">
        <v>89622387.290000007</v>
      </c>
    </row>
    <row r="347" spans="1:14" s="156" customFormat="1" x14ac:dyDescent="0.25">
      <c r="A347" s="156" t="s">
        <v>546</v>
      </c>
      <c r="B347" s="156" t="s">
        <v>182</v>
      </c>
      <c r="C347" s="156" t="s">
        <v>183</v>
      </c>
      <c r="D347" s="156" t="s">
        <v>541</v>
      </c>
      <c r="E347" s="179">
        <v>95028648</v>
      </c>
      <c r="F347" s="179">
        <v>95028648</v>
      </c>
      <c r="G347" s="179">
        <v>95028648</v>
      </c>
      <c r="H347" s="179">
        <v>8000000</v>
      </c>
      <c r="I347" s="179">
        <v>30741005.489999998</v>
      </c>
      <c r="J347" s="179">
        <v>0</v>
      </c>
      <c r="K347" s="179">
        <v>13217330.140000001</v>
      </c>
      <c r="L347" s="179">
        <v>13214915.140000001</v>
      </c>
      <c r="M347" s="179">
        <v>43070312.369999997</v>
      </c>
      <c r="N347" s="179">
        <v>43070312.369999997</v>
      </c>
    </row>
    <row r="348" spans="1:14" s="156" customFormat="1" x14ac:dyDescent="0.25">
      <c r="A348" s="156" t="s">
        <v>546</v>
      </c>
      <c r="B348" s="156" t="s">
        <v>184</v>
      </c>
      <c r="C348" s="156" t="s">
        <v>185</v>
      </c>
      <c r="D348" s="156" t="s">
        <v>541</v>
      </c>
      <c r="E348" s="179">
        <v>6300000</v>
      </c>
      <c r="F348" s="179">
        <v>6300000</v>
      </c>
      <c r="G348" s="179">
        <v>6300000</v>
      </c>
      <c r="H348" s="179">
        <v>0</v>
      </c>
      <c r="I348" s="179">
        <v>0</v>
      </c>
      <c r="J348" s="179">
        <v>0</v>
      </c>
      <c r="K348" s="179">
        <v>0</v>
      </c>
      <c r="L348" s="179">
        <v>0</v>
      </c>
      <c r="M348" s="179">
        <v>6300000</v>
      </c>
      <c r="N348" s="179">
        <v>6300000</v>
      </c>
    </row>
    <row r="349" spans="1:14" s="156" customFormat="1" x14ac:dyDescent="0.25">
      <c r="A349" s="156" t="s">
        <v>546</v>
      </c>
      <c r="B349" s="156" t="s">
        <v>186</v>
      </c>
      <c r="C349" s="156" t="s">
        <v>187</v>
      </c>
      <c r="D349" s="156" t="s">
        <v>541</v>
      </c>
      <c r="E349" s="179">
        <v>11141667</v>
      </c>
      <c r="F349" s="179">
        <v>11141667</v>
      </c>
      <c r="G349" s="179">
        <v>11141666.75</v>
      </c>
      <c r="H349" s="179">
        <v>0</v>
      </c>
      <c r="I349" s="179">
        <v>239000</v>
      </c>
      <c r="J349" s="179">
        <v>1660000</v>
      </c>
      <c r="K349" s="179">
        <v>1665000</v>
      </c>
      <c r="L349" s="179">
        <v>665000</v>
      </c>
      <c r="M349" s="179">
        <v>7577667</v>
      </c>
      <c r="N349" s="179">
        <v>7577666.75</v>
      </c>
    </row>
    <row r="350" spans="1:14" s="156" customFormat="1" x14ac:dyDescent="0.25">
      <c r="A350" s="156" t="s">
        <v>546</v>
      </c>
      <c r="B350" s="156" t="s">
        <v>188</v>
      </c>
      <c r="C350" s="156" t="s">
        <v>189</v>
      </c>
      <c r="D350" s="156" t="s">
        <v>541</v>
      </c>
      <c r="E350" s="179">
        <v>40562000</v>
      </c>
      <c r="F350" s="179">
        <v>40562000</v>
      </c>
      <c r="G350" s="179">
        <v>21044983</v>
      </c>
      <c r="H350" s="179">
        <v>0</v>
      </c>
      <c r="I350" s="179">
        <v>1130000</v>
      </c>
      <c r="J350" s="179">
        <v>0</v>
      </c>
      <c r="K350" s="179">
        <v>4354712.9800000004</v>
      </c>
      <c r="L350" s="179">
        <v>4354712.9800000004</v>
      </c>
      <c r="M350" s="179">
        <v>35077287.020000003</v>
      </c>
      <c r="N350" s="179">
        <v>15560270.02</v>
      </c>
    </row>
    <row r="351" spans="1:14" s="156" customFormat="1" x14ac:dyDescent="0.25">
      <c r="A351" s="156" t="s">
        <v>546</v>
      </c>
      <c r="B351" s="156" t="s">
        <v>190</v>
      </c>
      <c r="C351" s="156" t="s">
        <v>191</v>
      </c>
      <c r="D351" s="156" t="s">
        <v>541</v>
      </c>
      <c r="E351" s="179">
        <v>127151483</v>
      </c>
      <c r="F351" s="179">
        <v>127151483</v>
      </c>
      <c r="G351" s="179">
        <v>127151482.8</v>
      </c>
      <c r="H351" s="179">
        <v>0</v>
      </c>
      <c r="I351" s="179">
        <v>62440575.030000001</v>
      </c>
      <c r="J351" s="179">
        <v>0</v>
      </c>
      <c r="K351" s="179">
        <v>14466472.1</v>
      </c>
      <c r="L351" s="179">
        <v>3262665.4</v>
      </c>
      <c r="M351" s="179">
        <v>50244435.869999997</v>
      </c>
      <c r="N351" s="179">
        <v>50244435.670000002</v>
      </c>
    </row>
    <row r="352" spans="1:14" s="156" customFormat="1" x14ac:dyDescent="0.25">
      <c r="A352" s="156" t="s">
        <v>546</v>
      </c>
      <c r="B352" s="156" t="s">
        <v>192</v>
      </c>
      <c r="C352" s="156" t="s">
        <v>193</v>
      </c>
      <c r="D352" s="156" t="s">
        <v>541</v>
      </c>
      <c r="E352" s="179">
        <v>11126154</v>
      </c>
      <c r="F352" s="179">
        <v>11126154</v>
      </c>
      <c r="G352" s="179">
        <v>5563077.5</v>
      </c>
      <c r="H352" s="179">
        <v>0</v>
      </c>
      <c r="I352" s="179">
        <v>1732219</v>
      </c>
      <c r="J352" s="179">
        <v>0</v>
      </c>
      <c r="K352" s="179">
        <v>78882</v>
      </c>
      <c r="L352" s="179">
        <v>78882</v>
      </c>
      <c r="M352" s="179">
        <v>9315053</v>
      </c>
      <c r="N352" s="179">
        <v>3751976.5</v>
      </c>
    </row>
    <row r="353" spans="1:14" s="156" customFormat="1" x14ac:dyDescent="0.25">
      <c r="A353" s="156" t="s">
        <v>546</v>
      </c>
      <c r="B353" s="156" t="s">
        <v>194</v>
      </c>
      <c r="C353" s="156" t="s">
        <v>195</v>
      </c>
      <c r="D353" s="156" t="s">
        <v>541</v>
      </c>
      <c r="E353" s="179">
        <v>11126154</v>
      </c>
      <c r="F353" s="179">
        <v>11126154</v>
      </c>
      <c r="G353" s="179">
        <v>5563077.5</v>
      </c>
      <c r="H353" s="179">
        <v>0</v>
      </c>
      <c r="I353" s="179">
        <v>1732219</v>
      </c>
      <c r="J353" s="179">
        <v>0</v>
      </c>
      <c r="K353" s="179">
        <v>78882</v>
      </c>
      <c r="L353" s="179">
        <v>78882</v>
      </c>
      <c r="M353" s="179">
        <v>9315053</v>
      </c>
      <c r="N353" s="179">
        <v>3751976.5</v>
      </c>
    </row>
    <row r="354" spans="1:14" s="156" customFormat="1" x14ac:dyDescent="0.25">
      <c r="A354" s="156" t="s">
        <v>546</v>
      </c>
      <c r="B354" s="156" t="s">
        <v>196</v>
      </c>
      <c r="C354" s="156" t="s">
        <v>197</v>
      </c>
      <c r="D354" s="156" t="s">
        <v>541</v>
      </c>
      <c r="E354" s="179">
        <v>18666301</v>
      </c>
      <c r="F354" s="179">
        <v>65204190.710000001</v>
      </c>
      <c r="G354" s="179">
        <v>57371039.960000001</v>
      </c>
      <c r="H354" s="179">
        <v>0</v>
      </c>
      <c r="I354" s="179">
        <v>8604205.9900000002</v>
      </c>
      <c r="J354" s="179">
        <v>0</v>
      </c>
      <c r="K354" s="179">
        <v>4786058.97</v>
      </c>
      <c r="L354" s="179">
        <v>4786058.97</v>
      </c>
      <c r="M354" s="179">
        <v>51813925.75</v>
      </c>
      <c r="N354" s="179">
        <v>43980775</v>
      </c>
    </row>
    <row r="355" spans="1:14" s="156" customFormat="1" x14ac:dyDescent="0.25">
      <c r="A355" s="156" t="s">
        <v>546</v>
      </c>
      <c r="B355" s="156" t="s">
        <v>360</v>
      </c>
      <c r="C355" s="156" t="s">
        <v>361</v>
      </c>
      <c r="D355" s="156" t="s">
        <v>541</v>
      </c>
      <c r="E355" s="179">
        <v>3000000</v>
      </c>
      <c r="F355" s="179">
        <v>3000000</v>
      </c>
      <c r="G355" s="179">
        <v>3000000</v>
      </c>
      <c r="H355" s="179">
        <v>0</v>
      </c>
      <c r="I355" s="179">
        <v>248971.98</v>
      </c>
      <c r="J355" s="179">
        <v>0</v>
      </c>
      <c r="K355" s="179">
        <v>1190453.46</v>
      </c>
      <c r="L355" s="179">
        <v>1190453.46</v>
      </c>
      <c r="M355" s="179">
        <v>1560574.56</v>
      </c>
      <c r="N355" s="179">
        <v>1560574.56</v>
      </c>
    </row>
    <row r="356" spans="1:14" s="156" customFormat="1" x14ac:dyDescent="0.25">
      <c r="A356" s="156" t="s">
        <v>546</v>
      </c>
      <c r="B356" s="156" t="s">
        <v>334</v>
      </c>
      <c r="C356" s="156" t="s">
        <v>335</v>
      </c>
      <c r="D356" s="156" t="s">
        <v>541</v>
      </c>
      <c r="E356" s="179">
        <v>1275676</v>
      </c>
      <c r="F356" s="179">
        <v>47166460.710000001</v>
      </c>
      <c r="G356" s="179">
        <v>46528622.710000001</v>
      </c>
      <c r="H356" s="179">
        <v>0</v>
      </c>
      <c r="I356" s="179">
        <v>5413571.0099999998</v>
      </c>
      <c r="J356" s="179">
        <v>0</v>
      </c>
      <c r="K356" s="179">
        <v>431850.51</v>
      </c>
      <c r="L356" s="179">
        <v>431850.51</v>
      </c>
      <c r="M356" s="179">
        <v>41321039.189999998</v>
      </c>
      <c r="N356" s="179">
        <v>40683201.189999998</v>
      </c>
    </row>
    <row r="357" spans="1:14" s="156" customFormat="1" x14ac:dyDescent="0.25">
      <c r="A357" s="156" t="s">
        <v>546</v>
      </c>
      <c r="B357" s="156" t="s">
        <v>198</v>
      </c>
      <c r="C357" s="156" t="s">
        <v>199</v>
      </c>
      <c r="D357" s="156" t="s">
        <v>541</v>
      </c>
      <c r="E357" s="179">
        <v>14390625</v>
      </c>
      <c r="F357" s="179">
        <v>15037730</v>
      </c>
      <c r="G357" s="179">
        <v>7842417.25</v>
      </c>
      <c r="H357" s="179">
        <v>0</v>
      </c>
      <c r="I357" s="179">
        <v>2941663</v>
      </c>
      <c r="J357" s="179">
        <v>0</v>
      </c>
      <c r="K357" s="179">
        <v>3163755</v>
      </c>
      <c r="L357" s="179">
        <v>3163755</v>
      </c>
      <c r="M357" s="179">
        <v>8932312</v>
      </c>
      <c r="N357" s="179">
        <v>1736999.25</v>
      </c>
    </row>
    <row r="358" spans="1:14" s="156" customFormat="1" x14ac:dyDescent="0.25">
      <c r="A358" s="156" t="s">
        <v>546</v>
      </c>
      <c r="B358" s="156" t="s">
        <v>200</v>
      </c>
      <c r="C358" s="156" t="s">
        <v>201</v>
      </c>
      <c r="D358" s="156" t="s">
        <v>541</v>
      </c>
      <c r="E358" s="179">
        <v>14015826994</v>
      </c>
      <c r="F358" s="179">
        <v>14015826994</v>
      </c>
      <c r="G358" s="179">
        <v>7642003856.5</v>
      </c>
      <c r="H358" s="179">
        <v>48516075</v>
      </c>
      <c r="I358" s="179">
        <v>2073494801.04</v>
      </c>
      <c r="J358" s="179">
        <v>8281661.5800000001</v>
      </c>
      <c r="K358" s="179">
        <v>4102576138.0799999</v>
      </c>
      <c r="L358" s="179">
        <v>3537346993.23</v>
      </c>
      <c r="M358" s="179">
        <v>7782958318.3000002</v>
      </c>
      <c r="N358" s="179">
        <v>1409135180.8</v>
      </c>
    </row>
    <row r="359" spans="1:14" s="156" customFormat="1" x14ac:dyDescent="0.25">
      <c r="A359" s="156" t="s">
        <v>546</v>
      </c>
      <c r="B359" s="156" t="s">
        <v>202</v>
      </c>
      <c r="C359" s="156" t="s">
        <v>203</v>
      </c>
      <c r="D359" s="156" t="s">
        <v>541</v>
      </c>
      <c r="E359" s="179">
        <v>777682724</v>
      </c>
      <c r="F359" s="179">
        <v>777682724</v>
      </c>
      <c r="G359" s="179">
        <v>408027862</v>
      </c>
      <c r="H359" s="179">
        <v>0</v>
      </c>
      <c r="I359" s="179">
        <v>98454383.319999993</v>
      </c>
      <c r="J359" s="179">
        <v>0</v>
      </c>
      <c r="K359" s="179">
        <v>240527719.28</v>
      </c>
      <c r="L359" s="179">
        <v>196193437.31999999</v>
      </c>
      <c r="M359" s="179">
        <v>438700621.39999998</v>
      </c>
      <c r="N359" s="179">
        <v>69045759.400000006</v>
      </c>
    </row>
    <row r="360" spans="1:14" s="156" customFormat="1" x14ac:dyDescent="0.25">
      <c r="A360" s="156" t="s">
        <v>546</v>
      </c>
      <c r="B360" s="156" t="s">
        <v>204</v>
      </c>
      <c r="C360" s="156" t="s">
        <v>205</v>
      </c>
      <c r="D360" s="156" t="s">
        <v>541</v>
      </c>
      <c r="E360" s="179">
        <v>543016724</v>
      </c>
      <c r="F360" s="179">
        <v>543016724</v>
      </c>
      <c r="G360" s="179">
        <v>275508362</v>
      </c>
      <c r="H360" s="179">
        <v>0</v>
      </c>
      <c r="I360" s="179">
        <v>45688820.020000003</v>
      </c>
      <c r="J360" s="179">
        <v>0</v>
      </c>
      <c r="K360" s="179">
        <v>204508852.69999999</v>
      </c>
      <c r="L360" s="179">
        <v>196087370.74000001</v>
      </c>
      <c r="M360" s="179">
        <v>292819051.27999997</v>
      </c>
      <c r="N360" s="179">
        <v>25310689.280000001</v>
      </c>
    </row>
    <row r="361" spans="1:14" s="156" customFormat="1" x14ac:dyDescent="0.25">
      <c r="A361" s="156" t="s">
        <v>546</v>
      </c>
      <c r="B361" s="156" t="s">
        <v>206</v>
      </c>
      <c r="C361" s="156" t="s">
        <v>207</v>
      </c>
      <c r="D361" s="156" t="s">
        <v>541</v>
      </c>
      <c r="E361" s="179">
        <v>195656000</v>
      </c>
      <c r="F361" s="179">
        <v>195656000</v>
      </c>
      <c r="G361" s="179">
        <v>97828000</v>
      </c>
      <c r="H361" s="179">
        <v>0</v>
      </c>
      <c r="I361" s="179">
        <v>38336100</v>
      </c>
      <c r="J361" s="179">
        <v>0</v>
      </c>
      <c r="K361" s="179">
        <v>35912800</v>
      </c>
      <c r="L361" s="179">
        <v>0</v>
      </c>
      <c r="M361" s="179">
        <v>121407100</v>
      </c>
      <c r="N361" s="179">
        <v>23579100</v>
      </c>
    </row>
    <row r="362" spans="1:14" s="156" customFormat="1" x14ac:dyDescent="0.25">
      <c r="A362" s="156" t="s">
        <v>546</v>
      </c>
      <c r="B362" s="156" t="s">
        <v>362</v>
      </c>
      <c r="C362" s="156" t="s">
        <v>363</v>
      </c>
      <c r="D362" s="156" t="s">
        <v>541</v>
      </c>
      <c r="E362" s="179">
        <v>2674000</v>
      </c>
      <c r="F362" s="179">
        <v>2674000</v>
      </c>
      <c r="G362" s="179">
        <v>1337000</v>
      </c>
      <c r="H362" s="179">
        <v>0</v>
      </c>
      <c r="I362" s="179">
        <v>141746</v>
      </c>
      <c r="J362" s="179">
        <v>0</v>
      </c>
      <c r="K362" s="179">
        <v>77925</v>
      </c>
      <c r="L362" s="179">
        <v>77925</v>
      </c>
      <c r="M362" s="179">
        <v>2454329</v>
      </c>
      <c r="N362" s="179">
        <v>1117329</v>
      </c>
    </row>
    <row r="363" spans="1:14" s="156" customFormat="1" x14ac:dyDescent="0.25">
      <c r="A363" s="156" t="s">
        <v>546</v>
      </c>
      <c r="B363" s="156" t="s">
        <v>208</v>
      </c>
      <c r="C363" s="156" t="s">
        <v>209</v>
      </c>
      <c r="D363" s="156" t="s">
        <v>541</v>
      </c>
      <c r="E363" s="179">
        <v>30373000</v>
      </c>
      <c r="F363" s="179">
        <v>30373000</v>
      </c>
      <c r="G363" s="179">
        <v>30373000</v>
      </c>
      <c r="H363" s="179">
        <v>0</v>
      </c>
      <c r="I363" s="179">
        <v>14287717.300000001</v>
      </c>
      <c r="J363" s="179">
        <v>0</v>
      </c>
      <c r="K363" s="179">
        <v>28141.58</v>
      </c>
      <c r="L363" s="179">
        <v>28141.58</v>
      </c>
      <c r="M363" s="179">
        <v>16057141.119999999</v>
      </c>
      <c r="N363" s="179">
        <v>16057141.119999999</v>
      </c>
    </row>
    <row r="364" spans="1:14" s="156" customFormat="1" x14ac:dyDescent="0.25">
      <c r="A364" s="156" t="s">
        <v>546</v>
      </c>
      <c r="B364" s="156" t="s">
        <v>210</v>
      </c>
      <c r="C364" s="156" t="s">
        <v>211</v>
      </c>
      <c r="D364" s="156" t="s">
        <v>541</v>
      </c>
      <c r="E364" s="179">
        <v>5963000</v>
      </c>
      <c r="F364" s="179">
        <v>5963000</v>
      </c>
      <c r="G364" s="179">
        <v>2981500</v>
      </c>
      <c r="H364" s="179">
        <v>0</v>
      </c>
      <c r="I364" s="179">
        <v>0</v>
      </c>
      <c r="J364" s="179">
        <v>0</v>
      </c>
      <c r="K364" s="179">
        <v>0</v>
      </c>
      <c r="L364" s="179">
        <v>0</v>
      </c>
      <c r="M364" s="179">
        <v>5963000</v>
      </c>
      <c r="N364" s="179">
        <v>2981500</v>
      </c>
    </row>
    <row r="365" spans="1:14" s="156" customFormat="1" x14ac:dyDescent="0.25">
      <c r="A365" s="156" t="s">
        <v>546</v>
      </c>
      <c r="B365" s="156" t="s">
        <v>212</v>
      </c>
      <c r="C365" s="156" t="s">
        <v>213</v>
      </c>
      <c r="D365" s="156" t="s">
        <v>541</v>
      </c>
      <c r="E365" s="179">
        <v>10984366500</v>
      </c>
      <c r="F365" s="179">
        <v>10984366500</v>
      </c>
      <c r="G365" s="179">
        <v>5492183250</v>
      </c>
      <c r="H365" s="179">
        <v>0</v>
      </c>
      <c r="I365" s="179">
        <v>1197800881.6700001</v>
      </c>
      <c r="J365" s="179">
        <v>668410.92000000004</v>
      </c>
      <c r="K365" s="179">
        <v>3642618899.9000001</v>
      </c>
      <c r="L365" s="179">
        <v>3148520866.8499999</v>
      </c>
      <c r="M365" s="179">
        <v>6143278307.5100002</v>
      </c>
      <c r="N365" s="179">
        <v>651095057.50999999</v>
      </c>
    </row>
    <row r="366" spans="1:14" s="156" customFormat="1" x14ac:dyDescent="0.25">
      <c r="A366" s="156" t="s">
        <v>546</v>
      </c>
      <c r="B366" s="156" t="s">
        <v>214</v>
      </c>
      <c r="C366" s="156" t="s">
        <v>215</v>
      </c>
      <c r="D366" s="156" t="s">
        <v>541</v>
      </c>
      <c r="E366" s="179">
        <v>10972726000</v>
      </c>
      <c r="F366" s="179">
        <v>10972726000</v>
      </c>
      <c r="G366" s="179">
        <v>5486363000</v>
      </c>
      <c r="H366" s="179">
        <v>0</v>
      </c>
      <c r="I366" s="179">
        <v>1191980881.6700001</v>
      </c>
      <c r="J366" s="179">
        <v>668410.92000000004</v>
      </c>
      <c r="K366" s="179">
        <v>3642618899.9000001</v>
      </c>
      <c r="L366" s="179">
        <v>3148520866.8499999</v>
      </c>
      <c r="M366" s="179">
        <v>6137457807.5100002</v>
      </c>
      <c r="N366" s="179">
        <v>651094807.50999999</v>
      </c>
    </row>
    <row r="367" spans="1:14" s="156" customFormat="1" x14ac:dyDescent="0.25">
      <c r="A367" s="156" t="s">
        <v>546</v>
      </c>
      <c r="B367" s="156" t="s">
        <v>364</v>
      </c>
      <c r="C367" s="156" t="s">
        <v>365</v>
      </c>
      <c r="D367" s="156" t="s">
        <v>541</v>
      </c>
      <c r="E367" s="179">
        <v>11640500</v>
      </c>
      <c r="F367" s="179">
        <v>11640500</v>
      </c>
      <c r="G367" s="179">
        <v>5820250</v>
      </c>
      <c r="H367" s="179">
        <v>0</v>
      </c>
      <c r="I367" s="179">
        <v>5820000</v>
      </c>
      <c r="J367" s="179">
        <v>0</v>
      </c>
      <c r="K367" s="179">
        <v>0</v>
      </c>
      <c r="L367" s="179">
        <v>0</v>
      </c>
      <c r="M367" s="179">
        <v>5820500</v>
      </c>
      <c r="N367" s="179">
        <v>250</v>
      </c>
    </row>
    <row r="368" spans="1:14" s="156" customFormat="1" x14ac:dyDescent="0.25">
      <c r="A368" s="156" t="s">
        <v>546</v>
      </c>
      <c r="B368" s="156" t="s">
        <v>216</v>
      </c>
      <c r="C368" s="156" t="s">
        <v>217</v>
      </c>
      <c r="D368" s="156" t="s">
        <v>541</v>
      </c>
      <c r="E368" s="179">
        <v>446867786</v>
      </c>
      <c r="F368" s="179">
        <v>442289969</v>
      </c>
      <c r="G368" s="179">
        <v>284767836.5</v>
      </c>
      <c r="H368" s="179">
        <v>3542600</v>
      </c>
      <c r="I368" s="179">
        <v>29381489.390000001</v>
      </c>
      <c r="J368" s="179">
        <v>112900</v>
      </c>
      <c r="K368" s="179">
        <v>51777115.960000001</v>
      </c>
      <c r="L368" s="179">
        <v>45818314.950000003</v>
      </c>
      <c r="M368" s="179">
        <v>357475863.64999998</v>
      </c>
      <c r="N368" s="179">
        <v>199953731.15000001</v>
      </c>
    </row>
    <row r="369" spans="1:14" s="156" customFormat="1" x14ac:dyDescent="0.25">
      <c r="A369" s="156" t="s">
        <v>546</v>
      </c>
      <c r="B369" s="156" t="s">
        <v>218</v>
      </c>
      <c r="C369" s="156" t="s">
        <v>219</v>
      </c>
      <c r="D369" s="156" t="s">
        <v>541</v>
      </c>
      <c r="E369" s="179">
        <v>122902000</v>
      </c>
      <c r="F369" s="179">
        <v>122902000</v>
      </c>
      <c r="G369" s="179">
        <v>62192860</v>
      </c>
      <c r="H369" s="179">
        <v>0</v>
      </c>
      <c r="I369" s="179">
        <v>2884724</v>
      </c>
      <c r="J369" s="179">
        <v>0</v>
      </c>
      <c r="K369" s="179">
        <v>8371052.8099999996</v>
      </c>
      <c r="L369" s="179">
        <v>3852374.8</v>
      </c>
      <c r="M369" s="179">
        <v>111646223.19</v>
      </c>
      <c r="N369" s="179">
        <v>50937083.189999998</v>
      </c>
    </row>
    <row r="370" spans="1:14" s="156" customFormat="1" x14ac:dyDescent="0.25">
      <c r="A370" s="156" t="s">
        <v>546</v>
      </c>
      <c r="B370" s="156" t="s">
        <v>336</v>
      </c>
      <c r="C370" s="156" t="s">
        <v>337</v>
      </c>
      <c r="D370" s="156" t="s">
        <v>541</v>
      </c>
      <c r="E370" s="179">
        <v>50168000</v>
      </c>
      <c r="F370" s="179">
        <v>50168000</v>
      </c>
      <c r="G370" s="179">
        <v>25084000</v>
      </c>
      <c r="H370" s="179">
        <v>0</v>
      </c>
      <c r="I370" s="179">
        <v>0</v>
      </c>
      <c r="J370" s="179">
        <v>0</v>
      </c>
      <c r="K370" s="179">
        <v>3935643</v>
      </c>
      <c r="L370" s="179">
        <v>2495520</v>
      </c>
      <c r="M370" s="179">
        <v>46232357</v>
      </c>
      <c r="N370" s="179">
        <v>21148357</v>
      </c>
    </row>
    <row r="371" spans="1:14" s="156" customFormat="1" x14ac:dyDescent="0.25">
      <c r="A371" s="156" t="s">
        <v>546</v>
      </c>
      <c r="B371" s="156" t="s">
        <v>338</v>
      </c>
      <c r="C371" s="156" t="s">
        <v>339</v>
      </c>
      <c r="D371" s="156" t="s">
        <v>541</v>
      </c>
      <c r="E371" s="179">
        <v>89195672</v>
      </c>
      <c r="F371" s="179">
        <v>89195672</v>
      </c>
      <c r="G371" s="179">
        <v>55845623</v>
      </c>
      <c r="H371" s="179">
        <v>0</v>
      </c>
      <c r="I371" s="179">
        <v>13896000</v>
      </c>
      <c r="J371" s="179">
        <v>0</v>
      </c>
      <c r="K371" s="179">
        <v>39170598</v>
      </c>
      <c r="L371" s="179">
        <v>39170598</v>
      </c>
      <c r="M371" s="179">
        <v>36129074</v>
      </c>
      <c r="N371" s="179">
        <v>2779025</v>
      </c>
    </row>
    <row r="372" spans="1:14" s="156" customFormat="1" x14ac:dyDescent="0.25">
      <c r="A372" s="156" t="s">
        <v>546</v>
      </c>
      <c r="B372" s="156" t="s">
        <v>220</v>
      </c>
      <c r="C372" s="156" t="s">
        <v>221</v>
      </c>
      <c r="D372" s="156" t="s">
        <v>541</v>
      </c>
      <c r="E372" s="179">
        <v>90316000</v>
      </c>
      <c r="F372" s="179">
        <v>90316000</v>
      </c>
      <c r="G372" s="179">
        <v>90316000</v>
      </c>
      <c r="H372" s="179">
        <v>3542600</v>
      </c>
      <c r="I372" s="179">
        <v>12415765.390000001</v>
      </c>
      <c r="J372" s="179">
        <v>112900</v>
      </c>
      <c r="K372" s="179">
        <v>279434.37</v>
      </c>
      <c r="L372" s="179">
        <v>279434.37</v>
      </c>
      <c r="M372" s="179">
        <v>73965300.239999995</v>
      </c>
      <c r="N372" s="179">
        <v>73965300.239999995</v>
      </c>
    </row>
    <row r="373" spans="1:14" s="156" customFormat="1" x14ac:dyDescent="0.25">
      <c r="A373" s="156" t="s">
        <v>546</v>
      </c>
      <c r="B373" s="156" t="s">
        <v>222</v>
      </c>
      <c r="C373" s="156" t="s">
        <v>223</v>
      </c>
      <c r="D373" s="156" t="s">
        <v>541</v>
      </c>
      <c r="E373" s="179">
        <v>7059000</v>
      </c>
      <c r="F373" s="179">
        <v>2481183</v>
      </c>
      <c r="G373" s="179">
        <v>2481183</v>
      </c>
      <c r="H373" s="179">
        <v>0</v>
      </c>
      <c r="I373" s="179">
        <v>185000</v>
      </c>
      <c r="J373" s="179">
        <v>0</v>
      </c>
      <c r="K373" s="179">
        <v>0</v>
      </c>
      <c r="L373" s="179">
        <v>0</v>
      </c>
      <c r="M373" s="179">
        <v>2296183</v>
      </c>
      <c r="N373" s="179">
        <v>2296183</v>
      </c>
    </row>
    <row r="374" spans="1:14" s="156" customFormat="1" x14ac:dyDescent="0.25">
      <c r="A374" s="156" t="s">
        <v>546</v>
      </c>
      <c r="B374" s="156" t="s">
        <v>224</v>
      </c>
      <c r="C374" s="156" t="s">
        <v>225</v>
      </c>
      <c r="D374" s="156" t="s">
        <v>541</v>
      </c>
      <c r="E374" s="179">
        <v>61279000</v>
      </c>
      <c r="F374" s="179">
        <v>61279000</v>
      </c>
      <c r="G374" s="179">
        <v>22900057</v>
      </c>
      <c r="H374" s="179">
        <v>0</v>
      </c>
      <c r="I374" s="179">
        <v>0</v>
      </c>
      <c r="J374" s="179">
        <v>0</v>
      </c>
      <c r="K374" s="179">
        <v>20387.78</v>
      </c>
      <c r="L374" s="179">
        <v>20387.78</v>
      </c>
      <c r="M374" s="179">
        <v>61258612.219999999</v>
      </c>
      <c r="N374" s="179">
        <v>22879669.219999999</v>
      </c>
    </row>
    <row r="375" spans="1:14" s="156" customFormat="1" x14ac:dyDescent="0.25">
      <c r="A375" s="156" t="s">
        <v>546</v>
      </c>
      <c r="B375" s="156" t="s">
        <v>226</v>
      </c>
      <c r="C375" s="156" t="s">
        <v>227</v>
      </c>
      <c r="D375" s="156" t="s">
        <v>541</v>
      </c>
      <c r="E375" s="179">
        <v>25948114</v>
      </c>
      <c r="F375" s="179">
        <v>25948114</v>
      </c>
      <c r="G375" s="179">
        <v>25948113.5</v>
      </c>
      <c r="H375" s="179">
        <v>0</v>
      </c>
      <c r="I375" s="179">
        <v>0</v>
      </c>
      <c r="J375" s="179">
        <v>0</v>
      </c>
      <c r="K375" s="179">
        <v>0</v>
      </c>
      <c r="L375" s="179">
        <v>0</v>
      </c>
      <c r="M375" s="179">
        <v>25948114</v>
      </c>
      <c r="N375" s="179">
        <v>25948113.5</v>
      </c>
    </row>
    <row r="376" spans="1:14" s="156" customFormat="1" x14ac:dyDescent="0.25">
      <c r="A376" s="156" t="s">
        <v>546</v>
      </c>
      <c r="B376" s="156" t="s">
        <v>228</v>
      </c>
      <c r="C376" s="156" t="s">
        <v>229</v>
      </c>
      <c r="D376" s="156" t="s">
        <v>541</v>
      </c>
      <c r="E376" s="179">
        <v>150560000</v>
      </c>
      <c r="F376" s="179">
        <v>150560000</v>
      </c>
      <c r="G376" s="179">
        <v>126053720</v>
      </c>
      <c r="H376" s="179">
        <v>44973475</v>
      </c>
      <c r="I376" s="179">
        <v>10751611.08</v>
      </c>
      <c r="J376" s="179">
        <v>1121553.17</v>
      </c>
      <c r="K376" s="179">
        <v>29246806.899999999</v>
      </c>
      <c r="L376" s="179">
        <v>27806581.57</v>
      </c>
      <c r="M376" s="179">
        <v>64466553.850000001</v>
      </c>
      <c r="N376" s="179">
        <v>39960273.850000001</v>
      </c>
    </row>
    <row r="377" spans="1:14" s="156" customFormat="1" x14ac:dyDescent="0.25">
      <c r="A377" s="156" t="s">
        <v>546</v>
      </c>
      <c r="B377" s="156" t="s">
        <v>230</v>
      </c>
      <c r="C377" s="156" t="s">
        <v>231</v>
      </c>
      <c r="D377" s="156" t="s">
        <v>541</v>
      </c>
      <c r="E377" s="179">
        <v>53615000</v>
      </c>
      <c r="F377" s="179">
        <v>53615000</v>
      </c>
      <c r="G377" s="179">
        <v>29108720</v>
      </c>
      <c r="H377" s="179">
        <v>0</v>
      </c>
      <c r="I377" s="179">
        <v>7242000</v>
      </c>
      <c r="J377" s="179">
        <v>0</v>
      </c>
      <c r="K377" s="179">
        <v>9613580</v>
      </c>
      <c r="L377" s="179">
        <v>9613580</v>
      </c>
      <c r="M377" s="179">
        <v>36759420</v>
      </c>
      <c r="N377" s="179">
        <v>12253140</v>
      </c>
    </row>
    <row r="378" spans="1:14" s="156" customFormat="1" x14ac:dyDescent="0.25">
      <c r="A378" s="156" t="s">
        <v>546</v>
      </c>
      <c r="B378" s="156" t="s">
        <v>232</v>
      </c>
      <c r="C378" s="156" t="s">
        <v>233</v>
      </c>
      <c r="D378" s="156" t="s">
        <v>541</v>
      </c>
      <c r="E378" s="179">
        <v>96945000</v>
      </c>
      <c r="F378" s="179">
        <v>96945000</v>
      </c>
      <c r="G378" s="179">
        <v>96945000</v>
      </c>
      <c r="H378" s="179">
        <v>44973475</v>
      </c>
      <c r="I378" s="179">
        <v>3509611.08</v>
      </c>
      <c r="J378" s="179">
        <v>1121553.17</v>
      </c>
      <c r="K378" s="179">
        <v>19633226.899999999</v>
      </c>
      <c r="L378" s="179">
        <v>18193001.57</v>
      </c>
      <c r="M378" s="179">
        <v>27707133.850000001</v>
      </c>
      <c r="N378" s="179">
        <v>27707133.850000001</v>
      </c>
    </row>
    <row r="379" spans="1:14" s="156" customFormat="1" x14ac:dyDescent="0.25">
      <c r="A379" s="156" t="s">
        <v>546</v>
      </c>
      <c r="B379" s="156" t="s">
        <v>609</v>
      </c>
      <c r="C379" s="156" t="s">
        <v>610</v>
      </c>
      <c r="D379" s="156" t="s">
        <v>541</v>
      </c>
      <c r="E379" s="179">
        <v>0</v>
      </c>
      <c r="F379" s="179">
        <v>4577817</v>
      </c>
      <c r="G379" s="179">
        <v>4577817</v>
      </c>
      <c r="H379" s="179">
        <v>0</v>
      </c>
      <c r="I379" s="179">
        <v>0</v>
      </c>
      <c r="J379" s="179">
        <v>0</v>
      </c>
      <c r="K379" s="179">
        <v>0</v>
      </c>
      <c r="L379" s="179">
        <v>0</v>
      </c>
      <c r="M379" s="179">
        <v>4577817</v>
      </c>
      <c r="N379" s="179">
        <v>4577817</v>
      </c>
    </row>
    <row r="380" spans="1:14" s="156" customFormat="1" x14ac:dyDescent="0.25">
      <c r="A380" s="156" t="s">
        <v>546</v>
      </c>
      <c r="B380" s="156" t="s">
        <v>611</v>
      </c>
      <c r="C380" s="156" t="s">
        <v>612</v>
      </c>
      <c r="D380" s="156" t="s">
        <v>541</v>
      </c>
      <c r="E380" s="179">
        <v>0</v>
      </c>
      <c r="F380" s="179">
        <v>4577817</v>
      </c>
      <c r="G380" s="179">
        <v>4577817</v>
      </c>
      <c r="H380" s="179">
        <v>0</v>
      </c>
      <c r="I380" s="179">
        <v>0</v>
      </c>
      <c r="J380" s="179">
        <v>0</v>
      </c>
      <c r="K380" s="179">
        <v>0</v>
      </c>
      <c r="L380" s="179">
        <v>0</v>
      </c>
      <c r="M380" s="179">
        <v>4577817</v>
      </c>
      <c r="N380" s="179">
        <v>4577817</v>
      </c>
    </row>
    <row r="381" spans="1:14" s="156" customFormat="1" x14ac:dyDescent="0.25">
      <c r="A381" s="156" t="s">
        <v>546</v>
      </c>
      <c r="B381" s="156" t="s">
        <v>234</v>
      </c>
      <c r="C381" s="156" t="s">
        <v>601</v>
      </c>
      <c r="D381" s="156" t="s">
        <v>541</v>
      </c>
      <c r="E381" s="179">
        <v>1656349984</v>
      </c>
      <c r="F381" s="179">
        <v>1656349984</v>
      </c>
      <c r="G381" s="179">
        <v>1326393371</v>
      </c>
      <c r="H381" s="179">
        <v>0</v>
      </c>
      <c r="I381" s="179">
        <v>737106435.58000004</v>
      </c>
      <c r="J381" s="179">
        <v>6378797.4900000002</v>
      </c>
      <c r="K381" s="179">
        <v>138405596.03999999</v>
      </c>
      <c r="L381" s="179">
        <v>119007792.54000001</v>
      </c>
      <c r="M381" s="179">
        <v>774459154.88999999</v>
      </c>
      <c r="N381" s="179">
        <v>444502541.88999999</v>
      </c>
    </row>
    <row r="382" spans="1:14" s="156" customFormat="1" x14ac:dyDescent="0.25">
      <c r="A382" s="156" t="s">
        <v>546</v>
      </c>
      <c r="B382" s="156" t="s">
        <v>235</v>
      </c>
      <c r="C382" s="156" t="s">
        <v>236</v>
      </c>
      <c r="D382" s="156" t="s">
        <v>541</v>
      </c>
      <c r="E382" s="179">
        <v>34070136</v>
      </c>
      <c r="F382" s="179">
        <v>34070136</v>
      </c>
      <c r="G382" s="179">
        <v>17035068</v>
      </c>
      <c r="H382" s="179">
        <v>0</v>
      </c>
      <c r="I382" s="179">
        <v>0</v>
      </c>
      <c r="J382" s="179">
        <v>0</v>
      </c>
      <c r="K382" s="179">
        <v>0</v>
      </c>
      <c r="L382" s="179">
        <v>0</v>
      </c>
      <c r="M382" s="179">
        <v>34070136</v>
      </c>
      <c r="N382" s="179">
        <v>17035068</v>
      </c>
    </row>
    <row r="383" spans="1:14" s="156" customFormat="1" x14ac:dyDescent="0.25">
      <c r="A383" s="156" t="s">
        <v>546</v>
      </c>
      <c r="B383" s="156" t="s">
        <v>237</v>
      </c>
      <c r="C383" s="156" t="s">
        <v>238</v>
      </c>
      <c r="D383" s="156" t="s">
        <v>541</v>
      </c>
      <c r="E383" s="179">
        <v>65363019</v>
      </c>
      <c r="F383" s="179">
        <v>65363019</v>
      </c>
      <c r="G383" s="179">
        <v>32681509.75</v>
      </c>
      <c r="H383" s="179">
        <v>0</v>
      </c>
      <c r="I383" s="179">
        <v>200510.51</v>
      </c>
      <c r="J383" s="179">
        <v>103125.49</v>
      </c>
      <c r="K383" s="179">
        <v>5152757.07</v>
      </c>
      <c r="L383" s="179">
        <v>5152757.07</v>
      </c>
      <c r="M383" s="179">
        <v>59906625.93</v>
      </c>
      <c r="N383" s="179">
        <v>27225116.68</v>
      </c>
    </row>
    <row r="384" spans="1:14" s="156" customFormat="1" x14ac:dyDescent="0.25">
      <c r="A384" s="156" t="s">
        <v>546</v>
      </c>
      <c r="B384" s="156" t="s">
        <v>239</v>
      </c>
      <c r="C384" s="156" t="s">
        <v>240</v>
      </c>
      <c r="D384" s="156" t="s">
        <v>541</v>
      </c>
      <c r="E384" s="179">
        <v>146259000</v>
      </c>
      <c r="F384" s="179">
        <v>146259000</v>
      </c>
      <c r="G384" s="179">
        <v>146259000</v>
      </c>
      <c r="H384" s="179">
        <v>0</v>
      </c>
      <c r="I384" s="179">
        <v>53327216</v>
      </c>
      <c r="J384" s="179">
        <v>0</v>
      </c>
      <c r="K384" s="179">
        <v>9545144.6999999993</v>
      </c>
      <c r="L384" s="179">
        <v>9545144.6999999993</v>
      </c>
      <c r="M384" s="179">
        <v>83386639.299999997</v>
      </c>
      <c r="N384" s="179">
        <v>83386639.299999997</v>
      </c>
    </row>
    <row r="385" spans="1:14" s="156" customFormat="1" x14ac:dyDescent="0.25">
      <c r="A385" s="156" t="s">
        <v>546</v>
      </c>
      <c r="B385" s="156" t="s">
        <v>241</v>
      </c>
      <c r="C385" s="156" t="s">
        <v>242</v>
      </c>
      <c r="D385" s="156" t="s">
        <v>541</v>
      </c>
      <c r="E385" s="179">
        <v>643150000</v>
      </c>
      <c r="F385" s="179">
        <v>643150000</v>
      </c>
      <c r="G385" s="179">
        <v>410325211</v>
      </c>
      <c r="H385" s="179">
        <v>0</v>
      </c>
      <c r="I385" s="179">
        <v>297339665.14999998</v>
      </c>
      <c r="J385" s="179">
        <v>814772</v>
      </c>
      <c r="K385" s="179">
        <v>4284920</v>
      </c>
      <c r="L385" s="179">
        <v>4284920</v>
      </c>
      <c r="M385" s="179">
        <v>340710642.85000002</v>
      </c>
      <c r="N385" s="179">
        <v>107885853.84999999</v>
      </c>
    </row>
    <row r="386" spans="1:14" s="156" customFormat="1" x14ac:dyDescent="0.25">
      <c r="A386" s="156" t="s">
        <v>546</v>
      </c>
      <c r="B386" s="156" t="s">
        <v>243</v>
      </c>
      <c r="C386" s="156" t="s">
        <v>244</v>
      </c>
      <c r="D386" s="156" t="s">
        <v>541</v>
      </c>
      <c r="E386" s="179">
        <v>302355000</v>
      </c>
      <c r="F386" s="179">
        <v>302355000</v>
      </c>
      <c r="G386" s="179">
        <v>302355000</v>
      </c>
      <c r="H386" s="179">
        <v>0</v>
      </c>
      <c r="I386" s="179">
        <v>172478218.22</v>
      </c>
      <c r="J386" s="179">
        <v>5460900</v>
      </c>
      <c r="K386" s="179">
        <v>54506002.590000004</v>
      </c>
      <c r="L386" s="179">
        <v>35108199.090000004</v>
      </c>
      <c r="M386" s="179">
        <v>69909879.189999998</v>
      </c>
      <c r="N386" s="179">
        <v>69909879.189999998</v>
      </c>
    </row>
    <row r="387" spans="1:14" s="156" customFormat="1" x14ac:dyDescent="0.25">
      <c r="A387" s="156" t="s">
        <v>546</v>
      </c>
      <c r="B387" s="156" t="s">
        <v>245</v>
      </c>
      <c r="C387" s="156" t="s">
        <v>246</v>
      </c>
      <c r="D387" s="156" t="s">
        <v>541</v>
      </c>
      <c r="E387" s="179">
        <v>182921000</v>
      </c>
      <c r="F387" s="179">
        <v>182921000</v>
      </c>
      <c r="G387" s="179">
        <v>182921000</v>
      </c>
      <c r="H387" s="179">
        <v>0</v>
      </c>
      <c r="I387" s="179">
        <v>132528000</v>
      </c>
      <c r="J387" s="179">
        <v>0</v>
      </c>
      <c r="K387" s="179">
        <v>456463.25</v>
      </c>
      <c r="L387" s="179">
        <v>456463.25</v>
      </c>
      <c r="M387" s="179">
        <v>49936536.75</v>
      </c>
      <c r="N387" s="179">
        <v>49936536.75</v>
      </c>
    </row>
    <row r="388" spans="1:14" s="156" customFormat="1" x14ac:dyDescent="0.25">
      <c r="A388" s="156" t="s">
        <v>546</v>
      </c>
      <c r="B388" s="156" t="s">
        <v>247</v>
      </c>
      <c r="C388" s="156" t="s">
        <v>248</v>
      </c>
      <c r="D388" s="156" t="s">
        <v>541</v>
      </c>
      <c r="E388" s="179">
        <v>92727347</v>
      </c>
      <c r="F388" s="179">
        <v>92727347</v>
      </c>
      <c r="G388" s="179">
        <v>46363673.75</v>
      </c>
      <c r="H388" s="179">
        <v>0</v>
      </c>
      <c r="I388" s="179">
        <v>19174617.219999999</v>
      </c>
      <c r="J388" s="179">
        <v>0</v>
      </c>
      <c r="K388" s="179">
        <v>14830959.550000001</v>
      </c>
      <c r="L388" s="179">
        <v>14830959.550000001</v>
      </c>
      <c r="M388" s="179">
        <v>58721770.229999997</v>
      </c>
      <c r="N388" s="179">
        <v>12358096.98</v>
      </c>
    </row>
    <row r="389" spans="1:14" s="156" customFormat="1" x14ac:dyDescent="0.25">
      <c r="A389" s="156" t="s">
        <v>546</v>
      </c>
      <c r="B389" s="156" t="s">
        <v>249</v>
      </c>
      <c r="C389" s="156" t="s">
        <v>250</v>
      </c>
      <c r="D389" s="156" t="s">
        <v>541</v>
      </c>
      <c r="E389" s="179">
        <v>189504482</v>
      </c>
      <c r="F389" s="179">
        <v>189504482</v>
      </c>
      <c r="G389" s="179">
        <v>188452908.5</v>
      </c>
      <c r="H389" s="179">
        <v>0</v>
      </c>
      <c r="I389" s="179">
        <v>62058208.479999997</v>
      </c>
      <c r="J389" s="179">
        <v>0</v>
      </c>
      <c r="K389" s="179">
        <v>49629348.880000003</v>
      </c>
      <c r="L389" s="179">
        <v>49629348.880000003</v>
      </c>
      <c r="M389" s="179">
        <v>77816924.640000001</v>
      </c>
      <c r="N389" s="179">
        <v>76765351.140000001</v>
      </c>
    </row>
    <row r="390" spans="1:14" s="156" customFormat="1" x14ac:dyDescent="0.25">
      <c r="A390" s="156" t="s">
        <v>546</v>
      </c>
      <c r="B390" s="156" t="s">
        <v>279</v>
      </c>
      <c r="C390" s="156" t="s">
        <v>280</v>
      </c>
      <c r="D390" s="156" t="s">
        <v>541</v>
      </c>
      <c r="E390" s="179">
        <v>883769579</v>
      </c>
      <c r="F390" s="179">
        <v>2629734727</v>
      </c>
      <c r="G390" s="179">
        <v>1408937939.75</v>
      </c>
      <c r="H390" s="179">
        <v>124031888</v>
      </c>
      <c r="I390" s="179">
        <v>255773619.74000001</v>
      </c>
      <c r="J390" s="179">
        <v>8448600</v>
      </c>
      <c r="K390" s="179">
        <v>511887383.31999999</v>
      </c>
      <c r="L390" s="179">
        <v>468982325.75</v>
      </c>
      <c r="M390" s="179">
        <v>1729593235.9400001</v>
      </c>
      <c r="N390" s="179">
        <v>508796448.69</v>
      </c>
    </row>
    <row r="391" spans="1:14" s="156" customFormat="1" x14ac:dyDescent="0.25">
      <c r="A391" s="156" t="s">
        <v>546</v>
      </c>
      <c r="B391" s="156" t="s">
        <v>281</v>
      </c>
      <c r="C391" s="156" t="s">
        <v>282</v>
      </c>
      <c r="D391" s="156" t="s">
        <v>541</v>
      </c>
      <c r="E391" s="179">
        <v>667187579</v>
      </c>
      <c r="F391" s="179">
        <v>667187579</v>
      </c>
      <c r="G391" s="179">
        <v>661462578.75</v>
      </c>
      <c r="H391" s="179">
        <v>124031888</v>
      </c>
      <c r="I391" s="179">
        <v>12656004.279999999</v>
      </c>
      <c r="J391" s="179">
        <v>8448600</v>
      </c>
      <c r="K391" s="179">
        <v>110955081.86</v>
      </c>
      <c r="L391" s="179">
        <v>109071981.86</v>
      </c>
      <c r="M391" s="179">
        <v>411096004.86000001</v>
      </c>
      <c r="N391" s="179">
        <v>405371004.61000001</v>
      </c>
    </row>
    <row r="392" spans="1:14" s="156" customFormat="1" x14ac:dyDescent="0.25">
      <c r="A392" s="156" t="s">
        <v>546</v>
      </c>
      <c r="B392" s="156" t="s">
        <v>285</v>
      </c>
      <c r="C392" s="156" t="s">
        <v>286</v>
      </c>
      <c r="D392" s="156" t="s">
        <v>541</v>
      </c>
      <c r="E392" s="179">
        <v>0</v>
      </c>
      <c r="F392" s="179">
        <v>0</v>
      </c>
      <c r="G392" s="179">
        <v>0</v>
      </c>
      <c r="H392" s="179">
        <v>0</v>
      </c>
      <c r="I392" s="179">
        <v>0</v>
      </c>
      <c r="J392" s="179">
        <v>0</v>
      </c>
      <c r="K392" s="179">
        <v>0</v>
      </c>
      <c r="L392" s="179">
        <v>0</v>
      </c>
      <c r="M392" s="179">
        <v>0</v>
      </c>
      <c r="N392" s="179">
        <v>0</v>
      </c>
    </row>
    <row r="393" spans="1:14" s="156" customFormat="1" x14ac:dyDescent="0.25">
      <c r="A393" s="156" t="s">
        <v>546</v>
      </c>
      <c r="B393" s="156" t="s">
        <v>287</v>
      </c>
      <c r="C393" s="156" t="s">
        <v>288</v>
      </c>
      <c r="D393" s="156" t="s">
        <v>541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9">
        <v>0</v>
      </c>
      <c r="K393" s="179">
        <v>0</v>
      </c>
      <c r="L393" s="179">
        <v>0</v>
      </c>
      <c r="M393" s="179">
        <v>0</v>
      </c>
      <c r="N393" s="179">
        <v>0</v>
      </c>
    </row>
    <row r="394" spans="1:14" s="156" customFormat="1" x14ac:dyDescent="0.25">
      <c r="A394" s="156" t="s">
        <v>546</v>
      </c>
      <c r="B394" s="156" t="s">
        <v>283</v>
      </c>
      <c r="C394" s="156" t="s">
        <v>284</v>
      </c>
      <c r="D394" s="156" t="s">
        <v>543</v>
      </c>
      <c r="E394" s="179">
        <v>33062000</v>
      </c>
      <c r="F394" s="179">
        <v>19951724</v>
      </c>
      <c r="G394" s="179">
        <v>19951724</v>
      </c>
      <c r="H394" s="179">
        <v>0</v>
      </c>
      <c r="I394" s="179">
        <v>0</v>
      </c>
      <c r="J394" s="179">
        <v>0</v>
      </c>
      <c r="K394" s="179">
        <v>0</v>
      </c>
      <c r="L394" s="179">
        <v>0</v>
      </c>
      <c r="M394" s="179">
        <v>19951724</v>
      </c>
      <c r="N394" s="179">
        <v>19951724</v>
      </c>
    </row>
    <row r="395" spans="1:14" s="156" customFormat="1" x14ac:dyDescent="0.25">
      <c r="A395" s="156" t="s">
        <v>546</v>
      </c>
      <c r="B395" s="156" t="s">
        <v>398</v>
      </c>
      <c r="C395" s="156" t="s">
        <v>501</v>
      </c>
      <c r="D395" s="156" t="s">
        <v>543</v>
      </c>
      <c r="E395" s="179">
        <v>72100000</v>
      </c>
      <c r="F395" s="179">
        <v>72100000</v>
      </c>
      <c r="G395" s="179">
        <v>72100000</v>
      </c>
      <c r="H395" s="179">
        <v>0</v>
      </c>
      <c r="I395" s="179">
        <v>0</v>
      </c>
      <c r="J395" s="179">
        <v>0</v>
      </c>
      <c r="K395" s="179">
        <v>16883370</v>
      </c>
      <c r="L395" s="179">
        <v>16883370</v>
      </c>
      <c r="M395" s="179">
        <v>55216630</v>
      </c>
      <c r="N395" s="179">
        <v>55216630</v>
      </c>
    </row>
    <row r="396" spans="1:14" s="156" customFormat="1" x14ac:dyDescent="0.25">
      <c r="A396" s="156" t="s">
        <v>546</v>
      </c>
      <c r="B396" s="156" t="s">
        <v>285</v>
      </c>
      <c r="C396" s="156" t="s">
        <v>286</v>
      </c>
      <c r="D396" s="156" t="s">
        <v>543</v>
      </c>
      <c r="E396" s="179">
        <v>147248000</v>
      </c>
      <c r="F396" s="179">
        <v>147248000</v>
      </c>
      <c r="G396" s="179">
        <v>141523000</v>
      </c>
      <c r="H396" s="179">
        <v>0</v>
      </c>
      <c r="I396" s="179">
        <v>5778197.3300000001</v>
      </c>
      <c r="J396" s="179">
        <v>0</v>
      </c>
      <c r="K396" s="179">
        <v>1883100</v>
      </c>
      <c r="L396" s="179">
        <v>0</v>
      </c>
      <c r="M396" s="179">
        <v>139586702.66999999</v>
      </c>
      <c r="N396" s="179">
        <v>133861702.67</v>
      </c>
    </row>
    <row r="397" spans="1:14" s="156" customFormat="1" x14ac:dyDescent="0.25">
      <c r="A397" s="156" t="s">
        <v>546</v>
      </c>
      <c r="B397" s="156" t="s">
        <v>287</v>
      </c>
      <c r="C397" s="156" t="s">
        <v>288</v>
      </c>
      <c r="D397" s="156" t="s">
        <v>543</v>
      </c>
      <c r="E397" s="179">
        <v>69415579</v>
      </c>
      <c r="F397" s="179">
        <v>82525855</v>
      </c>
      <c r="G397" s="179">
        <v>82525854.75</v>
      </c>
      <c r="H397" s="179">
        <v>0</v>
      </c>
      <c r="I397" s="179">
        <v>4541050</v>
      </c>
      <c r="J397" s="179">
        <v>8448600</v>
      </c>
      <c r="K397" s="179">
        <v>2306404</v>
      </c>
      <c r="L397" s="179">
        <v>2306404</v>
      </c>
      <c r="M397" s="179">
        <v>67229801</v>
      </c>
      <c r="N397" s="179">
        <v>67229800.75</v>
      </c>
    </row>
    <row r="398" spans="1:14" s="156" customFormat="1" x14ac:dyDescent="0.25">
      <c r="A398" s="156" t="s">
        <v>546</v>
      </c>
      <c r="B398" s="156" t="s">
        <v>289</v>
      </c>
      <c r="C398" s="156" t="s">
        <v>290</v>
      </c>
      <c r="D398" s="156" t="s">
        <v>543</v>
      </c>
      <c r="E398" s="179">
        <v>21137000</v>
      </c>
      <c r="F398" s="179">
        <v>21137000</v>
      </c>
      <c r="G398" s="179">
        <v>21137000</v>
      </c>
      <c r="H398" s="179">
        <v>0</v>
      </c>
      <c r="I398" s="179">
        <v>0</v>
      </c>
      <c r="J398" s="179">
        <v>0</v>
      </c>
      <c r="K398" s="179">
        <v>13982594.789999999</v>
      </c>
      <c r="L398" s="179">
        <v>13982594.789999999</v>
      </c>
      <c r="M398" s="179">
        <v>7154405.21</v>
      </c>
      <c r="N398" s="179">
        <v>7154405.21</v>
      </c>
    </row>
    <row r="399" spans="1:14" s="156" customFormat="1" x14ac:dyDescent="0.25">
      <c r="A399" s="156" t="s">
        <v>546</v>
      </c>
      <c r="B399" s="156" t="s">
        <v>291</v>
      </c>
      <c r="C399" s="156" t="s">
        <v>292</v>
      </c>
      <c r="D399" s="156" t="s">
        <v>543</v>
      </c>
      <c r="E399" s="179">
        <v>29458000</v>
      </c>
      <c r="F399" s="179">
        <v>29458000</v>
      </c>
      <c r="G399" s="179">
        <v>29458000</v>
      </c>
      <c r="H399" s="179">
        <v>0</v>
      </c>
      <c r="I399" s="179">
        <v>0</v>
      </c>
      <c r="J399" s="179">
        <v>0</v>
      </c>
      <c r="K399" s="179">
        <v>16265225.01</v>
      </c>
      <c r="L399" s="179">
        <v>16265225.01</v>
      </c>
      <c r="M399" s="179">
        <v>13192774.99</v>
      </c>
      <c r="N399" s="179">
        <v>13192774.99</v>
      </c>
    </row>
    <row r="400" spans="1:14" s="156" customFormat="1" x14ac:dyDescent="0.25">
      <c r="A400" s="156" t="s">
        <v>546</v>
      </c>
      <c r="B400" s="156" t="s">
        <v>293</v>
      </c>
      <c r="C400" s="156" t="s">
        <v>294</v>
      </c>
      <c r="D400" s="156" t="s">
        <v>543</v>
      </c>
      <c r="E400" s="179">
        <v>5405000</v>
      </c>
      <c r="F400" s="179">
        <v>5405000</v>
      </c>
      <c r="G400" s="179">
        <v>5405000</v>
      </c>
      <c r="H400" s="179">
        <v>0</v>
      </c>
      <c r="I400" s="179">
        <v>0</v>
      </c>
      <c r="J400" s="179">
        <v>0</v>
      </c>
      <c r="K400" s="179">
        <v>3981450</v>
      </c>
      <c r="L400" s="179">
        <v>3981450</v>
      </c>
      <c r="M400" s="179">
        <v>1423550</v>
      </c>
      <c r="N400" s="179">
        <v>1423550</v>
      </c>
    </row>
    <row r="401" spans="1:14" s="156" customFormat="1" x14ac:dyDescent="0.25">
      <c r="A401" s="156" t="s">
        <v>546</v>
      </c>
      <c r="B401" s="156" t="s">
        <v>295</v>
      </c>
      <c r="C401" s="156" t="s">
        <v>296</v>
      </c>
      <c r="D401" s="156" t="s">
        <v>543</v>
      </c>
      <c r="E401" s="179">
        <v>289362000</v>
      </c>
      <c r="F401" s="179">
        <v>289362000</v>
      </c>
      <c r="G401" s="179">
        <v>289362000</v>
      </c>
      <c r="H401" s="179">
        <v>124031888</v>
      </c>
      <c r="I401" s="179">
        <v>2336756.9500000002</v>
      </c>
      <c r="J401" s="179">
        <v>0</v>
      </c>
      <c r="K401" s="179">
        <v>55652938.060000002</v>
      </c>
      <c r="L401" s="179">
        <v>55652938.060000002</v>
      </c>
      <c r="M401" s="179">
        <v>107340416.98999999</v>
      </c>
      <c r="N401" s="179">
        <v>107340416.98999999</v>
      </c>
    </row>
    <row r="402" spans="1:14" s="156" customFormat="1" x14ac:dyDescent="0.25">
      <c r="A402" s="156" t="s">
        <v>546</v>
      </c>
      <c r="B402" s="156" t="s">
        <v>297</v>
      </c>
      <c r="C402" s="156" t="s">
        <v>298</v>
      </c>
      <c r="D402" s="156" t="s">
        <v>543</v>
      </c>
      <c r="E402" s="179">
        <v>8088000</v>
      </c>
      <c r="F402" s="179">
        <v>1754053148</v>
      </c>
      <c r="G402" s="179">
        <v>648228361</v>
      </c>
      <c r="H402" s="179">
        <v>0</v>
      </c>
      <c r="I402" s="179">
        <v>242117615.46000001</v>
      </c>
      <c r="J402" s="179">
        <v>0</v>
      </c>
      <c r="K402" s="179">
        <v>398460162.25999999</v>
      </c>
      <c r="L402" s="179">
        <v>357438204.69</v>
      </c>
      <c r="M402" s="179">
        <v>1113475370.28</v>
      </c>
      <c r="N402" s="179">
        <v>7650583.2800000003</v>
      </c>
    </row>
    <row r="403" spans="1:14" s="156" customFormat="1" x14ac:dyDescent="0.25">
      <c r="A403" s="156" t="s">
        <v>546</v>
      </c>
      <c r="B403" s="156" t="s">
        <v>299</v>
      </c>
      <c r="C403" s="156" t="s">
        <v>300</v>
      </c>
      <c r="D403" s="156" t="s">
        <v>543</v>
      </c>
      <c r="E403" s="179">
        <v>0</v>
      </c>
      <c r="F403" s="179">
        <v>1745965148</v>
      </c>
      <c r="G403" s="179">
        <v>640140361</v>
      </c>
      <c r="H403" s="179">
        <v>0</v>
      </c>
      <c r="I403" s="179">
        <v>236051615.46000001</v>
      </c>
      <c r="J403" s="179">
        <v>0</v>
      </c>
      <c r="K403" s="179">
        <v>396438163.25999999</v>
      </c>
      <c r="L403" s="179">
        <v>355416205.69</v>
      </c>
      <c r="M403" s="179">
        <v>1113475369.28</v>
      </c>
      <c r="N403" s="179">
        <v>7650582.2800000003</v>
      </c>
    </row>
    <row r="404" spans="1:14" s="156" customFormat="1" x14ac:dyDescent="0.25">
      <c r="A404" s="156" t="s">
        <v>546</v>
      </c>
      <c r="B404" s="156" t="s">
        <v>366</v>
      </c>
      <c r="C404" s="156" t="s">
        <v>367</v>
      </c>
      <c r="D404" s="156" t="s">
        <v>543</v>
      </c>
      <c r="E404" s="179">
        <v>8088000</v>
      </c>
      <c r="F404" s="179">
        <v>8088000</v>
      </c>
      <c r="G404" s="179">
        <v>8088000</v>
      </c>
      <c r="H404" s="179">
        <v>0</v>
      </c>
      <c r="I404" s="179">
        <v>6066000</v>
      </c>
      <c r="J404" s="179">
        <v>0</v>
      </c>
      <c r="K404" s="179">
        <v>2021999</v>
      </c>
      <c r="L404" s="179">
        <v>2021999</v>
      </c>
      <c r="M404" s="179">
        <v>1</v>
      </c>
      <c r="N404" s="179">
        <v>1</v>
      </c>
    </row>
    <row r="405" spans="1:14" s="156" customFormat="1" x14ac:dyDescent="0.25">
      <c r="A405" s="156" t="s">
        <v>546</v>
      </c>
      <c r="B405" s="156" t="s">
        <v>340</v>
      </c>
      <c r="C405" s="156" t="s">
        <v>341</v>
      </c>
      <c r="D405" s="156" t="s">
        <v>543</v>
      </c>
      <c r="E405" s="179">
        <v>208494000</v>
      </c>
      <c r="F405" s="179">
        <v>208494000</v>
      </c>
      <c r="G405" s="179">
        <v>99247000</v>
      </c>
      <c r="H405" s="179">
        <v>0</v>
      </c>
      <c r="I405" s="179">
        <v>1000000</v>
      </c>
      <c r="J405" s="179">
        <v>0</v>
      </c>
      <c r="K405" s="179">
        <v>2472139.2000000002</v>
      </c>
      <c r="L405" s="179">
        <v>2472139.2000000002</v>
      </c>
      <c r="M405" s="179">
        <v>205021860.80000001</v>
      </c>
      <c r="N405" s="179">
        <v>95774860.799999997</v>
      </c>
    </row>
    <row r="406" spans="1:14" s="156" customFormat="1" x14ac:dyDescent="0.25">
      <c r="A406" s="156" t="s">
        <v>546</v>
      </c>
      <c r="B406" s="156" t="s">
        <v>342</v>
      </c>
      <c r="C406" s="156" t="s">
        <v>343</v>
      </c>
      <c r="D406" s="156" t="s">
        <v>543</v>
      </c>
      <c r="E406" s="179">
        <v>208494000</v>
      </c>
      <c r="F406" s="179">
        <v>208494000</v>
      </c>
      <c r="G406" s="179">
        <v>99247000</v>
      </c>
      <c r="H406" s="179">
        <v>0</v>
      </c>
      <c r="I406" s="179">
        <v>1000000</v>
      </c>
      <c r="J406" s="179">
        <v>0</v>
      </c>
      <c r="K406" s="179">
        <v>2472139.2000000002</v>
      </c>
      <c r="L406" s="179">
        <v>2472139.2000000002</v>
      </c>
      <c r="M406" s="179">
        <v>205021860.80000001</v>
      </c>
      <c r="N406" s="179">
        <v>95774860.799999997</v>
      </c>
    </row>
    <row r="407" spans="1:14" s="156" customFormat="1" x14ac:dyDescent="0.25">
      <c r="A407" s="156" t="s">
        <v>546</v>
      </c>
      <c r="B407" s="156" t="s">
        <v>251</v>
      </c>
      <c r="C407" s="156" t="s">
        <v>252</v>
      </c>
      <c r="D407" s="156" t="s">
        <v>541</v>
      </c>
      <c r="E407" s="179">
        <v>11597046000</v>
      </c>
      <c r="F407" s="179">
        <v>11597046000</v>
      </c>
      <c r="G407" s="179">
        <v>4725509206.25</v>
      </c>
      <c r="H407" s="179">
        <v>0</v>
      </c>
      <c r="I407" s="179">
        <v>3593215483.4699998</v>
      </c>
      <c r="J407" s="179">
        <v>0</v>
      </c>
      <c r="K407" s="179">
        <v>1052796995.73</v>
      </c>
      <c r="L407" s="179">
        <v>1007796995.73</v>
      </c>
      <c r="M407" s="179">
        <v>6951033520.8000002</v>
      </c>
      <c r="N407" s="179">
        <v>79496727.049999997</v>
      </c>
    </row>
    <row r="408" spans="1:14" s="156" customFormat="1" x14ac:dyDescent="0.25">
      <c r="A408" s="156" t="s">
        <v>546</v>
      </c>
      <c r="B408" s="156" t="s">
        <v>253</v>
      </c>
      <c r="C408" s="156" t="s">
        <v>254</v>
      </c>
      <c r="D408" s="156" t="s">
        <v>541</v>
      </c>
      <c r="E408" s="179">
        <v>9955805000</v>
      </c>
      <c r="F408" s="179">
        <v>9935805000</v>
      </c>
      <c r="G408" s="179">
        <v>3875805000</v>
      </c>
      <c r="H408" s="179">
        <v>0</v>
      </c>
      <c r="I408" s="179">
        <v>3527224103</v>
      </c>
      <c r="J408" s="179">
        <v>0</v>
      </c>
      <c r="K408" s="179">
        <v>348580897</v>
      </c>
      <c r="L408" s="179">
        <v>348580897</v>
      </c>
      <c r="M408" s="179">
        <v>6060000000</v>
      </c>
      <c r="N408" s="179">
        <v>0</v>
      </c>
    </row>
    <row r="409" spans="1:14" s="156" customFormat="1" x14ac:dyDescent="0.25">
      <c r="A409" s="156" t="s">
        <v>546</v>
      </c>
      <c r="B409" s="156" t="s">
        <v>368</v>
      </c>
      <c r="C409" s="156" t="s">
        <v>369</v>
      </c>
      <c r="D409" s="156" t="s">
        <v>541</v>
      </c>
      <c r="E409" s="179">
        <v>80000000</v>
      </c>
      <c r="F409" s="179">
        <v>60000000</v>
      </c>
      <c r="G409" s="179">
        <v>0</v>
      </c>
      <c r="H409" s="179">
        <v>0</v>
      </c>
      <c r="I409" s="179">
        <v>0</v>
      </c>
      <c r="J409" s="179">
        <v>0</v>
      </c>
      <c r="K409" s="179">
        <v>0</v>
      </c>
      <c r="L409" s="179">
        <v>0</v>
      </c>
      <c r="M409" s="179">
        <v>60000000</v>
      </c>
      <c r="N409" s="179">
        <v>0</v>
      </c>
    </row>
    <row r="410" spans="1:14" s="156" customFormat="1" x14ac:dyDescent="0.25">
      <c r="A410" s="156" t="s">
        <v>546</v>
      </c>
      <c r="B410" s="156" t="s">
        <v>370</v>
      </c>
      <c r="C410" s="156" t="s">
        <v>602</v>
      </c>
      <c r="D410" s="156" t="s">
        <v>541</v>
      </c>
      <c r="E410" s="179">
        <v>673849000</v>
      </c>
      <c r="F410" s="179">
        <v>673849000</v>
      </c>
      <c r="G410" s="179">
        <v>673849000</v>
      </c>
      <c r="H410" s="179">
        <v>0</v>
      </c>
      <c r="I410" s="179">
        <v>383754830</v>
      </c>
      <c r="J410" s="179">
        <v>0</v>
      </c>
      <c r="K410" s="179">
        <v>290094170</v>
      </c>
      <c r="L410" s="179">
        <v>290094170</v>
      </c>
      <c r="M410" s="179">
        <v>0</v>
      </c>
      <c r="N410" s="179">
        <v>0</v>
      </c>
    </row>
    <row r="411" spans="1:14" s="156" customFormat="1" x14ac:dyDescent="0.25">
      <c r="A411" s="156" t="s">
        <v>546</v>
      </c>
      <c r="B411" s="156" t="s">
        <v>371</v>
      </c>
      <c r="C411" s="156" t="s">
        <v>603</v>
      </c>
      <c r="D411" s="156" t="s">
        <v>541</v>
      </c>
      <c r="E411" s="179">
        <v>135856000</v>
      </c>
      <c r="F411" s="179">
        <v>135856000</v>
      </c>
      <c r="G411" s="179">
        <v>135856000</v>
      </c>
      <c r="H411" s="179">
        <v>0</v>
      </c>
      <c r="I411" s="179">
        <v>77369273</v>
      </c>
      <c r="J411" s="179">
        <v>0</v>
      </c>
      <c r="K411" s="179">
        <v>58486727</v>
      </c>
      <c r="L411" s="179">
        <v>58486727</v>
      </c>
      <c r="M411" s="179">
        <v>0</v>
      </c>
      <c r="N411" s="179">
        <v>0</v>
      </c>
    </row>
    <row r="412" spans="1:14" s="156" customFormat="1" x14ac:dyDescent="0.25">
      <c r="A412" s="156" t="s">
        <v>546</v>
      </c>
      <c r="B412" s="156" t="s">
        <v>606</v>
      </c>
      <c r="C412" s="156" t="s">
        <v>608</v>
      </c>
      <c r="D412" s="156" t="s">
        <v>543</v>
      </c>
      <c r="E412" s="179">
        <v>9066100000</v>
      </c>
      <c r="F412" s="179">
        <v>9066100000</v>
      </c>
      <c r="G412" s="179">
        <v>3066100000</v>
      </c>
      <c r="H412" s="179">
        <v>0</v>
      </c>
      <c r="I412" s="179">
        <v>3066100000</v>
      </c>
      <c r="J412" s="179">
        <v>0</v>
      </c>
      <c r="K412" s="179">
        <v>0</v>
      </c>
      <c r="L412" s="179">
        <v>0</v>
      </c>
      <c r="M412" s="179">
        <v>6000000000</v>
      </c>
      <c r="N412" s="179">
        <v>0</v>
      </c>
    </row>
    <row r="413" spans="1:14" s="156" customFormat="1" x14ac:dyDescent="0.25">
      <c r="A413" s="156" t="s">
        <v>546</v>
      </c>
      <c r="B413" s="156" t="s">
        <v>372</v>
      </c>
      <c r="C413" s="156" t="s">
        <v>373</v>
      </c>
      <c r="D413" s="156" t="s">
        <v>541</v>
      </c>
      <c r="E413" s="179">
        <v>550000000</v>
      </c>
      <c r="F413" s="179">
        <v>550000000</v>
      </c>
      <c r="G413" s="179">
        <v>275000000</v>
      </c>
      <c r="H413" s="179">
        <v>0</v>
      </c>
      <c r="I413" s="179">
        <v>50000000</v>
      </c>
      <c r="J413" s="179">
        <v>0</v>
      </c>
      <c r="K413" s="179">
        <v>225000000</v>
      </c>
      <c r="L413" s="179">
        <v>180000000</v>
      </c>
      <c r="M413" s="179">
        <v>275000000</v>
      </c>
      <c r="N413" s="179">
        <v>0</v>
      </c>
    </row>
    <row r="414" spans="1:14" s="156" customFormat="1" x14ac:dyDescent="0.25">
      <c r="A414" s="156" t="s">
        <v>546</v>
      </c>
      <c r="B414" s="156" t="s">
        <v>374</v>
      </c>
      <c r="C414" s="156" t="s">
        <v>375</v>
      </c>
      <c r="D414" s="156" t="s">
        <v>541</v>
      </c>
      <c r="E414" s="179">
        <v>550000000</v>
      </c>
      <c r="F414" s="179">
        <v>550000000</v>
      </c>
      <c r="G414" s="179">
        <v>275000000</v>
      </c>
      <c r="H414" s="179">
        <v>0</v>
      </c>
      <c r="I414" s="179">
        <v>50000000</v>
      </c>
      <c r="J414" s="179">
        <v>0</v>
      </c>
      <c r="K414" s="179">
        <v>225000000</v>
      </c>
      <c r="L414" s="179">
        <v>180000000</v>
      </c>
      <c r="M414" s="179">
        <v>275000000</v>
      </c>
      <c r="N414" s="179">
        <v>0</v>
      </c>
    </row>
    <row r="415" spans="1:14" s="156" customFormat="1" x14ac:dyDescent="0.25">
      <c r="A415" s="156" t="s">
        <v>546</v>
      </c>
      <c r="B415" s="156" t="s">
        <v>261</v>
      </c>
      <c r="C415" s="156" t="s">
        <v>262</v>
      </c>
      <c r="D415" s="156" t="s">
        <v>541</v>
      </c>
      <c r="E415" s="179">
        <v>1002889000</v>
      </c>
      <c r="F415" s="179">
        <v>1002889000</v>
      </c>
      <c r="G415" s="179">
        <v>478028206.25</v>
      </c>
      <c r="H415" s="179">
        <v>0</v>
      </c>
      <c r="I415" s="179">
        <v>1138665.58</v>
      </c>
      <c r="J415" s="179">
        <v>0</v>
      </c>
      <c r="K415" s="179">
        <v>409068813.62</v>
      </c>
      <c r="L415" s="179">
        <v>409068813.62</v>
      </c>
      <c r="M415" s="179">
        <v>592681520.79999995</v>
      </c>
      <c r="N415" s="179">
        <v>67820727.049999997</v>
      </c>
    </row>
    <row r="416" spans="1:14" s="156" customFormat="1" x14ac:dyDescent="0.25">
      <c r="A416" s="156" t="s">
        <v>546</v>
      </c>
      <c r="B416" s="156" t="s">
        <v>263</v>
      </c>
      <c r="C416" s="156" t="s">
        <v>264</v>
      </c>
      <c r="D416" s="156" t="s">
        <v>541</v>
      </c>
      <c r="E416" s="179">
        <v>657462000</v>
      </c>
      <c r="F416" s="179">
        <v>657462000</v>
      </c>
      <c r="G416" s="179">
        <v>259216115</v>
      </c>
      <c r="H416" s="179">
        <v>0</v>
      </c>
      <c r="I416" s="179">
        <v>1138665.58</v>
      </c>
      <c r="J416" s="179">
        <v>0</v>
      </c>
      <c r="K416" s="179">
        <v>258077449.41999999</v>
      </c>
      <c r="L416" s="179">
        <v>258077449.41999999</v>
      </c>
      <c r="M416" s="179">
        <v>398245885</v>
      </c>
      <c r="N416" s="179">
        <v>0</v>
      </c>
    </row>
    <row r="417" spans="1:14" s="156" customFormat="1" x14ac:dyDescent="0.25">
      <c r="A417" s="156" t="s">
        <v>546</v>
      </c>
      <c r="B417" s="156" t="s">
        <v>265</v>
      </c>
      <c r="C417" s="156" t="s">
        <v>266</v>
      </c>
      <c r="D417" s="156" t="s">
        <v>541</v>
      </c>
      <c r="E417" s="179">
        <v>345427000</v>
      </c>
      <c r="F417" s="179">
        <v>345427000</v>
      </c>
      <c r="G417" s="179">
        <v>218812091.25</v>
      </c>
      <c r="H417" s="179">
        <v>0</v>
      </c>
      <c r="I417" s="179">
        <v>0</v>
      </c>
      <c r="J417" s="179">
        <v>0</v>
      </c>
      <c r="K417" s="179">
        <v>150991364.19999999</v>
      </c>
      <c r="L417" s="179">
        <v>150991364.19999999</v>
      </c>
      <c r="M417" s="179">
        <v>194435635.80000001</v>
      </c>
      <c r="N417" s="179">
        <v>67820727.049999997</v>
      </c>
    </row>
    <row r="418" spans="1:14" s="156" customFormat="1" x14ac:dyDescent="0.25">
      <c r="A418" s="156" t="s">
        <v>546</v>
      </c>
      <c r="B418" s="156" t="s">
        <v>267</v>
      </c>
      <c r="C418" s="156" t="s">
        <v>268</v>
      </c>
      <c r="D418" s="156" t="s">
        <v>541</v>
      </c>
      <c r="E418" s="179">
        <v>88352000</v>
      </c>
      <c r="F418" s="179">
        <v>108352000</v>
      </c>
      <c r="G418" s="179">
        <v>96676000</v>
      </c>
      <c r="H418" s="179">
        <v>0</v>
      </c>
      <c r="I418" s="179">
        <v>14852714.890000001</v>
      </c>
      <c r="J418" s="179">
        <v>0</v>
      </c>
      <c r="K418" s="179">
        <v>70147285.109999999</v>
      </c>
      <c r="L418" s="179">
        <v>70147285.109999999</v>
      </c>
      <c r="M418" s="179">
        <v>23352000</v>
      </c>
      <c r="N418" s="179">
        <v>11676000</v>
      </c>
    </row>
    <row r="419" spans="1:14" s="156" customFormat="1" x14ac:dyDescent="0.25">
      <c r="A419" s="156" t="s">
        <v>546</v>
      </c>
      <c r="B419" s="156" t="s">
        <v>269</v>
      </c>
      <c r="C419" s="156" t="s">
        <v>270</v>
      </c>
      <c r="D419" s="156" t="s">
        <v>541</v>
      </c>
      <c r="E419" s="179">
        <v>65000000</v>
      </c>
      <c r="F419" s="179">
        <v>85000000</v>
      </c>
      <c r="G419" s="179">
        <v>85000000</v>
      </c>
      <c r="H419" s="179">
        <v>0</v>
      </c>
      <c r="I419" s="179">
        <v>14852714.890000001</v>
      </c>
      <c r="J419" s="179">
        <v>0</v>
      </c>
      <c r="K419" s="179">
        <v>70147285.109999999</v>
      </c>
      <c r="L419" s="179">
        <v>70147285.109999999</v>
      </c>
      <c r="M419" s="179">
        <v>0</v>
      </c>
      <c r="N419" s="179">
        <v>0</v>
      </c>
    </row>
    <row r="420" spans="1:14" s="156" customFormat="1" x14ac:dyDescent="0.25">
      <c r="A420" s="156" t="s">
        <v>546</v>
      </c>
      <c r="B420" s="156" t="s">
        <v>271</v>
      </c>
      <c r="C420" s="156" t="s">
        <v>272</v>
      </c>
      <c r="D420" s="156" t="s">
        <v>541</v>
      </c>
      <c r="E420" s="179">
        <v>23352000</v>
      </c>
      <c r="F420" s="179">
        <v>23352000</v>
      </c>
      <c r="G420" s="179">
        <v>11676000</v>
      </c>
      <c r="H420" s="179">
        <v>0</v>
      </c>
      <c r="I420" s="179">
        <v>0</v>
      </c>
      <c r="J420" s="179">
        <v>0</v>
      </c>
      <c r="K420" s="179">
        <v>0</v>
      </c>
      <c r="L420" s="179">
        <v>0</v>
      </c>
      <c r="M420" s="179">
        <v>23352000</v>
      </c>
      <c r="N420" s="179">
        <v>11676000</v>
      </c>
    </row>
    <row r="421" spans="1:14" s="156" customFormat="1" x14ac:dyDescent="0.25">
      <c r="A421" s="156" t="s">
        <v>546</v>
      </c>
      <c r="B421" s="156" t="s">
        <v>376</v>
      </c>
      <c r="C421" s="156" t="s">
        <v>377</v>
      </c>
      <c r="D421" s="156" t="s">
        <v>543</v>
      </c>
      <c r="E421" s="179">
        <v>573100000</v>
      </c>
      <c r="F421" s="179">
        <v>827134852</v>
      </c>
      <c r="G421" s="179">
        <v>258931852</v>
      </c>
      <c r="H421" s="179">
        <v>0</v>
      </c>
      <c r="I421" s="179">
        <v>0</v>
      </c>
      <c r="J421" s="179">
        <v>0</v>
      </c>
      <c r="K421" s="179">
        <v>0</v>
      </c>
      <c r="L421" s="179">
        <v>0</v>
      </c>
      <c r="M421" s="179">
        <v>827134852</v>
      </c>
      <c r="N421" s="179">
        <v>258931852</v>
      </c>
    </row>
    <row r="422" spans="1:14" s="156" customFormat="1" x14ac:dyDescent="0.25">
      <c r="A422" s="156" t="s">
        <v>546</v>
      </c>
      <c r="B422" s="156" t="s">
        <v>378</v>
      </c>
      <c r="C422" s="156" t="s">
        <v>379</v>
      </c>
      <c r="D422" s="156" t="s">
        <v>543</v>
      </c>
      <c r="E422" s="179">
        <v>573100000</v>
      </c>
      <c r="F422" s="179">
        <v>827134852</v>
      </c>
      <c r="G422" s="179">
        <v>258931852</v>
      </c>
      <c r="H422" s="179">
        <v>0</v>
      </c>
      <c r="I422" s="179">
        <v>0</v>
      </c>
      <c r="J422" s="179">
        <v>0</v>
      </c>
      <c r="K422" s="179">
        <v>0</v>
      </c>
      <c r="L422" s="179">
        <v>0</v>
      </c>
      <c r="M422" s="179">
        <v>827134852</v>
      </c>
      <c r="N422" s="179">
        <v>258931852</v>
      </c>
    </row>
    <row r="423" spans="1:14" s="156" customFormat="1" x14ac:dyDescent="0.25">
      <c r="A423" s="156" t="s">
        <v>546</v>
      </c>
      <c r="B423" s="156" t="s">
        <v>380</v>
      </c>
      <c r="C423" s="156" t="s">
        <v>381</v>
      </c>
      <c r="D423" s="156" t="s">
        <v>543</v>
      </c>
      <c r="E423" s="179">
        <v>573100000</v>
      </c>
      <c r="F423" s="179">
        <v>827134852</v>
      </c>
      <c r="G423" s="179">
        <v>258931852</v>
      </c>
      <c r="H423" s="179">
        <v>0</v>
      </c>
      <c r="I423" s="179">
        <v>0</v>
      </c>
      <c r="J423" s="179">
        <v>0</v>
      </c>
      <c r="K423" s="179">
        <v>0</v>
      </c>
      <c r="L423" s="179">
        <v>0</v>
      </c>
      <c r="M423" s="179">
        <v>827134852</v>
      </c>
      <c r="N423" s="179">
        <v>258931852</v>
      </c>
    </row>
    <row r="424" spans="1:14" s="156" customFormat="1" x14ac:dyDescent="0.25">
      <c r="A424" s="156">
        <v>214784</v>
      </c>
      <c r="B424" s="156" t="s">
        <v>587</v>
      </c>
      <c r="C424" s="156" t="s">
        <v>587</v>
      </c>
      <c r="D424" s="156" t="s">
        <v>541</v>
      </c>
      <c r="E424" s="179">
        <v>13837611334</v>
      </c>
      <c r="F424" s="179">
        <v>13837611334</v>
      </c>
      <c r="G424" s="179">
        <v>13677929203</v>
      </c>
      <c r="H424" s="179">
        <v>0</v>
      </c>
      <c r="I424" s="179">
        <v>1422935408.5899999</v>
      </c>
      <c r="J424" s="179">
        <v>0</v>
      </c>
      <c r="K424" s="179">
        <v>5382018511.6800003</v>
      </c>
      <c r="L424" s="179">
        <v>5382018511.6800003</v>
      </c>
      <c r="M424" s="179">
        <v>7032657413.7299995</v>
      </c>
      <c r="N424" s="179">
        <v>6872975282.7299995</v>
      </c>
    </row>
    <row r="425" spans="1:14" s="156" customFormat="1" x14ac:dyDescent="0.25">
      <c r="A425" s="156" t="s">
        <v>547</v>
      </c>
      <c r="B425" s="156" t="s">
        <v>92</v>
      </c>
      <c r="C425" s="156" t="s">
        <v>93</v>
      </c>
      <c r="D425" s="156" t="s">
        <v>541</v>
      </c>
      <c r="E425" s="179">
        <v>13313316000</v>
      </c>
      <c r="F425" s="179">
        <v>13313316000</v>
      </c>
      <c r="G425" s="179">
        <v>13313316000</v>
      </c>
      <c r="H425" s="179">
        <v>0</v>
      </c>
      <c r="I425" s="179">
        <v>1234985798.97</v>
      </c>
      <c r="J425" s="179">
        <v>0</v>
      </c>
      <c r="K425" s="179">
        <v>5244300770.5100002</v>
      </c>
      <c r="L425" s="179">
        <v>5244300770.5100002</v>
      </c>
      <c r="M425" s="179">
        <v>6834029430.5200005</v>
      </c>
      <c r="N425" s="179">
        <v>6834029430.5200005</v>
      </c>
    </row>
    <row r="426" spans="1:14" s="156" customFormat="1" x14ac:dyDescent="0.25">
      <c r="A426" s="156" t="s">
        <v>547</v>
      </c>
      <c r="B426" s="156" t="s">
        <v>94</v>
      </c>
      <c r="C426" s="156" t="s">
        <v>95</v>
      </c>
      <c r="D426" s="156" t="s">
        <v>541</v>
      </c>
      <c r="E426" s="179">
        <v>4473382000</v>
      </c>
      <c r="F426" s="179">
        <v>4473382000</v>
      </c>
      <c r="G426" s="179">
        <v>4473382000</v>
      </c>
      <c r="H426" s="179">
        <v>0</v>
      </c>
      <c r="I426" s="179">
        <v>180140</v>
      </c>
      <c r="J426" s="179">
        <v>0</v>
      </c>
      <c r="K426" s="179">
        <v>1663820366.72</v>
      </c>
      <c r="L426" s="179">
        <v>1663820366.72</v>
      </c>
      <c r="M426" s="179">
        <v>2809381493.2800002</v>
      </c>
      <c r="N426" s="179">
        <v>2809381493.2800002</v>
      </c>
    </row>
    <row r="427" spans="1:14" s="156" customFormat="1" x14ac:dyDescent="0.25">
      <c r="A427" s="156" t="s">
        <v>547</v>
      </c>
      <c r="B427" s="156" t="s">
        <v>96</v>
      </c>
      <c r="C427" s="156" t="s">
        <v>97</v>
      </c>
      <c r="D427" s="156" t="s">
        <v>541</v>
      </c>
      <c r="E427" s="179">
        <v>4473382000</v>
      </c>
      <c r="F427" s="179">
        <v>4473382000</v>
      </c>
      <c r="G427" s="179">
        <v>4473382000</v>
      </c>
      <c r="H427" s="179">
        <v>0</v>
      </c>
      <c r="I427" s="179">
        <v>180140</v>
      </c>
      <c r="J427" s="179">
        <v>0</v>
      </c>
      <c r="K427" s="179">
        <v>1663820366.72</v>
      </c>
      <c r="L427" s="179">
        <v>1663820366.72</v>
      </c>
      <c r="M427" s="179">
        <v>2809381493.2800002</v>
      </c>
      <c r="N427" s="179">
        <v>2809381493.2800002</v>
      </c>
    </row>
    <row r="428" spans="1:14" s="156" customFormat="1" x14ac:dyDescent="0.25">
      <c r="A428" s="156" t="s">
        <v>547</v>
      </c>
      <c r="B428" s="156" t="s">
        <v>102</v>
      </c>
      <c r="C428" s="156" t="s">
        <v>103</v>
      </c>
      <c r="D428" s="156" t="s">
        <v>541</v>
      </c>
      <c r="E428" s="179">
        <v>6745487000</v>
      </c>
      <c r="F428" s="179">
        <v>6745487000</v>
      </c>
      <c r="G428" s="179">
        <v>6745487000</v>
      </c>
      <c r="H428" s="179">
        <v>0</v>
      </c>
      <c r="I428" s="179">
        <v>220373</v>
      </c>
      <c r="J428" s="179">
        <v>0</v>
      </c>
      <c r="K428" s="179">
        <v>2720618689.7600002</v>
      </c>
      <c r="L428" s="179">
        <v>2720618689.7600002</v>
      </c>
      <c r="M428" s="179">
        <v>4024647937.2399998</v>
      </c>
      <c r="N428" s="179">
        <v>4024647937.2399998</v>
      </c>
    </row>
    <row r="429" spans="1:14" s="156" customFormat="1" x14ac:dyDescent="0.25">
      <c r="A429" s="156" t="s">
        <v>547</v>
      </c>
      <c r="B429" s="156" t="s">
        <v>104</v>
      </c>
      <c r="C429" s="156" t="s">
        <v>105</v>
      </c>
      <c r="D429" s="156" t="s">
        <v>541</v>
      </c>
      <c r="E429" s="179">
        <v>1460185000</v>
      </c>
      <c r="F429" s="179">
        <v>1460185000</v>
      </c>
      <c r="G429" s="179">
        <v>1460185000</v>
      </c>
      <c r="H429" s="179">
        <v>0</v>
      </c>
      <c r="I429" s="179">
        <v>121296</v>
      </c>
      <c r="J429" s="179">
        <v>0</v>
      </c>
      <c r="K429" s="179">
        <v>544340725.79999995</v>
      </c>
      <c r="L429" s="179">
        <v>544340725.79999995</v>
      </c>
      <c r="M429" s="179">
        <v>915722978.20000005</v>
      </c>
      <c r="N429" s="179">
        <v>915722978.20000005</v>
      </c>
    </row>
    <row r="430" spans="1:14" s="156" customFormat="1" x14ac:dyDescent="0.25">
      <c r="A430" s="156" t="s">
        <v>547</v>
      </c>
      <c r="B430" s="156" t="s">
        <v>106</v>
      </c>
      <c r="C430" s="156" t="s">
        <v>107</v>
      </c>
      <c r="D430" s="156" t="s">
        <v>541</v>
      </c>
      <c r="E430" s="179">
        <v>2519609000</v>
      </c>
      <c r="F430" s="179">
        <v>2519609000</v>
      </c>
      <c r="G430" s="179">
        <v>2519609000</v>
      </c>
      <c r="H430" s="179">
        <v>0</v>
      </c>
      <c r="I430" s="179">
        <v>54042</v>
      </c>
      <c r="J430" s="179">
        <v>0</v>
      </c>
      <c r="K430" s="179">
        <v>973175914.96000004</v>
      </c>
      <c r="L430" s="179">
        <v>973175914.96000004</v>
      </c>
      <c r="M430" s="179">
        <v>1546379043.04</v>
      </c>
      <c r="N430" s="179">
        <v>1546379043.04</v>
      </c>
    </row>
    <row r="431" spans="1:14" s="156" customFormat="1" x14ac:dyDescent="0.25">
      <c r="A431" s="156" t="s">
        <v>547</v>
      </c>
      <c r="B431" s="156" t="s">
        <v>108</v>
      </c>
      <c r="C431" s="156" t="s">
        <v>109</v>
      </c>
      <c r="D431" s="156" t="s">
        <v>541</v>
      </c>
      <c r="E431" s="179">
        <v>738904000</v>
      </c>
      <c r="F431" s="179">
        <v>738904000</v>
      </c>
      <c r="G431" s="179">
        <v>738904000</v>
      </c>
      <c r="H431" s="179">
        <v>0</v>
      </c>
      <c r="I431" s="179">
        <v>0</v>
      </c>
      <c r="J431" s="179">
        <v>0</v>
      </c>
      <c r="K431" s="179">
        <v>737016521.14999998</v>
      </c>
      <c r="L431" s="179">
        <v>737016521.14999998</v>
      </c>
      <c r="M431" s="179">
        <v>1887478.85</v>
      </c>
      <c r="N431" s="179">
        <v>1887478.85</v>
      </c>
    </row>
    <row r="432" spans="1:14" s="156" customFormat="1" x14ac:dyDescent="0.25">
      <c r="A432" s="156" t="s">
        <v>547</v>
      </c>
      <c r="B432" s="156" t="s">
        <v>110</v>
      </c>
      <c r="C432" s="156" t="s">
        <v>111</v>
      </c>
      <c r="D432" s="156" t="s">
        <v>541</v>
      </c>
      <c r="E432" s="179">
        <v>1196454000</v>
      </c>
      <c r="F432" s="179">
        <v>1196454000</v>
      </c>
      <c r="G432" s="179">
        <v>1196454000</v>
      </c>
      <c r="H432" s="179">
        <v>0</v>
      </c>
      <c r="I432" s="179">
        <v>45035</v>
      </c>
      <c r="J432" s="179">
        <v>0</v>
      </c>
      <c r="K432" s="179">
        <v>466085527.85000002</v>
      </c>
      <c r="L432" s="179">
        <v>466085527.85000002</v>
      </c>
      <c r="M432" s="179">
        <v>730323437.14999998</v>
      </c>
      <c r="N432" s="179">
        <v>730323437.14999998</v>
      </c>
    </row>
    <row r="433" spans="1:14" s="156" customFormat="1" x14ac:dyDescent="0.25">
      <c r="A433" s="156" t="s">
        <v>547</v>
      </c>
      <c r="B433" s="156" t="s">
        <v>112</v>
      </c>
      <c r="C433" s="156" t="s">
        <v>113</v>
      </c>
      <c r="D433" s="156" t="s">
        <v>543</v>
      </c>
      <c r="E433" s="179">
        <v>830335000</v>
      </c>
      <c r="F433" s="179">
        <v>830335000</v>
      </c>
      <c r="G433" s="179">
        <v>830335000</v>
      </c>
      <c r="H433" s="179">
        <v>0</v>
      </c>
      <c r="I433" s="179">
        <v>0</v>
      </c>
      <c r="J433" s="179">
        <v>0</v>
      </c>
      <c r="K433" s="179">
        <v>0</v>
      </c>
      <c r="L433" s="179">
        <v>0</v>
      </c>
      <c r="M433" s="179">
        <v>830335000</v>
      </c>
      <c r="N433" s="179">
        <v>830335000</v>
      </c>
    </row>
    <row r="434" spans="1:14" s="156" customFormat="1" x14ac:dyDescent="0.25">
      <c r="A434" s="156" t="s">
        <v>547</v>
      </c>
      <c r="B434" s="156" t="s">
        <v>114</v>
      </c>
      <c r="C434" s="156" t="s">
        <v>115</v>
      </c>
      <c r="D434" s="156" t="s">
        <v>541</v>
      </c>
      <c r="E434" s="179">
        <v>1012881000</v>
      </c>
      <c r="F434" s="179">
        <v>1012881000</v>
      </c>
      <c r="G434" s="179">
        <v>1012881000</v>
      </c>
      <c r="H434" s="179">
        <v>0</v>
      </c>
      <c r="I434" s="179">
        <v>582515717</v>
      </c>
      <c r="J434" s="179">
        <v>0</v>
      </c>
      <c r="K434" s="179">
        <v>430365283</v>
      </c>
      <c r="L434" s="179">
        <v>430365283</v>
      </c>
      <c r="M434" s="179">
        <v>0</v>
      </c>
      <c r="N434" s="179">
        <v>0</v>
      </c>
    </row>
    <row r="435" spans="1:14" s="156" customFormat="1" x14ac:dyDescent="0.25">
      <c r="A435" s="156" t="s">
        <v>547</v>
      </c>
      <c r="B435" s="156" t="s">
        <v>382</v>
      </c>
      <c r="C435" s="156" t="s">
        <v>597</v>
      </c>
      <c r="D435" s="156" t="s">
        <v>541</v>
      </c>
      <c r="E435" s="179">
        <v>960939000</v>
      </c>
      <c r="F435" s="179">
        <v>960939000</v>
      </c>
      <c r="G435" s="179">
        <v>960939000</v>
      </c>
      <c r="H435" s="179">
        <v>0</v>
      </c>
      <c r="I435" s="179">
        <v>552642879</v>
      </c>
      <c r="J435" s="179">
        <v>0</v>
      </c>
      <c r="K435" s="179">
        <v>408296121</v>
      </c>
      <c r="L435" s="179">
        <v>408296121</v>
      </c>
      <c r="M435" s="179">
        <v>0</v>
      </c>
      <c r="N435" s="179">
        <v>0</v>
      </c>
    </row>
    <row r="436" spans="1:14" s="156" customFormat="1" x14ac:dyDescent="0.25">
      <c r="A436" s="156" t="s">
        <v>547</v>
      </c>
      <c r="B436" s="156" t="s">
        <v>383</v>
      </c>
      <c r="C436" s="156" t="s">
        <v>583</v>
      </c>
      <c r="D436" s="156" t="s">
        <v>541</v>
      </c>
      <c r="E436" s="179">
        <v>51942000</v>
      </c>
      <c r="F436" s="179">
        <v>51942000</v>
      </c>
      <c r="G436" s="179">
        <v>51942000</v>
      </c>
      <c r="H436" s="179">
        <v>0</v>
      </c>
      <c r="I436" s="179">
        <v>29872838</v>
      </c>
      <c r="J436" s="179">
        <v>0</v>
      </c>
      <c r="K436" s="179">
        <v>22069162</v>
      </c>
      <c r="L436" s="179">
        <v>22069162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118</v>
      </c>
      <c r="C437" s="156" t="s">
        <v>119</v>
      </c>
      <c r="D437" s="156" t="s">
        <v>541</v>
      </c>
      <c r="E437" s="179">
        <v>1081566000</v>
      </c>
      <c r="F437" s="179">
        <v>1081566000</v>
      </c>
      <c r="G437" s="179">
        <v>1081566000</v>
      </c>
      <c r="H437" s="179">
        <v>0</v>
      </c>
      <c r="I437" s="179">
        <v>652069568.97000003</v>
      </c>
      <c r="J437" s="179">
        <v>0</v>
      </c>
      <c r="K437" s="179">
        <v>429496431.02999997</v>
      </c>
      <c r="L437" s="179">
        <v>429496431.02999997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384</v>
      </c>
      <c r="C438" s="156" t="s">
        <v>598</v>
      </c>
      <c r="D438" s="156" t="s">
        <v>541</v>
      </c>
      <c r="E438" s="179">
        <v>527737000</v>
      </c>
      <c r="F438" s="179">
        <v>527737000</v>
      </c>
      <c r="G438" s="179">
        <v>527737000</v>
      </c>
      <c r="H438" s="179">
        <v>0</v>
      </c>
      <c r="I438" s="179">
        <v>335949010</v>
      </c>
      <c r="J438" s="179">
        <v>0</v>
      </c>
      <c r="K438" s="179">
        <v>191787990</v>
      </c>
      <c r="L438" s="179">
        <v>191787990</v>
      </c>
      <c r="M438" s="179">
        <v>0</v>
      </c>
      <c r="N438" s="179">
        <v>0</v>
      </c>
    </row>
    <row r="439" spans="1:14" s="156" customFormat="1" x14ac:dyDescent="0.25">
      <c r="A439" s="156" t="s">
        <v>547</v>
      </c>
      <c r="B439" s="156" t="s">
        <v>385</v>
      </c>
      <c r="C439" s="156" t="s">
        <v>599</v>
      </c>
      <c r="D439" s="156" t="s">
        <v>541</v>
      </c>
      <c r="E439" s="179">
        <v>155828000</v>
      </c>
      <c r="F439" s="179">
        <v>155828000</v>
      </c>
      <c r="G439" s="179">
        <v>155828000</v>
      </c>
      <c r="H439" s="179">
        <v>0</v>
      </c>
      <c r="I439" s="179">
        <v>89620442</v>
      </c>
      <c r="J439" s="179">
        <v>0</v>
      </c>
      <c r="K439" s="179">
        <v>66207558</v>
      </c>
      <c r="L439" s="179">
        <v>66207558</v>
      </c>
      <c r="M439" s="179">
        <v>0</v>
      </c>
      <c r="N439" s="179">
        <v>0</v>
      </c>
    </row>
    <row r="440" spans="1:14" s="156" customFormat="1" x14ac:dyDescent="0.25">
      <c r="A440" s="156" t="s">
        <v>547</v>
      </c>
      <c r="B440" s="156" t="s">
        <v>386</v>
      </c>
      <c r="C440" s="156" t="s">
        <v>600</v>
      </c>
      <c r="D440" s="156" t="s">
        <v>541</v>
      </c>
      <c r="E440" s="179">
        <v>311656000</v>
      </c>
      <c r="F440" s="179">
        <v>311656000</v>
      </c>
      <c r="G440" s="179">
        <v>311656000</v>
      </c>
      <c r="H440" s="179">
        <v>0</v>
      </c>
      <c r="I440" s="179">
        <v>179240976</v>
      </c>
      <c r="J440" s="179">
        <v>0</v>
      </c>
      <c r="K440" s="179">
        <v>132415024</v>
      </c>
      <c r="L440" s="179">
        <v>132415024</v>
      </c>
      <c r="M440" s="179">
        <v>0</v>
      </c>
      <c r="N440" s="179">
        <v>0</v>
      </c>
    </row>
    <row r="441" spans="1:14" s="156" customFormat="1" x14ac:dyDescent="0.25">
      <c r="A441" s="156" t="s">
        <v>547</v>
      </c>
      <c r="B441" s="156" t="s">
        <v>387</v>
      </c>
      <c r="C441" s="156" t="s">
        <v>388</v>
      </c>
      <c r="D441" s="156" t="s">
        <v>541</v>
      </c>
      <c r="E441" s="179">
        <v>86345000</v>
      </c>
      <c r="F441" s="179">
        <v>86345000</v>
      </c>
      <c r="G441" s="179">
        <v>86345000</v>
      </c>
      <c r="H441" s="179">
        <v>0</v>
      </c>
      <c r="I441" s="179">
        <v>47259140.969999999</v>
      </c>
      <c r="J441" s="179">
        <v>0</v>
      </c>
      <c r="K441" s="179">
        <v>39085859.030000001</v>
      </c>
      <c r="L441" s="179">
        <v>39085859.030000001</v>
      </c>
      <c r="M441" s="179">
        <v>0</v>
      </c>
      <c r="N441" s="179">
        <v>0</v>
      </c>
    </row>
    <row r="442" spans="1:14" s="156" customFormat="1" x14ac:dyDescent="0.25">
      <c r="A442" s="156" t="s">
        <v>547</v>
      </c>
      <c r="B442" s="156" t="s">
        <v>123</v>
      </c>
      <c r="C442" s="156" t="s">
        <v>124</v>
      </c>
      <c r="D442" s="156" t="s">
        <v>541</v>
      </c>
      <c r="E442" s="179">
        <v>31730334</v>
      </c>
      <c r="F442" s="179">
        <v>31730334</v>
      </c>
      <c r="G442" s="179">
        <v>31730334</v>
      </c>
      <c r="H442" s="179">
        <v>0</v>
      </c>
      <c r="I442" s="179">
        <v>31730334</v>
      </c>
      <c r="J442" s="179">
        <v>0</v>
      </c>
      <c r="K442" s="179">
        <v>0</v>
      </c>
      <c r="L442" s="179">
        <v>0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168</v>
      </c>
      <c r="C443" s="156" t="s">
        <v>169</v>
      </c>
      <c r="D443" s="156" t="s">
        <v>541</v>
      </c>
      <c r="E443" s="179">
        <v>31730334</v>
      </c>
      <c r="F443" s="179">
        <v>31730334</v>
      </c>
      <c r="G443" s="179">
        <v>31730334</v>
      </c>
      <c r="H443" s="179">
        <v>0</v>
      </c>
      <c r="I443" s="179">
        <v>31730334</v>
      </c>
      <c r="J443" s="179">
        <v>0</v>
      </c>
      <c r="K443" s="179">
        <v>0</v>
      </c>
      <c r="L443" s="179">
        <v>0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170</v>
      </c>
      <c r="C444" s="156" t="s">
        <v>171</v>
      </c>
      <c r="D444" s="156" t="s">
        <v>541</v>
      </c>
      <c r="E444" s="179">
        <v>31730334</v>
      </c>
      <c r="F444" s="179">
        <v>31730334</v>
      </c>
      <c r="G444" s="179">
        <v>31730334</v>
      </c>
      <c r="H444" s="179">
        <v>0</v>
      </c>
      <c r="I444" s="179">
        <v>31730334</v>
      </c>
      <c r="J444" s="179">
        <v>0</v>
      </c>
      <c r="K444" s="179">
        <v>0</v>
      </c>
      <c r="L444" s="179">
        <v>0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251</v>
      </c>
      <c r="C445" s="156" t="s">
        <v>252</v>
      </c>
      <c r="D445" s="156" t="s">
        <v>541</v>
      </c>
      <c r="E445" s="179">
        <v>492565000</v>
      </c>
      <c r="F445" s="179">
        <v>492565000</v>
      </c>
      <c r="G445" s="179">
        <v>332882869</v>
      </c>
      <c r="H445" s="179">
        <v>0</v>
      </c>
      <c r="I445" s="179">
        <v>156219275.62</v>
      </c>
      <c r="J445" s="179">
        <v>0</v>
      </c>
      <c r="K445" s="179">
        <v>137717741.16999999</v>
      </c>
      <c r="L445" s="179">
        <v>137717741.16999999</v>
      </c>
      <c r="M445" s="179">
        <v>198627983.21000001</v>
      </c>
      <c r="N445" s="179">
        <v>38945852.210000001</v>
      </c>
    </row>
    <row r="446" spans="1:14" s="156" customFormat="1" x14ac:dyDescent="0.25">
      <c r="A446" s="156" t="s">
        <v>547</v>
      </c>
      <c r="B446" s="156" t="s">
        <v>253</v>
      </c>
      <c r="C446" s="156" t="s">
        <v>254</v>
      </c>
      <c r="D446" s="156" t="s">
        <v>541</v>
      </c>
      <c r="E446" s="179">
        <v>154788000</v>
      </c>
      <c r="F446" s="179">
        <v>154788000</v>
      </c>
      <c r="G446" s="179">
        <v>154788000</v>
      </c>
      <c r="H446" s="179">
        <v>0</v>
      </c>
      <c r="I446" s="179">
        <v>98814195.310000002</v>
      </c>
      <c r="J446" s="179">
        <v>0</v>
      </c>
      <c r="K446" s="179">
        <v>55973804.689999998</v>
      </c>
      <c r="L446" s="179">
        <v>55973804.689999998</v>
      </c>
      <c r="M446" s="179">
        <v>0</v>
      </c>
      <c r="N446" s="179">
        <v>0</v>
      </c>
    </row>
    <row r="447" spans="1:14" s="156" customFormat="1" x14ac:dyDescent="0.25">
      <c r="A447" s="156" t="s">
        <v>547</v>
      </c>
      <c r="B447" s="156" t="s">
        <v>389</v>
      </c>
      <c r="C447" s="156" t="s">
        <v>602</v>
      </c>
      <c r="D447" s="156" t="s">
        <v>541</v>
      </c>
      <c r="E447" s="179">
        <v>128817000</v>
      </c>
      <c r="F447" s="179">
        <v>128817000</v>
      </c>
      <c r="G447" s="179">
        <v>128817000</v>
      </c>
      <c r="H447" s="179">
        <v>0</v>
      </c>
      <c r="I447" s="179">
        <v>83877850.950000003</v>
      </c>
      <c r="J447" s="179">
        <v>0</v>
      </c>
      <c r="K447" s="179">
        <v>44939149.049999997</v>
      </c>
      <c r="L447" s="179">
        <v>44939149.049999997</v>
      </c>
      <c r="M447" s="179">
        <v>0</v>
      </c>
      <c r="N447" s="179">
        <v>0</v>
      </c>
    </row>
    <row r="448" spans="1:14" s="156" customFormat="1" x14ac:dyDescent="0.25">
      <c r="A448" s="156" t="s">
        <v>547</v>
      </c>
      <c r="B448" s="156" t="s">
        <v>390</v>
      </c>
      <c r="C448" s="156" t="s">
        <v>603</v>
      </c>
      <c r="D448" s="156" t="s">
        <v>541</v>
      </c>
      <c r="E448" s="179">
        <v>25971000</v>
      </c>
      <c r="F448" s="179">
        <v>25971000</v>
      </c>
      <c r="G448" s="179">
        <v>25971000</v>
      </c>
      <c r="H448" s="179">
        <v>0</v>
      </c>
      <c r="I448" s="179">
        <v>14936344.359999999</v>
      </c>
      <c r="J448" s="179">
        <v>0</v>
      </c>
      <c r="K448" s="179">
        <v>11034655.640000001</v>
      </c>
      <c r="L448" s="179">
        <v>11034655.640000001</v>
      </c>
      <c r="M448" s="179">
        <v>0</v>
      </c>
      <c r="N448" s="179">
        <v>0</v>
      </c>
    </row>
    <row r="449" spans="1:14" s="156" customFormat="1" x14ac:dyDescent="0.25">
      <c r="A449" s="156" t="s">
        <v>547</v>
      </c>
      <c r="B449" s="156" t="s">
        <v>261</v>
      </c>
      <c r="C449" s="156" t="s">
        <v>262</v>
      </c>
      <c r="D449" s="156" t="s">
        <v>541</v>
      </c>
      <c r="E449" s="179">
        <v>312777000</v>
      </c>
      <c r="F449" s="179">
        <v>307777000</v>
      </c>
      <c r="G449" s="179">
        <v>155594869</v>
      </c>
      <c r="H449" s="179">
        <v>0</v>
      </c>
      <c r="I449" s="179">
        <v>43047438.310000002</v>
      </c>
      <c r="J449" s="179">
        <v>0</v>
      </c>
      <c r="K449" s="179">
        <v>73601578.480000004</v>
      </c>
      <c r="L449" s="179">
        <v>73601578.480000004</v>
      </c>
      <c r="M449" s="179">
        <v>191127983.21000001</v>
      </c>
      <c r="N449" s="179">
        <v>38945852.210000001</v>
      </c>
    </row>
    <row r="450" spans="1:14" s="156" customFormat="1" x14ac:dyDescent="0.25">
      <c r="A450" s="156" t="s">
        <v>547</v>
      </c>
      <c r="B450" s="156" t="s">
        <v>263</v>
      </c>
      <c r="C450" s="156" t="s">
        <v>264</v>
      </c>
      <c r="D450" s="156" t="s">
        <v>541</v>
      </c>
      <c r="E450" s="179">
        <v>239389000</v>
      </c>
      <c r="F450" s="179">
        <v>239389000</v>
      </c>
      <c r="G450" s="179">
        <v>98829334</v>
      </c>
      <c r="H450" s="179">
        <v>0</v>
      </c>
      <c r="I450" s="179">
        <v>42947310.310000002</v>
      </c>
      <c r="J450" s="179">
        <v>0</v>
      </c>
      <c r="K450" s="179">
        <v>55882021.689999998</v>
      </c>
      <c r="L450" s="179">
        <v>55882021.689999998</v>
      </c>
      <c r="M450" s="179">
        <v>140559668</v>
      </c>
      <c r="N450" s="179">
        <v>2</v>
      </c>
    </row>
    <row r="451" spans="1:14" s="156" customFormat="1" x14ac:dyDescent="0.25">
      <c r="A451" s="156" t="s">
        <v>547</v>
      </c>
      <c r="B451" s="156" t="s">
        <v>265</v>
      </c>
      <c r="C451" s="156" t="s">
        <v>266</v>
      </c>
      <c r="D451" s="156" t="s">
        <v>541</v>
      </c>
      <c r="E451" s="179">
        <v>73388000</v>
      </c>
      <c r="F451" s="179">
        <v>68388000</v>
      </c>
      <c r="G451" s="179">
        <v>56765535</v>
      </c>
      <c r="H451" s="179">
        <v>0</v>
      </c>
      <c r="I451" s="179">
        <v>100128</v>
      </c>
      <c r="J451" s="179">
        <v>0</v>
      </c>
      <c r="K451" s="179">
        <v>17719556.789999999</v>
      </c>
      <c r="L451" s="179">
        <v>17719556.789999999</v>
      </c>
      <c r="M451" s="179">
        <v>50568315.210000001</v>
      </c>
      <c r="N451" s="179">
        <v>38945850.210000001</v>
      </c>
    </row>
    <row r="452" spans="1:14" x14ac:dyDescent="0.25">
      <c r="A452" s="156" t="s">
        <v>547</v>
      </c>
      <c r="B452" s="156" t="s">
        <v>267</v>
      </c>
      <c r="C452" s="156" t="s">
        <v>268</v>
      </c>
      <c r="D452" s="156" t="s">
        <v>541</v>
      </c>
      <c r="E452" s="179">
        <v>25000000</v>
      </c>
      <c r="F452" s="179">
        <v>30000000</v>
      </c>
      <c r="G452" s="179">
        <v>22500000</v>
      </c>
      <c r="H452" s="179">
        <v>0</v>
      </c>
      <c r="I452" s="179">
        <v>14357642</v>
      </c>
      <c r="J452" s="179">
        <v>0</v>
      </c>
      <c r="K452" s="179">
        <v>8142358</v>
      </c>
      <c r="L452" s="179">
        <v>8142358</v>
      </c>
      <c r="M452" s="179">
        <v>7500000</v>
      </c>
      <c r="N452" s="179">
        <v>0</v>
      </c>
    </row>
    <row r="453" spans="1:14" x14ac:dyDescent="0.25">
      <c r="A453" s="156" t="s">
        <v>547</v>
      </c>
      <c r="B453" s="156" t="s">
        <v>269</v>
      </c>
      <c r="C453" s="156" t="s">
        <v>270</v>
      </c>
      <c r="D453" s="156" t="s">
        <v>541</v>
      </c>
      <c r="E453" s="179">
        <v>10000000</v>
      </c>
      <c r="F453" s="179">
        <v>10000000</v>
      </c>
      <c r="G453" s="179">
        <v>6500000</v>
      </c>
      <c r="H453" s="179">
        <v>0</v>
      </c>
      <c r="I453" s="179">
        <v>1585073.53</v>
      </c>
      <c r="J453" s="179">
        <v>0</v>
      </c>
      <c r="K453" s="179">
        <v>4914926.47</v>
      </c>
      <c r="L453" s="179">
        <v>4914926.47</v>
      </c>
      <c r="M453" s="179">
        <v>3500000</v>
      </c>
      <c r="N453" s="179">
        <v>0</v>
      </c>
    </row>
    <row r="454" spans="1:14" x14ac:dyDescent="0.25">
      <c r="A454" s="156" t="s">
        <v>547</v>
      </c>
      <c r="B454" s="156" t="s">
        <v>271</v>
      </c>
      <c r="C454" s="156" t="s">
        <v>272</v>
      </c>
      <c r="D454" s="156" t="s">
        <v>541</v>
      </c>
      <c r="E454" s="179">
        <v>15000000</v>
      </c>
      <c r="F454" s="179">
        <v>20000000</v>
      </c>
      <c r="G454" s="179">
        <v>16000000</v>
      </c>
      <c r="H454" s="179">
        <v>0</v>
      </c>
      <c r="I454" s="179">
        <v>12772568.470000001</v>
      </c>
      <c r="J454" s="179">
        <v>0</v>
      </c>
      <c r="K454" s="179">
        <v>3227431.53</v>
      </c>
      <c r="L454" s="179">
        <v>3227431.53</v>
      </c>
      <c r="M454" s="179">
        <v>4000000</v>
      </c>
      <c r="N454" s="179">
        <v>0</v>
      </c>
    </row>
    <row r="455" spans="1:14" s="156" customFormat="1" x14ac:dyDescent="0.25">
      <c r="A455" s="180" t="s">
        <v>587</v>
      </c>
      <c r="B455" s="180" t="s">
        <v>587</v>
      </c>
      <c r="C455" s="180" t="s">
        <v>587</v>
      </c>
      <c r="D455" s="180" t="s">
        <v>587</v>
      </c>
      <c r="E455" s="181">
        <v>675435665000</v>
      </c>
      <c r="F455" s="181">
        <v>705435665000</v>
      </c>
      <c r="G455" s="181">
        <v>594339869273.75</v>
      </c>
      <c r="H455" s="181">
        <v>1238000002.55</v>
      </c>
      <c r="I455" s="181">
        <v>79576289875.899994</v>
      </c>
      <c r="J455" s="181">
        <v>2452762356.75</v>
      </c>
      <c r="K455" s="181">
        <v>237413332288.35001</v>
      </c>
      <c r="L455" s="181">
        <v>233443037661.95001</v>
      </c>
      <c r="M455" s="181">
        <v>384755280476.45001</v>
      </c>
      <c r="N455" s="181">
        <v>273659484750.20001</v>
      </c>
    </row>
  </sheetData>
  <conditionalFormatting sqref="K2:K451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53EF-122B-4746-9E8C-700B9C9C8457}">
  <dimension ref="A1:N455"/>
  <sheetViews>
    <sheetView workbookViewId="0">
      <pane ySplit="600" topLeftCell="A391" activePane="bottomLeft"/>
      <selection pane="bottomLeft" activeCell="J3" sqref="J3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6" width="18.5703125" bestFit="1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119919073941.75</v>
      </c>
      <c r="H2" s="179">
        <v>154804108.91</v>
      </c>
      <c r="I2" s="179">
        <v>18608332590.849998</v>
      </c>
      <c r="J2" s="179">
        <v>212322471.77000001</v>
      </c>
      <c r="K2" s="179">
        <v>37854520162.080002</v>
      </c>
      <c r="L2" s="179">
        <v>37241467469.910004</v>
      </c>
      <c r="M2" s="179">
        <v>84257153666.389999</v>
      </c>
      <c r="N2" s="179">
        <v>63089094608.139999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1962141114</v>
      </c>
      <c r="H3" s="179">
        <v>6635366.4299999997</v>
      </c>
      <c r="I3" s="179">
        <v>356680576.75</v>
      </c>
      <c r="J3" s="179">
        <v>75350</v>
      </c>
      <c r="K3" s="179">
        <v>706416781.33000004</v>
      </c>
      <c r="L3" s="179">
        <v>690112796.55999994</v>
      </c>
      <c r="M3" s="179">
        <v>1449641152.49</v>
      </c>
      <c r="N3" s="179">
        <v>892333039.49000001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1372097000</v>
      </c>
      <c r="G4" s="179">
        <v>1366097000</v>
      </c>
      <c r="H4" s="179">
        <v>0</v>
      </c>
      <c r="I4" s="179">
        <v>144359197</v>
      </c>
      <c r="J4" s="179">
        <v>0</v>
      </c>
      <c r="K4" s="179">
        <v>394573813.50999999</v>
      </c>
      <c r="L4" s="179">
        <v>394573813.50999999</v>
      </c>
      <c r="M4" s="179">
        <v>833163989.49000001</v>
      </c>
      <c r="N4" s="179">
        <v>827163989.49000001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513555100</v>
      </c>
      <c r="G5" s="179">
        <v>513555100</v>
      </c>
      <c r="H5" s="179">
        <v>0</v>
      </c>
      <c r="I5" s="179">
        <v>0</v>
      </c>
      <c r="J5" s="179">
        <v>0</v>
      </c>
      <c r="K5" s="179">
        <v>145731465.00999999</v>
      </c>
      <c r="L5" s="179">
        <v>145731465.00999999</v>
      </c>
      <c r="M5" s="179">
        <v>367823634.99000001</v>
      </c>
      <c r="N5" s="179">
        <v>367823634.99000001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513555100</v>
      </c>
      <c r="G6" s="179">
        <v>513555100</v>
      </c>
      <c r="H6" s="179">
        <v>0</v>
      </c>
      <c r="I6" s="179">
        <v>0</v>
      </c>
      <c r="J6" s="179">
        <v>0</v>
      </c>
      <c r="K6" s="179">
        <v>145731465.00999999</v>
      </c>
      <c r="L6" s="179">
        <v>145731465.00999999</v>
      </c>
      <c r="M6" s="179">
        <v>367823634.99000001</v>
      </c>
      <c r="N6" s="179">
        <v>367823634.99000001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648560900</v>
      </c>
      <c r="G7" s="179">
        <v>642560900</v>
      </c>
      <c r="H7" s="179">
        <v>0</v>
      </c>
      <c r="I7" s="179">
        <v>0</v>
      </c>
      <c r="J7" s="179">
        <v>0</v>
      </c>
      <c r="K7" s="179">
        <v>183220545.5</v>
      </c>
      <c r="L7" s="179">
        <v>183220545.5</v>
      </c>
      <c r="M7" s="179">
        <v>465340354.5</v>
      </c>
      <c r="N7" s="179">
        <v>459340354.5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137710900</v>
      </c>
      <c r="G8" s="179">
        <v>137710900</v>
      </c>
      <c r="H8" s="179">
        <v>0</v>
      </c>
      <c r="I8" s="179">
        <v>0</v>
      </c>
      <c r="J8" s="179">
        <v>0</v>
      </c>
      <c r="K8" s="179">
        <v>30927027.449999999</v>
      </c>
      <c r="L8" s="179">
        <v>30927027.449999999</v>
      </c>
      <c r="M8" s="179">
        <v>106783872.55</v>
      </c>
      <c r="N8" s="179">
        <v>106783872.55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289755000</v>
      </c>
      <c r="G9" s="179">
        <v>283755000</v>
      </c>
      <c r="H9" s="179">
        <v>0</v>
      </c>
      <c r="I9" s="179">
        <v>0</v>
      </c>
      <c r="J9" s="179">
        <v>0</v>
      </c>
      <c r="K9" s="179">
        <v>65880698.689999998</v>
      </c>
      <c r="L9" s="179">
        <v>65880698.689999998</v>
      </c>
      <c r="M9" s="179">
        <v>223874301.31</v>
      </c>
      <c r="N9" s="179">
        <v>217874301.31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74682002.099999994</v>
      </c>
      <c r="L10" s="179">
        <v>74682002.099999994</v>
      </c>
      <c r="M10" s="179">
        <v>9198997.9000000004</v>
      </c>
      <c r="N10" s="179">
        <v>9198997.9000000004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11730817.26</v>
      </c>
      <c r="L11" s="179">
        <v>11730817.26</v>
      </c>
      <c r="M11" s="179">
        <v>35676182.740000002</v>
      </c>
      <c r="N11" s="179">
        <v>35676182.740000002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0</v>
      </c>
      <c r="L12" s="179">
        <v>0</v>
      </c>
      <c r="M12" s="179">
        <v>89807000</v>
      </c>
      <c r="N12" s="179">
        <v>89807000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72814539</v>
      </c>
      <c r="J13" s="179">
        <v>0</v>
      </c>
      <c r="K13" s="179">
        <v>33099461</v>
      </c>
      <c r="L13" s="179">
        <v>33099461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69080955</v>
      </c>
      <c r="J14" s="179">
        <v>0</v>
      </c>
      <c r="K14" s="179">
        <v>31402045</v>
      </c>
      <c r="L14" s="179">
        <v>31402045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3733584</v>
      </c>
      <c r="J15" s="179">
        <v>0</v>
      </c>
      <c r="K15" s="179">
        <v>1697416</v>
      </c>
      <c r="L15" s="179">
        <v>1697416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71544658</v>
      </c>
      <c r="J16" s="179">
        <v>0</v>
      </c>
      <c r="K16" s="179">
        <v>32522342</v>
      </c>
      <c r="L16" s="179">
        <v>32522342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37938336</v>
      </c>
      <c r="J17" s="179">
        <v>0</v>
      </c>
      <c r="K17" s="179">
        <v>17245664</v>
      </c>
      <c r="L17" s="179">
        <v>17245664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11201775</v>
      </c>
      <c r="J18" s="179">
        <v>0</v>
      </c>
      <c r="K18" s="179">
        <v>5092225</v>
      </c>
      <c r="L18" s="179">
        <v>5092225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22404547</v>
      </c>
      <c r="J19" s="179">
        <v>0</v>
      </c>
      <c r="K19" s="179">
        <v>10184453</v>
      </c>
      <c r="L19" s="179">
        <v>10184453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146348290</v>
      </c>
      <c r="H20" s="179">
        <v>1455465.2</v>
      </c>
      <c r="I20" s="179">
        <v>71990681.420000002</v>
      </c>
      <c r="J20" s="179">
        <v>30000</v>
      </c>
      <c r="K20" s="179">
        <v>57473936.329999998</v>
      </c>
      <c r="L20" s="179">
        <v>42027028.920000002</v>
      </c>
      <c r="M20" s="179">
        <v>211791496.05000001</v>
      </c>
      <c r="N20" s="179">
        <v>15398207.050000001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62403661.030000001</v>
      </c>
      <c r="H21" s="179">
        <v>919365.2</v>
      </c>
      <c r="I21" s="179">
        <v>30453074.07</v>
      </c>
      <c r="J21" s="179">
        <v>30000</v>
      </c>
      <c r="K21" s="179">
        <v>23147660.600000001</v>
      </c>
      <c r="L21" s="179">
        <v>12972002.85</v>
      </c>
      <c r="M21" s="179">
        <v>71295346.129999995</v>
      </c>
      <c r="N21" s="179">
        <v>7853561.1600000001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62323661.030000001</v>
      </c>
      <c r="H22" s="179">
        <v>919365.2</v>
      </c>
      <c r="I22" s="179">
        <v>30453074.07</v>
      </c>
      <c r="J22" s="179">
        <v>30000</v>
      </c>
      <c r="K22" s="179">
        <v>23147660.600000001</v>
      </c>
      <c r="L22" s="179">
        <v>12972002.85</v>
      </c>
      <c r="M22" s="179">
        <v>71215346.129999995</v>
      </c>
      <c r="N22" s="179">
        <v>7773561.1600000001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80000</v>
      </c>
      <c r="N23" s="179">
        <v>80000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58600000</v>
      </c>
      <c r="H24" s="179">
        <v>0</v>
      </c>
      <c r="I24" s="179">
        <v>31363758.899999999</v>
      </c>
      <c r="J24" s="179">
        <v>0</v>
      </c>
      <c r="K24" s="179">
        <v>27146240.899999999</v>
      </c>
      <c r="L24" s="179">
        <v>22313101.239999998</v>
      </c>
      <c r="M24" s="179">
        <v>72918353.200000003</v>
      </c>
      <c r="N24" s="179">
        <v>90000.2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4971429</v>
      </c>
      <c r="G25" s="179">
        <v>2400000</v>
      </c>
      <c r="H25" s="179">
        <v>0</v>
      </c>
      <c r="I25" s="179">
        <v>437413</v>
      </c>
      <c r="J25" s="179">
        <v>0</v>
      </c>
      <c r="K25" s="179">
        <v>1962587</v>
      </c>
      <c r="L25" s="179">
        <v>1440455</v>
      </c>
      <c r="M25" s="179">
        <v>2571429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27000000</v>
      </c>
      <c r="H26" s="179">
        <v>0</v>
      </c>
      <c r="I26" s="179">
        <v>11626345</v>
      </c>
      <c r="J26" s="179">
        <v>0</v>
      </c>
      <c r="K26" s="179">
        <v>15373655</v>
      </c>
      <c r="L26" s="179">
        <v>11659400</v>
      </c>
      <c r="M26" s="179">
        <v>29000000</v>
      </c>
      <c r="N26" s="179">
        <v>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3600</v>
      </c>
      <c r="J27" s="179">
        <v>0</v>
      </c>
      <c r="K27" s="179">
        <v>16400</v>
      </c>
      <c r="L27" s="179">
        <v>16400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70076924</v>
      </c>
      <c r="G28" s="179">
        <v>29000000</v>
      </c>
      <c r="H28" s="179">
        <v>0</v>
      </c>
      <c r="I28" s="179">
        <v>19206400.899999999</v>
      </c>
      <c r="J28" s="179">
        <v>0</v>
      </c>
      <c r="K28" s="179">
        <v>9793598.9000000004</v>
      </c>
      <c r="L28" s="179">
        <v>9196846.2400000002</v>
      </c>
      <c r="M28" s="179">
        <v>41076924.200000003</v>
      </c>
      <c r="N28" s="179">
        <v>0.2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180000</v>
      </c>
      <c r="H29" s="179">
        <v>0</v>
      </c>
      <c r="I29" s="179">
        <v>90000</v>
      </c>
      <c r="J29" s="179">
        <v>0</v>
      </c>
      <c r="K29" s="179">
        <v>0</v>
      </c>
      <c r="L29" s="179">
        <v>0</v>
      </c>
      <c r="M29" s="179">
        <v>270000</v>
      </c>
      <c r="N29" s="179">
        <v>90000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9250000</v>
      </c>
      <c r="G30" s="179">
        <v>4931000</v>
      </c>
      <c r="H30" s="179">
        <v>0</v>
      </c>
      <c r="I30" s="179">
        <v>2200431</v>
      </c>
      <c r="J30" s="179">
        <v>0</v>
      </c>
      <c r="K30" s="179">
        <v>11830</v>
      </c>
      <c r="L30" s="179">
        <v>11830</v>
      </c>
      <c r="M30" s="179">
        <v>7037739</v>
      </c>
      <c r="N30" s="179">
        <v>2718739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3500000</v>
      </c>
      <c r="H31" s="179">
        <v>0</v>
      </c>
      <c r="I31" s="179">
        <v>1737931</v>
      </c>
      <c r="J31" s="179">
        <v>0</v>
      </c>
      <c r="K31" s="179">
        <v>11830</v>
      </c>
      <c r="L31" s="179">
        <v>11830</v>
      </c>
      <c r="M31" s="179">
        <v>5250239</v>
      </c>
      <c r="N31" s="179">
        <v>1750239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831000</v>
      </c>
      <c r="H32" s="179">
        <v>0</v>
      </c>
      <c r="I32" s="179">
        <v>412500</v>
      </c>
      <c r="J32" s="179">
        <v>0</v>
      </c>
      <c r="K32" s="179">
        <v>0</v>
      </c>
      <c r="L32" s="179">
        <v>0</v>
      </c>
      <c r="M32" s="179">
        <v>1237500</v>
      </c>
      <c r="N32" s="179">
        <v>418500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326</v>
      </c>
      <c r="C34" s="156" t="s">
        <v>327</v>
      </c>
      <c r="D34" s="156" t="s">
        <v>541</v>
      </c>
      <c r="E34" s="179">
        <v>0</v>
      </c>
      <c r="F34" s="179">
        <v>550000</v>
      </c>
      <c r="G34" s="179">
        <v>550000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550000</v>
      </c>
      <c r="N34" s="179">
        <v>550000</v>
      </c>
    </row>
    <row r="35" spans="1:14" s="156" customFormat="1" x14ac:dyDescent="0.25">
      <c r="A35" s="156" t="s">
        <v>542</v>
      </c>
      <c r="B35" s="156" t="s">
        <v>151</v>
      </c>
      <c r="C35" s="156" t="s">
        <v>152</v>
      </c>
      <c r="D35" s="156" t="s">
        <v>541</v>
      </c>
      <c r="E35" s="179">
        <v>5851429</v>
      </c>
      <c r="F35" s="179">
        <v>5851429</v>
      </c>
      <c r="G35" s="179">
        <v>3100045</v>
      </c>
      <c r="H35" s="179">
        <v>0</v>
      </c>
      <c r="I35" s="179">
        <v>1378842</v>
      </c>
      <c r="J35" s="179">
        <v>0</v>
      </c>
      <c r="K35" s="179">
        <v>323244</v>
      </c>
      <c r="L35" s="179">
        <v>41235</v>
      </c>
      <c r="M35" s="179">
        <v>4149343</v>
      </c>
      <c r="N35" s="179">
        <v>1397959</v>
      </c>
    </row>
    <row r="36" spans="1:14" s="156" customFormat="1" x14ac:dyDescent="0.25">
      <c r="A36" s="156" t="s">
        <v>542</v>
      </c>
      <c r="B36" s="156" t="s">
        <v>154</v>
      </c>
      <c r="C36" s="156" t="s">
        <v>155</v>
      </c>
      <c r="D36" s="156" t="s">
        <v>541</v>
      </c>
      <c r="E36" s="179">
        <v>3080000</v>
      </c>
      <c r="F36" s="179">
        <v>3080000</v>
      </c>
      <c r="G36" s="179">
        <v>990000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3080000</v>
      </c>
      <c r="N36" s="179">
        <v>990000</v>
      </c>
    </row>
    <row r="37" spans="1:14" s="156" customFormat="1" x14ac:dyDescent="0.25">
      <c r="A37" s="156" t="s">
        <v>542</v>
      </c>
      <c r="B37" s="156" t="s">
        <v>156</v>
      </c>
      <c r="C37" s="156" t="s">
        <v>157</v>
      </c>
      <c r="D37" s="156" t="s">
        <v>541</v>
      </c>
      <c r="E37" s="179">
        <v>2771429</v>
      </c>
      <c r="F37" s="179">
        <v>2771429</v>
      </c>
      <c r="G37" s="179">
        <v>2110045</v>
      </c>
      <c r="H37" s="179">
        <v>0</v>
      </c>
      <c r="I37" s="179">
        <v>1378842</v>
      </c>
      <c r="J37" s="179">
        <v>0</v>
      </c>
      <c r="K37" s="179">
        <v>323244</v>
      </c>
      <c r="L37" s="179">
        <v>41235</v>
      </c>
      <c r="M37" s="179">
        <v>1069343</v>
      </c>
      <c r="N37" s="179">
        <v>407959</v>
      </c>
    </row>
    <row r="38" spans="1:14" s="156" customFormat="1" x14ac:dyDescent="0.25">
      <c r="A38" s="156" t="s">
        <v>542</v>
      </c>
      <c r="B38" s="156" t="s">
        <v>158</v>
      </c>
      <c r="C38" s="156" t="s">
        <v>159</v>
      </c>
      <c r="D38" s="156" t="s">
        <v>541</v>
      </c>
      <c r="E38" s="179">
        <v>17774865</v>
      </c>
      <c r="F38" s="179">
        <v>17774865</v>
      </c>
      <c r="G38" s="179">
        <v>6720685.75</v>
      </c>
      <c r="H38" s="179">
        <v>50100</v>
      </c>
      <c r="I38" s="179">
        <v>2431727.65</v>
      </c>
      <c r="J38" s="179">
        <v>0</v>
      </c>
      <c r="K38" s="179">
        <v>3585886.83</v>
      </c>
      <c r="L38" s="179">
        <v>3527986.83</v>
      </c>
      <c r="M38" s="179">
        <v>11707150.52</v>
      </c>
      <c r="N38" s="179">
        <v>652971.27</v>
      </c>
    </row>
    <row r="39" spans="1:14" s="156" customFormat="1" x14ac:dyDescent="0.25">
      <c r="A39" s="156" t="s">
        <v>542</v>
      </c>
      <c r="B39" s="156" t="s">
        <v>160</v>
      </c>
      <c r="C39" s="156" t="s">
        <v>161</v>
      </c>
      <c r="D39" s="156" t="s">
        <v>541</v>
      </c>
      <c r="E39" s="179">
        <v>100000</v>
      </c>
      <c r="F39" s="179">
        <v>100000</v>
      </c>
      <c r="G39" s="179">
        <v>100000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100000</v>
      </c>
      <c r="N39" s="179">
        <v>100000</v>
      </c>
    </row>
    <row r="40" spans="1:14" s="156" customFormat="1" x14ac:dyDescent="0.25">
      <c r="A40" s="156" t="s">
        <v>542</v>
      </c>
      <c r="B40" s="156" t="s">
        <v>162</v>
      </c>
      <c r="C40" s="156" t="s">
        <v>163</v>
      </c>
      <c r="D40" s="156" t="s">
        <v>541</v>
      </c>
      <c r="E40" s="179">
        <v>6685715</v>
      </c>
      <c r="F40" s="179">
        <v>6685715</v>
      </c>
      <c r="G40" s="179">
        <v>4380100</v>
      </c>
      <c r="H40" s="179">
        <v>50100</v>
      </c>
      <c r="I40" s="179">
        <v>2018150</v>
      </c>
      <c r="J40" s="179">
        <v>0</v>
      </c>
      <c r="K40" s="179">
        <v>1834400</v>
      </c>
      <c r="L40" s="179">
        <v>1776500</v>
      </c>
      <c r="M40" s="179">
        <v>2783065</v>
      </c>
      <c r="N40" s="179">
        <v>477450</v>
      </c>
    </row>
    <row r="41" spans="1:14" s="156" customFormat="1" x14ac:dyDescent="0.25">
      <c r="A41" s="156" t="s">
        <v>542</v>
      </c>
      <c r="B41" s="156" t="s">
        <v>164</v>
      </c>
      <c r="C41" s="156" t="s">
        <v>165</v>
      </c>
      <c r="D41" s="156" t="s">
        <v>541</v>
      </c>
      <c r="E41" s="179">
        <v>5170968</v>
      </c>
      <c r="F41" s="179">
        <v>5170968</v>
      </c>
      <c r="G41" s="179">
        <v>1238081</v>
      </c>
      <c r="H41" s="179">
        <v>0</v>
      </c>
      <c r="I41" s="179">
        <v>166082.4</v>
      </c>
      <c r="J41" s="179">
        <v>0</v>
      </c>
      <c r="K41" s="179">
        <v>998982.08</v>
      </c>
      <c r="L41" s="179">
        <v>998982.08</v>
      </c>
      <c r="M41" s="179">
        <v>4005903.52</v>
      </c>
      <c r="N41" s="179">
        <v>73016.52</v>
      </c>
    </row>
    <row r="42" spans="1:14" s="156" customFormat="1" x14ac:dyDescent="0.25">
      <c r="A42" s="156" t="s">
        <v>542</v>
      </c>
      <c r="B42" s="156" t="s">
        <v>166</v>
      </c>
      <c r="C42" s="156" t="s">
        <v>167</v>
      </c>
      <c r="D42" s="156" t="s">
        <v>541</v>
      </c>
      <c r="E42" s="179">
        <v>5818182</v>
      </c>
      <c r="F42" s="179">
        <v>5818182</v>
      </c>
      <c r="G42" s="179">
        <v>1002504.75</v>
      </c>
      <c r="H42" s="179">
        <v>0</v>
      </c>
      <c r="I42" s="179">
        <v>247495.25</v>
      </c>
      <c r="J42" s="179">
        <v>0</v>
      </c>
      <c r="K42" s="179">
        <v>752504.75</v>
      </c>
      <c r="L42" s="179">
        <v>752504.75</v>
      </c>
      <c r="M42" s="179">
        <v>4818182</v>
      </c>
      <c r="N42" s="179">
        <v>2504.75</v>
      </c>
    </row>
    <row r="43" spans="1:14" s="156" customFormat="1" x14ac:dyDescent="0.25">
      <c r="A43" s="156" t="s">
        <v>542</v>
      </c>
      <c r="B43" s="156" t="s">
        <v>168</v>
      </c>
      <c r="C43" s="156" t="s">
        <v>169</v>
      </c>
      <c r="D43" s="156" t="s">
        <v>541</v>
      </c>
      <c r="E43" s="179">
        <v>32290000</v>
      </c>
      <c r="F43" s="179">
        <v>32290000</v>
      </c>
      <c r="G43" s="179">
        <v>3683014.22</v>
      </c>
      <c r="H43" s="179">
        <v>0</v>
      </c>
      <c r="I43" s="179">
        <v>612040</v>
      </c>
      <c r="J43" s="179">
        <v>0</v>
      </c>
      <c r="K43" s="179">
        <v>2990873</v>
      </c>
      <c r="L43" s="179">
        <v>2990873</v>
      </c>
      <c r="M43" s="179">
        <v>28687087</v>
      </c>
      <c r="N43" s="179">
        <v>80101.22</v>
      </c>
    </row>
    <row r="44" spans="1:14" s="156" customFormat="1" x14ac:dyDescent="0.25">
      <c r="A44" s="156" t="s">
        <v>542</v>
      </c>
      <c r="B44" s="156" t="s">
        <v>170</v>
      </c>
      <c r="C44" s="156" t="s">
        <v>171</v>
      </c>
      <c r="D44" s="156" t="s">
        <v>541</v>
      </c>
      <c r="E44" s="179">
        <v>32290000</v>
      </c>
      <c r="F44" s="179">
        <v>32290000</v>
      </c>
      <c r="G44" s="179">
        <v>3683014.22</v>
      </c>
      <c r="H44" s="179">
        <v>0</v>
      </c>
      <c r="I44" s="179">
        <v>612040</v>
      </c>
      <c r="J44" s="179">
        <v>0</v>
      </c>
      <c r="K44" s="179">
        <v>2990873</v>
      </c>
      <c r="L44" s="179">
        <v>2990873</v>
      </c>
      <c r="M44" s="179">
        <v>28687087</v>
      </c>
      <c r="N44" s="179">
        <v>80101.22</v>
      </c>
    </row>
    <row r="45" spans="1:14" s="156" customFormat="1" x14ac:dyDescent="0.25">
      <c r="A45" s="156" t="s">
        <v>542</v>
      </c>
      <c r="B45" s="156" t="s">
        <v>172</v>
      </c>
      <c r="C45" s="156" t="s">
        <v>173</v>
      </c>
      <c r="D45" s="156" t="s">
        <v>541</v>
      </c>
      <c r="E45" s="179">
        <v>2150000</v>
      </c>
      <c r="F45" s="179">
        <v>1031135</v>
      </c>
      <c r="G45" s="179">
        <v>600000</v>
      </c>
      <c r="H45" s="179">
        <v>0</v>
      </c>
      <c r="I45" s="179">
        <v>500000</v>
      </c>
      <c r="J45" s="179">
        <v>0</v>
      </c>
      <c r="K45" s="179">
        <v>0</v>
      </c>
      <c r="L45" s="179">
        <v>0</v>
      </c>
      <c r="M45" s="179">
        <v>531135</v>
      </c>
      <c r="N45" s="179">
        <v>100000</v>
      </c>
    </row>
    <row r="46" spans="1:14" s="156" customFormat="1" x14ac:dyDescent="0.25">
      <c r="A46" s="156" t="s">
        <v>542</v>
      </c>
      <c r="B46" s="156" t="s">
        <v>309</v>
      </c>
      <c r="C46" s="156" t="s">
        <v>310</v>
      </c>
      <c r="D46" s="156" t="s">
        <v>541</v>
      </c>
      <c r="E46" s="179">
        <v>0</v>
      </c>
      <c r="F46" s="179">
        <v>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</row>
    <row r="47" spans="1:14" s="156" customFormat="1" x14ac:dyDescent="0.25">
      <c r="A47" s="156" t="s">
        <v>542</v>
      </c>
      <c r="B47" s="156" t="s">
        <v>174</v>
      </c>
      <c r="C47" s="156" t="s">
        <v>175</v>
      </c>
      <c r="D47" s="156" t="s">
        <v>541</v>
      </c>
      <c r="E47" s="179">
        <v>1550000</v>
      </c>
      <c r="F47" s="179">
        <v>431135</v>
      </c>
      <c r="G47" s="179">
        <v>0</v>
      </c>
      <c r="H47" s="179">
        <v>0</v>
      </c>
      <c r="I47" s="179">
        <v>0</v>
      </c>
      <c r="J47" s="179">
        <v>0</v>
      </c>
      <c r="K47" s="179">
        <v>0</v>
      </c>
      <c r="L47" s="179">
        <v>0</v>
      </c>
      <c r="M47" s="179">
        <v>431135</v>
      </c>
      <c r="N47" s="179">
        <v>0</v>
      </c>
    </row>
    <row r="48" spans="1:14" s="156" customFormat="1" x14ac:dyDescent="0.25">
      <c r="A48" s="156" t="s">
        <v>542</v>
      </c>
      <c r="B48" s="156" t="s">
        <v>176</v>
      </c>
      <c r="C48" s="156" t="s">
        <v>177</v>
      </c>
      <c r="D48" s="156" t="s">
        <v>541</v>
      </c>
      <c r="E48" s="179">
        <v>600000</v>
      </c>
      <c r="F48" s="179">
        <v>600000</v>
      </c>
      <c r="G48" s="179">
        <v>600000</v>
      </c>
      <c r="H48" s="179">
        <v>0</v>
      </c>
      <c r="I48" s="179">
        <v>500000</v>
      </c>
      <c r="J48" s="179">
        <v>0</v>
      </c>
      <c r="K48" s="179">
        <v>0</v>
      </c>
      <c r="L48" s="179">
        <v>0</v>
      </c>
      <c r="M48" s="179">
        <v>100000</v>
      </c>
      <c r="N48" s="179">
        <v>100000</v>
      </c>
    </row>
    <row r="49" spans="1:14" s="156" customFormat="1" x14ac:dyDescent="0.25">
      <c r="A49" s="156" t="s">
        <v>542</v>
      </c>
      <c r="B49" s="156" t="s">
        <v>178</v>
      </c>
      <c r="C49" s="156" t="s">
        <v>179</v>
      </c>
      <c r="D49" s="156" t="s">
        <v>541</v>
      </c>
      <c r="E49" s="179">
        <v>17019667</v>
      </c>
      <c r="F49" s="179">
        <v>17019667</v>
      </c>
      <c r="G49" s="179">
        <v>5059200</v>
      </c>
      <c r="H49" s="179">
        <v>486000</v>
      </c>
      <c r="I49" s="179">
        <v>2368988.7999999998</v>
      </c>
      <c r="J49" s="179">
        <v>0</v>
      </c>
      <c r="K49" s="179">
        <v>268201</v>
      </c>
      <c r="L49" s="179">
        <v>170000</v>
      </c>
      <c r="M49" s="179">
        <v>13896477.199999999</v>
      </c>
      <c r="N49" s="179">
        <v>1936010.2</v>
      </c>
    </row>
    <row r="50" spans="1:14" s="156" customFormat="1" x14ac:dyDescent="0.25">
      <c r="A50" s="156" t="s">
        <v>542</v>
      </c>
      <c r="B50" s="156" t="s">
        <v>332</v>
      </c>
      <c r="C50" s="156" t="s">
        <v>333</v>
      </c>
      <c r="D50" s="156" t="s">
        <v>541</v>
      </c>
      <c r="E50" s="179">
        <v>300000</v>
      </c>
      <c r="F50" s="179">
        <v>300000</v>
      </c>
      <c r="G50" s="179">
        <v>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300000</v>
      </c>
      <c r="N50" s="179">
        <v>0</v>
      </c>
    </row>
    <row r="51" spans="1:14" s="156" customFormat="1" x14ac:dyDescent="0.25">
      <c r="A51" s="156" t="s">
        <v>542</v>
      </c>
      <c r="B51" s="156" t="s">
        <v>182</v>
      </c>
      <c r="C51" s="156" t="s">
        <v>183</v>
      </c>
      <c r="D51" s="156" t="s">
        <v>541</v>
      </c>
      <c r="E51" s="179">
        <v>9066667</v>
      </c>
      <c r="F51" s="179">
        <v>9066667</v>
      </c>
      <c r="G51" s="179">
        <v>1600000</v>
      </c>
      <c r="H51" s="179">
        <v>0</v>
      </c>
      <c r="I51" s="179">
        <v>500000</v>
      </c>
      <c r="J51" s="179">
        <v>0</v>
      </c>
      <c r="K51" s="179">
        <v>98201</v>
      </c>
      <c r="L51" s="179">
        <v>0</v>
      </c>
      <c r="M51" s="179">
        <v>8468466</v>
      </c>
      <c r="N51" s="179">
        <v>1001799</v>
      </c>
    </row>
    <row r="52" spans="1:14" s="156" customFormat="1" x14ac:dyDescent="0.25">
      <c r="A52" s="156" t="s">
        <v>542</v>
      </c>
      <c r="B52" s="156" t="s">
        <v>186</v>
      </c>
      <c r="C52" s="156" t="s">
        <v>187</v>
      </c>
      <c r="D52" s="156" t="s">
        <v>541</v>
      </c>
      <c r="E52" s="179">
        <v>2900000</v>
      </c>
      <c r="F52" s="179">
        <v>2900000</v>
      </c>
      <c r="G52" s="179">
        <v>2127200</v>
      </c>
      <c r="H52" s="179">
        <v>486000</v>
      </c>
      <c r="I52" s="179">
        <v>1341200</v>
      </c>
      <c r="J52" s="179">
        <v>0</v>
      </c>
      <c r="K52" s="179">
        <v>170000</v>
      </c>
      <c r="L52" s="179">
        <v>170000</v>
      </c>
      <c r="M52" s="179">
        <v>902800</v>
      </c>
      <c r="N52" s="179">
        <v>130000</v>
      </c>
    </row>
    <row r="53" spans="1:14" s="156" customFormat="1" x14ac:dyDescent="0.25">
      <c r="A53" s="156" t="s">
        <v>542</v>
      </c>
      <c r="B53" s="156" t="s">
        <v>188</v>
      </c>
      <c r="C53" s="156" t="s">
        <v>189</v>
      </c>
      <c r="D53" s="156" t="s">
        <v>541</v>
      </c>
      <c r="E53" s="179">
        <v>393000</v>
      </c>
      <c r="F53" s="179">
        <v>393000</v>
      </c>
      <c r="G53" s="179">
        <v>0</v>
      </c>
      <c r="H53" s="179">
        <v>0</v>
      </c>
      <c r="I53" s="179">
        <v>0</v>
      </c>
      <c r="J53" s="179">
        <v>0</v>
      </c>
      <c r="K53" s="179">
        <v>0</v>
      </c>
      <c r="L53" s="179">
        <v>0</v>
      </c>
      <c r="M53" s="179">
        <v>393000</v>
      </c>
      <c r="N53" s="179">
        <v>0</v>
      </c>
    </row>
    <row r="54" spans="1:14" s="156" customFormat="1" x14ac:dyDescent="0.25">
      <c r="A54" s="156" t="s">
        <v>542</v>
      </c>
      <c r="B54" s="156" t="s">
        <v>190</v>
      </c>
      <c r="C54" s="156" t="s">
        <v>191</v>
      </c>
      <c r="D54" s="156" t="s">
        <v>541</v>
      </c>
      <c r="E54" s="179">
        <v>4360000</v>
      </c>
      <c r="F54" s="179">
        <v>4360000</v>
      </c>
      <c r="G54" s="179">
        <v>1332000</v>
      </c>
      <c r="H54" s="179">
        <v>0</v>
      </c>
      <c r="I54" s="179">
        <v>527788.80000000005</v>
      </c>
      <c r="J54" s="179">
        <v>0</v>
      </c>
      <c r="K54" s="179">
        <v>0</v>
      </c>
      <c r="L54" s="179">
        <v>0</v>
      </c>
      <c r="M54" s="179">
        <v>3832211.2</v>
      </c>
      <c r="N54" s="179">
        <v>804211.19999999995</v>
      </c>
    </row>
    <row r="55" spans="1:14" s="156" customFormat="1" x14ac:dyDescent="0.25">
      <c r="A55" s="156" t="s">
        <v>542</v>
      </c>
      <c r="B55" s="156" t="s">
        <v>192</v>
      </c>
      <c r="C55" s="156" t="s">
        <v>193</v>
      </c>
      <c r="D55" s="156" t="s">
        <v>541</v>
      </c>
      <c r="E55" s="179">
        <v>681819</v>
      </c>
      <c r="F55" s="179">
        <v>1250684</v>
      </c>
      <c r="G55" s="179">
        <v>1250684</v>
      </c>
      <c r="H55" s="179">
        <v>0</v>
      </c>
      <c r="I55" s="179">
        <v>681819</v>
      </c>
      <c r="J55" s="179">
        <v>0</v>
      </c>
      <c r="K55" s="179">
        <v>0</v>
      </c>
      <c r="L55" s="179">
        <v>0</v>
      </c>
      <c r="M55" s="179">
        <v>568865</v>
      </c>
      <c r="N55" s="179">
        <v>568865</v>
      </c>
    </row>
    <row r="56" spans="1:14" s="156" customFormat="1" x14ac:dyDescent="0.25">
      <c r="A56" s="156" t="s">
        <v>542</v>
      </c>
      <c r="B56" s="156" t="s">
        <v>194</v>
      </c>
      <c r="C56" s="156" t="s">
        <v>195</v>
      </c>
      <c r="D56" s="156" t="s">
        <v>541</v>
      </c>
      <c r="E56" s="179">
        <v>681819</v>
      </c>
      <c r="F56" s="179">
        <v>1250684</v>
      </c>
      <c r="G56" s="179">
        <v>1250684</v>
      </c>
      <c r="H56" s="179">
        <v>0</v>
      </c>
      <c r="I56" s="179">
        <v>681819</v>
      </c>
      <c r="J56" s="179">
        <v>0</v>
      </c>
      <c r="K56" s="179">
        <v>0</v>
      </c>
      <c r="L56" s="179">
        <v>0</v>
      </c>
      <c r="M56" s="179">
        <v>568865</v>
      </c>
      <c r="N56" s="179">
        <v>568865</v>
      </c>
    </row>
    <row r="57" spans="1:14" s="156" customFormat="1" x14ac:dyDescent="0.25">
      <c r="A57" s="156" t="s">
        <v>542</v>
      </c>
      <c r="B57" s="156" t="s">
        <v>196</v>
      </c>
      <c r="C57" s="156" t="s">
        <v>197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1000000</v>
      </c>
      <c r="N57" s="179">
        <v>0</v>
      </c>
    </row>
    <row r="58" spans="1:14" s="156" customFormat="1" x14ac:dyDescent="0.25">
      <c r="A58" s="156" t="s">
        <v>542</v>
      </c>
      <c r="B58" s="156" t="s">
        <v>198</v>
      </c>
      <c r="C58" s="156" t="s">
        <v>199</v>
      </c>
      <c r="D58" s="156" t="s">
        <v>541</v>
      </c>
      <c r="E58" s="179">
        <v>1000000</v>
      </c>
      <c r="F58" s="179">
        <v>1000000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1000000</v>
      </c>
      <c r="N58" s="179">
        <v>0</v>
      </c>
    </row>
    <row r="59" spans="1:14" s="156" customFormat="1" x14ac:dyDescent="0.25">
      <c r="A59" s="156" t="s">
        <v>542</v>
      </c>
      <c r="B59" s="156" t="s">
        <v>200</v>
      </c>
      <c r="C59" s="156" t="s">
        <v>201</v>
      </c>
      <c r="D59" s="156" t="s">
        <v>541</v>
      </c>
      <c r="E59" s="179">
        <v>42229000</v>
      </c>
      <c r="F59" s="179">
        <v>42229000</v>
      </c>
      <c r="G59" s="179">
        <v>32934000</v>
      </c>
      <c r="H59" s="179">
        <v>5179901.2300000004</v>
      </c>
      <c r="I59" s="179">
        <v>3084034.4</v>
      </c>
      <c r="J59" s="179">
        <v>45350</v>
      </c>
      <c r="K59" s="179">
        <v>5329648.42</v>
      </c>
      <c r="L59" s="179">
        <v>4472571.0599999996</v>
      </c>
      <c r="M59" s="179">
        <v>28590065.949999999</v>
      </c>
      <c r="N59" s="179">
        <v>19295065.949999999</v>
      </c>
    </row>
    <row r="60" spans="1:14" s="156" customFormat="1" x14ac:dyDescent="0.25">
      <c r="A60" s="156" t="s">
        <v>542</v>
      </c>
      <c r="B60" s="156" t="s">
        <v>202</v>
      </c>
      <c r="C60" s="156" t="s">
        <v>203</v>
      </c>
      <c r="D60" s="156" t="s">
        <v>541</v>
      </c>
      <c r="E60" s="179">
        <v>17137000</v>
      </c>
      <c r="F60" s="179">
        <v>17137000</v>
      </c>
      <c r="G60" s="179">
        <v>8919000</v>
      </c>
      <c r="H60" s="179">
        <v>0</v>
      </c>
      <c r="I60" s="179">
        <v>1780778</v>
      </c>
      <c r="J60" s="179">
        <v>0</v>
      </c>
      <c r="K60" s="179">
        <v>2067222</v>
      </c>
      <c r="L60" s="179">
        <v>2067222</v>
      </c>
      <c r="M60" s="179">
        <v>13289000</v>
      </c>
      <c r="N60" s="179">
        <v>5071000</v>
      </c>
    </row>
    <row r="61" spans="1:14" s="156" customFormat="1" x14ac:dyDescent="0.25">
      <c r="A61" s="156" t="s">
        <v>542</v>
      </c>
      <c r="B61" s="156" t="s">
        <v>204</v>
      </c>
      <c r="C61" s="156" t="s">
        <v>205</v>
      </c>
      <c r="D61" s="156" t="s">
        <v>541</v>
      </c>
      <c r="E61" s="179">
        <v>11100000</v>
      </c>
      <c r="F61" s="179">
        <v>11100000</v>
      </c>
      <c r="G61" s="179">
        <v>3800000</v>
      </c>
      <c r="H61" s="179">
        <v>0</v>
      </c>
      <c r="I61" s="179">
        <v>1780778</v>
      </c>
      <c r="J61" s="179">
        <v>0</v>
      </c>
      <c r="K61" s="179">
        <v>2019222</v>
      </c>
      <c r="L61" s="179">
        <v>2019222</v>
      </c>
      <c r="M61" s="179">
        <v>7300000</v>
      </c>
      <c r="N61" s="179">
        <v>0</v>
      </c>
    </row>
    <row r="62" spans="1:14" s="156" customFormat="1" x14ac:dyDescent="0.25">
      <c r="A62" s="156" t="s">
        <v>542</v>
      </c>
      <c r="B62" s="156" t="s">
        <v>206</v>
      </c>
      <c r="C62" s="156" t="s">
        <v>207</v>
      </c>
      <c r="D62" s="156" t="s">
        <v>541</v>
      </c>
      <c r="E62" s="179">
        <v>5000000</v>
      </c>
      <c r="F62" s="179">
        <v>5000000</v>
      </c>
      <c r="G62" s="179">
        <v>5000000</v>
      </c>
      <c r="H62" s="179">
        <v>0</v>
      </c>
      <c r="I62" s="179">
        <v>0</v>
      </c>
      <c r="J62" s="179">
        <v>0</v>
      </c>
      <c r="K62" s="179">
        <v>0</v>
      </c>
      <c r="L62" s="179">
        <v>0</v>
      </c>
      <c r="M62" s="179">
        <v>5000000</v>
      </c>
      <c r="N62" s="179">
        <v>5000000</v>
      </c>
    </row>
    <row r="63" spans="1:14" s="156" customFormat="1" x14ac:dyDescent="0.25">
      <c r="A63" s="156" t="s">
        <v>542</v>
      </c>
      <c r="B63" s="156" t="s">
        <v>208</v>
      </c>
      <c r="C63" s="156" t="s">
        <v>209</v>
      </c>
      <c r="D63" s="156" t="s">
        <v>541</v>
      </c>
      <c r="E63" s="179">
        <v>126000</v>
      </c>
      <c r="F63" s="179">
        <v>126000</v>
      </c>
      <c r="G63" s="179">
        <v>119000</v>
      </c>
      <c r="H63" s="179">
        <v>0</v>
      </c>
      <c r="I63" s="179">
        <v>0</v>
      </c>
      <c r="J63" s="179">
        <v>0</v>
      </c>
      <c r="K63" s="179">
        <v>48000</v>
      </c>
      <c r="L63" s="179">
        <v>48000</v>
      </c>
      <c r="M63" s="179">
        <v>78000</v>
      </c>
      <c r="N63" s="179">
        <v>71000</v>
      </c>
    </row>
    <row r="64" spans="1:14" s="156" customFormat="1" x14ac:dyDescent="0.25">
      <c r="A64" s="156" t="s">
        <v>542</v>
      </c>
      <c r="B64" s="156" t="s">
        <v>210</v>
      </c>
      <c r="C64" s="156" t="s">
        <v>211</v>
      </c>
      <c r="D64" s="156" t="s">
        <v>541</v>
      </c>
      <c r="E64" s="179">
        <v>911000</v>
      </c>
      <c r="F64" s="179">
        <v>911000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911000</v>
      </c>
      <c r="N64" s="179">
        <v>0</v>
      </c>
    </row>
    <row r="65" spans="1:14" s="156" customFormat="1" x14ac:dyDescent="0.25">
      <c r="A65" s="156" t="s">
        <v>542</v>
      </c>
      <c r="B65" s="156" t="s">
        <v>212</v>
      </c>
      <c r="C65" s="156" t="s">
        <v>213</v>
      </c>
      <c r="D65" s="156" t="s">
        <v>541</v>
      </c>
      <c r="E65" s="179">
        <v>3000000</v>
      </c>
      <c r="F65" s="179">
        <v>3000000</v>
      </c>
      <c r="G65" s="179">
        <v>2400000</v>
      </c>
      <c r="H65" s="179">
        <v>0</v>
      </c>
      <c r="I65" s="179">
        <v>0</v>
      </c>
      <c r="J65" s="179">
        <v>0</v>
      </c>
      <c r="K65" s="179">
        <v>673282</v>
      </c>
      <c r="L65" s="179">
        <v>0</v>
      </c>
      <c r="M65" s="179">
        <v>2326718</v>
      </c>
      <c r="N65" s="179">
        <v>1726718</v>
      </c>
    </row>
    <row r="66" spans="1:14" s="156" customFormat="1" x14ac:dyDescent="0.25">
      <c r="A66" s="156" t="s">
        <v>542</v>
      </c>
      <c r="B66" s="156" t="s">
        <v>214</v>
      </c>
      <c r="C66" s="156" t="s">
        <v>215</v>
      </c>
      <c r="D66" s="156" t="s">
        <v>541</v>
      </c>
      <c r="E66" s="179">
        <v>3000000</v>
      </c>
      <c r="F66" s="179">
        <v>3000000</v>
      </c>
      <c r="G66" s="179">
        <v>2400000</v>
      </c>
      <c r="H66" s="179">
        <v>0</v>
      </c>
      <c r="I66" s="179">
        <v>0</v>
      </c>
      <c r="J66" s="179">
        <v>0</v>
      </c>
      <c r="K66" s="179">
        <v>673282</v>
      </c>
      <c r="L66" s="179">
        <v>0</v>
      </c>
      <c r="M66" s="179">
        <v>2326718</v>
      </c>
      <c r="N66" s="179">
        <v>1726718</v>
      </c>
    </row>
    <row r="67" spans="1:14" s="156" customFormat="1" x14ac:dyDescent="0.25">
      <c r="A67" s="156" t="s">
        <v>542</v>
      </c>
      <c r="B67" s="156" t="s">
        <v>216</v>
      </c>
      <c r="C67" s="156" t="s">
        <v>217</v>
      </c>
      <c r="D67" s="156" t="s">
        <v>541</v>
      </c>
      <c r="E67" s="179">
        <v>936000</v>
      </c>
      <c r="F67" s="179">
        <v>936000</v>
      </c>
      <c r="G67" s="179">
        <v>771000</v>
      </c>
      <c r="H67" s="179">
        <v>771000</v>
      </c>
      <c r="I67" s="179">
        <v>0</v>
      </c>
      <c r="J67" s="179">
        <v>0</v>
      </c>
      <c r="K67" s="179">
        <v>0</v>
      </c>
      <c r="L67" s="179">
        <v>0</v>
      </c>
      <c r="M67" s="179">
        <v>165000</v>
      </c>
      <c r="N67" s="179">
        <v>0</v>
      </c>
    </row>
    <row r="68" spans="1:14" s="156" customFormat="1" x14ac:dyDescent="0.25">
      <c r="A68" s="156" t="s">
        <v>542</v>
      </c>
      <c r="B68" s="156" t="s">
        <v>220</v>
      </c>
      <c r="C68" s="156" t="s">
        <v>221</v>
      </c>
      <c r="D68" s="156" t="s">
        <v>541</v>
      </c>
      <c r="E68" s="179">
        <v>771000</v>
      </c>
      <c r="F68" s="179">
        <v>771000</v>
      </c>
      <c r="G68" s="179">
        <v>771000</v>
      </c>
      <c r="H68" s="179">
        <v>771000</v>
      </c>
      <c r="I68" s="179">
        <v>0</v>
      </c>
      <c r="J68" s="179">
        <v>0</v>
      </c>
      <c r="K68" s="179">
        <v>0</v>
      </c>
      <c r="L68" s="179">
        <v>0</v>
      </c>
      <c r="M68" s="179">
        <v>0</v>
      </c>
      <c r="N68" s="179">
        <v>0</v>
      </c>
    </row>
    <row r="69" spans="1:14" s="156" customFormat="1" x14ac:dyDescent="0.25">
      <c r="A69" s="156" t="s">
        <v>542</v>
      </c>
      <c r="B69" s="156" t="s">
        <v>224</v>
      </c>
      <c r="C69" s="156" t="s">
        <v>225</v>
      </c>
      <c r="D69" s="156" t="s">
        <v>541</v>
      </c>
      <c r="E69" s="179">
        <v>165000</v>
      </c>
      <c r="F69" s="179">
        <v>165000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165000</v>
      </c>
      <c r="N69" s="179">
        <v>0</v>
      </c>
    </row>
    <row r="70" spans="1:14" s="156" customFormat="1" x14ac:dyDescent="0.25">
      <c r="A70" s="156" t="s">
        <v>542</v>
      </c>
      <c r="B70" s="156" t="s">
        <v>228</v>
      </c>
      <c r="C70" s="156" t="s">
        <v>229</v>
      </c>
      <c r="D70" s="156" t="s">
        <v>541</v>
      </c>
      <c r="E70" s="179">
        <v>312000</v>
      </c>
      <c r="F70" s="179">
        <v>312000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312000</v>
      </c>
      <c r="N70" s="179">
        <v>0</v>
      </c>
    </row>
    <row r="71" spans="1:14" s="156" customFormat="1" x14ac:dyDescent="0.25">
      <c r="A71" s="156" t="s">
        <v>542</v>
      </c>
      <c r="B71" s="156" t="s">
        <v>230</v>
      </c>
      <c r="C71" s="156" t="s">
        <v>231</v>
      </c>
      <c r="D71" s="156" t="s">
        <v>541</v>
      </c>
      <c r="E71" s="179">
        <v>206000</v>
      </c>
      <c r="F71" s="179">
        <v>206000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206000</v>
      </c>
      <c r="N71" s="179">
        <v>0</v>
      </c>
    </row>
    <row r="72" spans="1:14" s="156" customFormat="1" x14ac:dyDescent="0.25">
      <c r="A72" s="156" t="s">
        <v>542</v>
      </c>
      <c r="B72" s="156" t="s">
        <v>232</v>
      </c>
      <c r="C72" s="156" t="s">
        <v>233</v>
      </c>
      <c r="D72" s="156" t="s">
        <v>541</v>
      </c>
      <c r="E72" s="179">
        <v>106000</v>
      </c>
      <c r="F72" s="179">
        <v>106000</v>
      </c>
      <c r="G72" s="179">
        <v>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106000</v>
      </c>
      <c r="N72" s="179">
        <v>0</v>
      </c>
    </row>
    <row r="73" spans="1:14" s="156" customFormat="1" x14ac:dyDescent="0.25">
      <c r="A73" s="156" t="s">
        <v>542</v>
      </c>
      <c r="B73" s="156" t="s">
        <v>234</v>
      </c>
      <c r="C73" s="156" t="s">
        <v>601</v>
      </c>
      <c r="D73" s="156" t="s">
        <v>541</v>
      </c>
      <c r="E73" s="179">
        <v>20844000</v>
      </c>
      <c r="F73" s="179">
        <v>20844000</v>
      </c>
      <c r="G73" s="179">
        <v>20844000</v>
      </c>
      <c r="H73" s="179">
        <v>4408901.2300000004</v>
      </c>
      <c r="I73" s="179">
        <v>1303256.3999999999</v>
      </c>
      <c r="J73" s="179">
        <v>45350</v>
      </c>
      <c r="K73" s="179">
        <v>2589144.42</v>
      </c>
      <c r="L73" s="179">
        <v>2405349.06</v>
      </c>
      <c r="M73" s="179">
        <v>12497347.949999999</v>
      </c>
      <c r="N73" s="179">
        <v>12497347.949999999</v>
      </c>
    </row>
    <row r="74" spans="1:14" s="156" customFormat="1" x14ac:dyDescent="0.25">
      <c r="A74" s="156" t="s">
        <v>542</v>
      </c>
      <c r="B74" s="156" t="s">
        <v>235</v>
      </c>
      <c r="C74" s="156" t="s">
        <v>236</v>
      </c>
      <c r="D74" s="156" t="s">
        <v>541</v>
      </c>
      <c r="E74" s="179">
        <v>3000000</v>
      </c>
      <c r="F74" s="179">
        <v>3000000</v>
      </c>
      <c r="G74" s="179">
        <v>3000000</v>
      </c>
      <c r="H74" s="179">
        <v>715064.24</v>
      </c>
      <c r="I74" s="179">
        <v>692877.52</v>
      </c>
      <c r="J74" s="179">
        <v>0</v>
      </c>
      <c r="K74" s="179">
        <v>84624</v>
      </c>
      <c r="L74" s="179">
        <v>84624</v>
      </c>
      <c r="M74" s="179">
        <v>1507434.24</v>
      </c>
      <c r="N74" s="179">
        <v>1507434.24</v>
      </c>
    </row>
    <row r="75" spans="1:14" s="156" customFormat="1" x14ac:dyDescent="0.25">
      <c r="A75" s="156" t="s">
        <v>542</v>
      </c>
      <c r="B75" s="156" t="s">
        <v>237</v>
      </c>
      <c r="C75" s="156" t="s">
        <v>238</v>
      </c>
      <c r="D75" s="156" t="s">
        <v>541</v>
      </c>
      <c r="E75" s="179">
        <v>271000</v>
      </c>
      <c r="F75" s="179">
        <v>271000</v>
      </c>
      <c r="G75" s="179">
        <v>271000</v>
      </c>
      <c r="H75" s="179">
        <v>157500</v>
      </c>
      <c r="I75" s="179">
        <v>0</v>
      </c>
      <c r="J75" s="179">
        <v>0</v>
      </c>
      <c r="K75" s="179">
        <v>112500</v>
      </c>
      <c r="L75" s="179">
        <v>112500</v>
      </c>
      <c r="M75" s="179">
        <v>1000</v>
      </c>
      <c r="N75" s="179">
        <v>1000</v>
      </c>
    </row>
    <row r="76" spans="1:14" s="156" customFormat="1" x14ac:dyDescent="0.25">
      <c r="A76" s="156" t="s">
        <v>542</v>
      </c>
      <c r="B76" s="156" t="s">
        <v>239</v>
      </c>
      <c r="C76" s="156" t="s">
        <v>240</v>
      </c>
      <c r="D76" s="156" t="s">
        <v>541</v>
      </c>
      <c r="E76" s="179">
        <v>12000000</v>
      </c>
      <c r="F76" s="179">
        <v>12000000</v>
      </c>
      <c r="G76" s="179">
        <v>12000000</v>
      </c>
      <c r="H76" s="179">
        <v>0</v>
      </c>
      <c r="I76" s="179">
        <v>610378.88</v>
      </c>
      <c r="J76" s="179">
        <v>45350</v>
      </c>
      <c r="K76" s="179">
        <v>2283000.92</v>
      </c>
      <c r="L76" s="179">
        <v>2099205.56</v>
      </c>
      <c r="M76" s="179">
        <v>9061270.1999999993</v>
      </c>
      <c r="N76" s="179">
        <v>9061270.1999999993</v>
      </c>
    </row>
    <row r="77" spans="1:14" s="156" customFormat="1" x14ac:dyDescent="0.25">
      <c r="A77" s="156" t="s">
        <v>542</v>
      </c>
      <c r="B77" s="156" t="s">
        <v>241</v>
      </c>
      <c r="C77" s="156" t="s">
        <v>242</v>
      </c>
      <c r="D77" s="156" t="s">
        <v>541</v>
      </c>
      <c r="E77" s="179">
        <v>1445000</v>
      </c>
      <c r="F77" s="179">
        <v>1445000</v>
      </c>
      <c r="G77" s="179">
        <v>1445000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1445000</v>
      </c>
      <c r="N77" s="179">
        <v>1445000</v>
      </c>
    </row>
    <row r="78" spans="1:14" s="156" customFormat="1" x14ac:dyDescent="0.25">
      <c r="A78" s="156" t="s">
        <v>542</v>
      </c>
      <c r="B78" s="156" t="s">
        <v>243</v>
      </c>
      <c r="C78" s="156" t="s">
        <v>244</v>
      </c>
      <c r="D78" s="156" t="s">
        <v>541</v>
      </c>
      <c r="E78" s="179">
        <v>2500000</v>
      </c>
      <c r="F78" s="179">
        <v>2500000</v>
      </c>
      <c r="G78" s="179">
        <v>2500000</v>
      </c>
      <c r="H78" s="179">
        <v>2025796.99</v>
      </c>
      <c r="I78" s="179">
        <v>0</v>
      </c>
      <c r="J78" s="179">
        <v>0</v>
      </c>
      <c r="K78" s="179">
        <v>0</v>
      </c>
      <c r="L78" s="179">
        <v>0</v>
      </c>
      <c r="M78" s="179">
        <v>474203.01</v>
      </c>
      <c r="N78" s="179">
        <v>474203.01</v>
      </c>
    </row>
    <row r="79" spans="1:14" s="156" customFormat="1" x14ac:dyDescent="0.25">
      <c r="A79" s="156" t="s">
        <v>542</v>
      </c>
      <c r="B79" s="156" t="s">
        <v>245</v>
      </c>
      <c r="C79" s="156" t="s">
        <v>246</v>
      </c>
      <c r="D79" s="156" t="s">
        <v>541</v>
      </c>
      <c r="E79" s="179">
        <v>66000</v>
      </c>
      <c r="F79" s="179">
        <v>66000</v>
      </c>
      <c r="G79" s="179">
        <v>66000</v>
      </c>
      <c r="H79" s="179">
        <v>66000</v>
      </c>
      <c r="I79" s="179">
        <v>0</v>
      </c>
      <c r="J79" s="179">
        <v>0</v>
      </c>
      <c r="K79" s="179">
        <v>0</v>
      </c>
      <c r="L79" s="179">
        <v>0</v>
      </c>
      <c r="M79" s="179">
        <v>0</v>
      </c>
      <c r="N79" s="179">
        <v>0</v>
      </c>
    </row>
    <row r="80" spans="1:14" s="156" customFormat="1" x14ac:dyDescent="0.25">
      <c r="A80" s="156" t="s">
        <v>542</v>
      </c>
      <c r="B80" s="156" t="s">
        <v>247</v>
      </c>
      <c r="C80" s="156" t="s">
        <v>248</v>
      </c>
      <c r="D80" s="156" t="s">
        <v>541</v>
      </c>
      <c r="E80" s="179">
        <v>562000</v>
      </c>
      <c r="F80" s="179">
        <v>562000</v>
      </c>
      <c r="G80" s="179">
        <v>562000</v>
      </c>
      <c r="H80" s="179">
        <v>561000</v>
      </c>
      <c r="I80" s="179">
        <v>0</v>
      </c>
      <c r="J80" s="179">
        <v>0</v>
      </c>
      <c r="K80" s="179">
        <v>0</v>
      </c>
      <c r="L80" s="179">
        <v>0</v>
      </c>
      <c r="M80" s="179">
        <v>1000</v>
      </c>
      <c r="N80" s="179">
        <v>1000</v>
      </c>
    </row>
    <row r="81" spans="1:14" s="156" customFormat="1" x14ac:dyDescent="0.25">
      <c r="A81" s="156" t="s">
        <v>542</v>
      </c>
      <c r="B81" s="156" t="s">
        <v>249</v>
      </c>
      <c r="C81" s="156" t="s">
        <v>250</v>
      </c>
      <c r="D81" s="156" t="s">
        <v>541</v>
      </c>
      <c r="E81" s="179">
        <v>1000000</v>
      </c>
      <c r="F81" s="179">
        <v>1000000</v>
      </c>
      <c r="G81" s="179">
        <v>1000000</v>
      </c>
      <c r="H81" s="179">
        <v>883540</v>
      </c>
      <c r="I81" s="179">
        <v>0</v>
      </c>
      <c r="J81" s="179">
        <v>0</v>
      </c>
      <c r="K81" s="179">
        <v>109019.5</v>
      </c>
      <c r="L81" s="179">
        <v>109019.5</v>
      </c>
      <c r="M81" s="179">
        <v>7440.5</v>
      </c>
      <c r="N81" s="179">
        <v>7440.5</v>
      </c>
    </row>
    <row r="82" spans="1:14" s="156" customFormat="1" x14ac:dyDescent="0.25">
      <c r="A82" s="156" t="s">
        <v>542</v>
      </c>
      <c r="B82" s="156" t="s">
        <v>251</v>
      </c>
      <c r="C82" s="156" t="s">
        <v>252</v>
      </c>
      <c r="D82" s="156" t="s">
        <v>541</v>
      </c>
      <c r="E82" s="179">
        <v>731283000</v>
      </c>
      <c r="F82" s="179">
        <v>745283000</v>
      </c>
      <c r="G82" s="179">
        <v>408212500</v>
      </c>
      <c r="H82" s="179">
        <v>0</v>
      </c>
      <c r="I82" s="179">
        <v>137246663.93000001</v>
      </c>
      <c r="J82" s="179">
        <v>0</v>
      </c>
      <c r="K82" s="179">
        <v>249039383.06999999</v>
      </c>
      <c r="L82" s="179">
        <v>249039383.06999999</v>
      </c>
      <c r="M82" s="179">
        <v>358996953</v>
      </c>
      <c r="N82" s="179">
        <v>21926453</v>
      </c>
    </row>
    <row r="83" spans="1:14" s="156" customFormat="1" x14ac:dyDescent="0.25">
      <c r="A83" s="156" t="s">
        <v>542</v>
      </c>
      <c r="B83" s="156" t="s">
        <v>253</v>
      </c>
      <c r="C83" s="156" t="s">
        <v>254</v>
      </c>
      <c r="D83" s="156" t="s">
        <v>541</v>
      </c>
      <c r="E83" s="179">
        <v>268185000</v>
      </c>
      <c r="F83" s="179">
        <v>268185000</v>
      </c>
      <c r="G83" s="179">
        <v>149339403.30000001</v>
      </c>
      <c r="H83" s="179">
        <v>0</v>
      </c>
      <c r="I83" s="179">
        <v>52995413.299999997</v>
      </c>
      <c r="J83" s="179">
        <v>0</v>
      </c>
      <c r="K83" s="179">
        <v>96343990</v>
      </c>
      <c r="L83" s="179">
        <v>96343990</v>
      </c>
      <c r="M83" s="179">
        <v>118845596.7</v>
      </c>
      <c r="N83" s="179">
        <v>0</v>
      </c>
    </row>
    <row r="84" spans="1:14" s="156" customFormat="1" x14ac:dyDescent="0.25">
      <c r="A84" s="156" t="s">
        <v>542</v>
      </c>
      <c r="B84" s="156" t="s">
        <v>255</v>
      </c>
      <c r="C84" s="156" t="s">
        <v>256</v>
      </c>
      <c r="D84" s="156" t="s">
        <v>541</v>
      </c>
      <c r="E84" s="179">
        <v>2000000</v>
      </c>
      <c r="F84" s="179">
        <v>2000000</v>
      </c>
      <c r="G84" s="179">
        <v>2000000</v>
      </c>
      <c r="H84" s="179">
        <v>0</v>
      </c>
      <c r="I84" s="179">
        <v>0</v>
      </c>
      <c r="J84" s="179">
        <v>0</v>
      </c>
      <c r="K84" s="179">
        <v>2000000</v>
      </c>
      <c r="L84" s="179">
        <v>2000000</v>
      </c>
      <c r="M84" s="179">
        <v>0</v>
      </c>
      <c r="N84" s="179">
        <v>0</v>
      </c>
    </row>
    <row r="85" spans="1:14" s="156" customFormat="1" x14ac:dyDescent="0.25">
      <c r="A85" s="156" t="s">
        <v>542</v>
      </c>
      <c r="B85" s="156" t="s">
        <v>257</v>
      </c>
      <c r="C85" s="156" t="s">
        <v>258</v>
      </c>
      <c r="D85" s="156" t="s">
        <v>541</v>
      </c>
      <c r="E85" s="179">
        <v>250000000</v>
      </c>
      <c r="F85" s="179">
        <v>250000000</v>
      </c>
      <c r="G85" s="179">
        <v>131154403.3</v>
      </c>
      <c r="H85" s="179">
        <v>0</v>
      </c>
      <c r="I85" s="179">
        <v>41868688.299999997</v>
      </c>
      <c r="J85" s="179">
        <v>0</v>
      </c>
      <c r="K85" s="179">
        <v>89285715</v>
      </c>
      <c r="L85" s="179">
        <v>89285715</v>
      </c>
      <c r="M85" s="179">
        <v>118845596.7</v>
      </c>
      <c r="N85" s="179">
        <v>0</v>
      </c>
    </row>
    <row r="86" spans="1:14" s="156" customFormat="1" x14ac:dyDescent="0.25">
      <c r="A86" s="156" t="s">
        <v>542</v>
      </c>
      <c r="B86" s="156" t="s">
        <v>259</v>
      </c>
      <c r="C86" s="156" t="s">
        <v>602</v>
      </c>
      <c r="D86" s="156" t="s">
        <v>541</v>
      </c>
      <c r="E86" s="179">
        <v>13470000</v>
      </c>
      <c r="F86" s="179">
        <v>13470000</v>
      </c>
      <c r="G86" s="179">
        <v>13470000</v>
      </c>
      <c r="H86" s="179">
        <v>0</v>
      </c>
      <c r="I86" s="179">
        <v>9260429</v>
      </c>
      <c r="J86" s="179">
        <v>0</v>
      </c>
      <c r="K86" s="179">
        <v>4209571</v>
      </c>
      <c r="L86" s="179">
        <v>4209571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260</v>
      </c>
      <c r="C87" s="156" t="s">
        <v>603</v>
      </c>
      <c r="D87" s="156" t="s">
        <v>541</v>
      </c>
      <c r="E87" s="179">
        <v>2715000</v>
      </c>
      <c r="F87" s="179">
        <v>2715000</v>
      </c>
      <c r="G87" s="179">
        <v>2715000</v>
      </c>
      <c r="H87" s="179">
        <v>0</v>
      </c>
      <c r="I87" s="179">
        <v>1866296</v>
      </c>
      <c r="J87" s="179">
        <v>0</v>
      </c>
      <c r="K87" s="179">
        <v>848704</v>
      </c>
      <c r="L87" s="179">
        <v>848704</v>
      </c>
      <c r="M87" s="179">
        <v>0</v>
      </c>
      <c r="N87" s="179">
        <v>0</v>
      </c>
    </row>
    <row r="88" spans="1:14" s="156" customFormat="1" x14ac:dyDescent="0.25">
      <c r="A88" s="156" t="s">
        <v>542</v>
      </c>
      <c r="B88" s="156" t="s">
        <v>261</v>
      </c>
      <c r="C88" s="156" t="s">
        <v>262</v>
      </c>
      <c r="D88" s="156" t="s">
        <v>541</v>
      </c>
      <c r="E88" s="179">
        <v>39757000</v>
      </c>
      <c r="F88" s="179">
        <v>53757000</v>
      </c>
      <c r="G88" s="179">
        <v>47202596.700000003</v>
      </c>
      <c r="H88" s="179">
        <v>0</v>
      </c>
      <c r="I88" s="179">
        <v>152698.13</v>
      </c>
      <c r="J88" s="179">
        <v>0</v>
      </c>
      <c r="K88" s="179">
        <v>25123445.57</v>
      </c>
      <c r="L88" s="179">
        <v>25123445.57</v>
      </c>
      <c r="M88" s="179">
        <v>28480856.300000001</v>
      </c>
      <c r="N88" s="179">
        <v>21926453</v>
      </c>
    </row>
    <row r="89" spans="1:14" s="156" customFormat="1" x14ac:dyDescent="0.25">
      <c r="A89" s="156" t="s">
        <v>542</v>
      </c>
      <c r="B89" s="156" t="s">
        <v>263</v>
      </c>
      <c r="C89" s="156" t="s">
        <v>264</v>
      </c>
      <c r="D89" s="156" t="s">
        <v>541</v>
      </c>
      <c r="E89" s="179">
        <v>30000000</v>
      </c>
      <c r="F89" s="179">
        <v>44000000</v>
      </c>
      <c r="G89" s="179">
        <v>37445596.700000003</v>
      </c>
      <c r="H89" s="179">
        <v>0</v>
      </c>
      <c r="I89" s="179">
        <v>152698.13</v>
      </c>
      <c r="J89" s="179">
        <v>0</v>
      </c>
      <c r="K89" s="179">
        <v>23292898.57</v>
      </c>
      <c r="L89" s="179">
        <v>23292898.57</v>
      </c>
      <c r="M89" s="179">
        <v>20554403.300000001</v>
      </c>
      <c r="N89" s="179">
        <v>14000000</v>
      </c>
    </row>
    <row r="90" spans="1:14" s="156" customFormat="1" x14ac:dyDescent="0.25">
      <c r="A90" s="156" t="s">
        <v>542</v>
      </c>
      <c r="B90" s="156" t="s">
        <v>265</v>
      </c>
      <c r="C90" s="156" t="s">
        <v>266</v>
      </c>
      <c r="D90" s="156" t="s">
        <v>541</v>
      </c>
      <c r="E90" s="179">
        <v>9757000</v>
      </c>
      <c r="F90" s="179">
        <v>9757000</v>
      </c>
      <c r="G90" s="179">
        <v>9757000</v>
      </c>
      <c r="H90" s="179">
        <v>0</v>
      </c>
      <c r="I90" s="179">
        <v>0</v>
      </c>
      <c r="J90" s="179">
        <v>0</v>
      </c>
      <c r="K90" s="179">
        <v>1830547</v>
      </c>
      <c r="L90" s="179">
        <v>1830547</v>
      </c>
      <c r="M90" s="179">
        <v>7926453</v>
      </c>
      <c r="N90" s="179">
        <v>7926453</v>
      </c>
    </row>
    <row r="91" spans="1:14" s="156" customFormat="1" x14ac:dyDescent="0.25">
      <c r="A91" s="156" t="s">
        <v>542</v>
      </c>
      <c r="B91" s="156" t="s">
        <v>273</v>
      </c>
      <c r="C91" s="156" t="s">
        <v>274</v>
      </c>
      <c r="D91" s="156" t="s">
        <v>541</v>
      </c>
      <c r="E91" s="179">
        <v>423341000</v>
      </c>
      <c r="F91" s="179">
        <v>423341000</v>
      </c>
      <c r="G91" s="179">
        <v>211670500</v>
      </c>
      <c r="H91" s="179">
        <v>0</v>
      </c>
      <c r="I91" s="179">
        <v>84098552.5</v>
      </c>
      <c r="J91" s="179">
        <v>0</v>
      </c>
      <c r="K91" s="179">
        <v>127571947.5</v>
      </c>
      <c r="L91" s="179">
        <v>127571947.5</v>
      </c>
      <c r="M91" s="179">
        <v>211670500</v>
      </c>
      <c r="N91" s="179">
        <v>0</v>
      </c>
    </row>
    <row r="92" spans="1:14" s="156" customFormat="1" x14ac:dyDescent="0.25">
      <c r="A92" s="156" t="s">
        <v>542</v>
      </c>
      <c r="B92" s="156" t="s">
        <v>275</v>
      </c>
      <c r="C92" s="156" t="s">
        <v>276</v>
      </c>
      <c r="D92" s="156" t="s">
        <v>541</v>
      </c>
      <c r="E92" s="179">
        <v>406300000</v>
      </c>
      <c r="F92" s="179">
        <v>406300000</v>
      </c>
      <c r="G92" s="179">
        <v>194629500</v>
      </c>
      <c r="H92" s="179">
        <v>0</v>
      </c>
      <c r="I92" s="179">
        <v>70556833</v>
      </c>
      <c r="J92" s="179">
        <v>0</v>
      </c>
      <c r="K92" s="179">
        <v>124072667</v>
      </c>
      <c r="L92" s="179">
        <v>124072667</v>
      </c>
      <c r="M92" s="179">
        <v>211670500</v>
      </c>
      <c r="N92" s="179">
        <v>0</v>
      </c>
    </row>
    <row r="93" spans="1:14" s="156" customFormat="1" x14ac:dyDescent="0.25">
      <c r="A93" s="156" t="s">
        <v>542</v>
      </c>
      <c r="B93" s="156" t="s">
        <v>561</v>
      </c>
      <c r="C93" s="156" t="s">
        <v>584</v>
      </c>
      <c r="D93" s="156" t="s">
        <v>541</v>
      </c>
      <c r="E93" s="179">
        <v>13364000</v>
      </c>
      <c r="F93" s="179">
        <v>13364000</v>
      </c>
      <c r="G93" s="179">
        <v>13364000</v>
      </c>
      <c r="H93" s="179">
        <v>0</v>
      </c>
      <c r="I93" s="179">
        <v>13364000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277</v>
      </c>
      <c r="C94" s="156" t="s">
        <v>278</v>
      </c>
      <c r="D94" s="156" t="s">
        <v>541</v>
      </c>
      <c r="E94" s="179">
        <v>3677000</v>
      </c>
      <c r="F94" s="179">
        <v>3677000</v>
      </c>
      <c r="G94" s="179">
        <v>3677000</v>
      </c>
      <c r="H94" s="179">
        <v>0</v>
      </c>
      <c r="I94" s="179">
        <v>177719.5</v>
      </c>
      <c r="J94" s="179">
        <v>0</v>
      </c>
      <c r="K94" s="179">
        <v>3499280.5</v>
      </c>
      <c r="L94" s="179">
        <v>3499280.5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279</v>
      </c>
      <c r="C95" s="156" t="s">
        <v>280</v>
      </c>
      <c r="D95" s="156" t="s">
        <v>543</v>
      </c>
      <c r="E95" s="179">
        <v>17098648</v>
      </c>
      <c r="F95" s="179">
        <v>17098648</v>
      </c>
      <c r="G95" s="179">
        <v>8549324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17098648</v>
      </c>
      <c r="N95" s="179">
        <v>8549324</v>
      </c>
    </row>
    <row r="96" spans="1:14" s="156" customFormat="1" x14ac:dyDescent="0.25">
      <c r="A96" s="156" t="s">
        <v>542</v>
      </c>
      <c r="B96" s="156" t="s">
        <v>281</v>
      </c>
      <c r="C96" s="156" t="s">
        <v>282</v>
      </c>
      <c r="D96" s="156" t="s">
        <v>543</v>
      </c>
      <c r="E96" s="179">
        <v>16598648</v>
      </c>
      <c r="F96" s="179">
        <v>16598648</v>
      </c>
      <c r="G96" s="179">
        <v>8049324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16598648</v>
      </c>
      <c r="N96" s="179">
        <v>8049324</v>
      </c>
    </row>
    <row r="97" spans="1:14" s="156" customFormat="1" x14ac:dyDescent="0.25">
      <c r="A97" s="156" t="s">
        <v>542</v>
      </c>
      <c r="B97" s="156" t="s">
        <v>283</v>
      </c>
      <c r="C97" s="156" t="s">
        <v>284</v>
      </c>
      <c r="D97" s="156" t="s">
        <v>543</v>
      </c>
      <c r="E97" s="179">
        <v>3000000</v>
      </c>
      <c r="F97" s="179">
        <v>3000000</v>
      </c>
      <c r="G97" s="179">
        <v>788324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3000000</v>
      </c>
      <c r="N97" s="179">
        <v>788324</v>
      </c>
    </row>
    <row r="98" spans="1:14" s="156" customFormat="1" x14ac:dyDescent="0.25">
      <c r="A98" s="156" t="s">
        <v>542</v>
      </c>
      <c r="B98" s="156" t="s">
        <v>285</v>
      </c>
      <c r="C98" s="156" t="s">
        <v>286</v>
      </c>
      <c r="D98" s="156" t="s">
        <v>543</v>
      </c>
      <c r="E98" s="179">
        <v>4000000</v>
      </c>
      <c r="F98" s="179">
        <v>4000000</v>
      </c>
      <c r="G98" s="179">
        <v>2000000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4000000</v>
      </c>
      <c r="N98" s="179">
        <v>2000000</v>
      </c>
    </row>
    <row r="99" spans="1:14" s="156" customFormat="1" x14ac:dyDescent="0.25">
      <c r="A99" s="156" t="s">
        <v>542</v>
      </c>
      <c r="B99" s="156" t="s">
        <v>287</v>
      </c>
      <c r="C99" s="156" t="s">
        <v>288</v>
      </c>
      <c r="D99" s="156" t="s">
        <v>543</v>
      </c>
      <c r="E99" s="179">
        <v>6337648</v>
      </c>
      <c r="F99" s="179">
        <v>6337648</v>
      </c>
      <c r="G99" s="179">
        <v>2000000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6337648</v>
      </c>
      <c r="N99" s="179">
        <v>2000000</v>
      </c>
    </row>
    <row r="100" spans="1:14" s="156" customFormat="1" x14ac:dyDescent="0.25">
      <c r="A100" s="156" t="s">
        <v>542</v>
      </c>
      <c r="B100" s="156" t="s">
        <v>293</v>
      </c>
      <c r="C100" s="156" t="s">
        <v>294</v>
      </c>
      <c r="D100" s="156" t="s">
        <v>543</v>
      </c>
      <c r="E100" s="179">
        <v>2261000</v>
      </c>
      <c r="F100" s="179">
        <v>2261000</v>
      </c>
      <c r="G100" s="179">
        <v>2261000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2261000</v>
      </c>
      <c r="N100" s="179">
        <v>2261000</v>
      </c>
    </row>
    <row r="101" spans="1:14" s="156" customFormat="1" x14ac:dyDescent="0.25">
      <c r="A101" s="156" t="s">
        <v>542</v>
      </c>
      <c r="B101" s="156" t="s">
        <v>295</v>
      </c>
      <c r="C101" s="156" t="s">
        <v>296</v>
      </c>
      <c r="D101" s="156" t="s">
        <v>543</v>
      </c>
      <c r="E101" s="179">
        <v>1000000</v>
      </c>
      <c r="F101" s="179">
        <v>1000000</v>
      </c>
      <c r="G101" s="179">
        <v>1000000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1000000</v>
      </c>
      <c r="N101" s="179">
        <v>1000000</v>
      </c>
    </row>
    <row r="102" spans="1:14" s="156" customFormat="1" x14ac:dyDescent="0.25">
      <c r="A102" s="156" t="s">
        <v>542</v>
      </c>
      <c r="B102" s="156" t="s">
        <v>340</v>
      </c>
      <c r="C102" s="156" t="s">
        <v>341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 t="s">
        <v>542</v>
      </c>
      <c r="B103" s="156" t="s">
        <v>342</v>
      </c>
      <c r="C103" s="156" t="s">
        <v>343</v>
      </c>
      <c r="D103" s="156" t="s">
        <v>543</v>
      </c>
      <c r="E103" s="179">
        <v>500000</v>
      </c>
      <c r="F103" s="179">
        <v>500000</v>
      </c>
      <c r="G103" s="179">
        <v>500000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500000</v>
      </c>
      <c r="N103" s="179">
        <v>500000</v>
      </c>
    </row>
    <row r="104" spans="1:14" s="156" customFormat="1" x14ac:dyDescent="0.25">
      <c r="A104" s="156">
        <v>214780</v>
      </c>
      <c r="B104" s="156" t="s">
        <v>587</v>
      </c>
      <c r="C104" s="156" t="s">
        <v>587</v>
      </c>
      <c r="D104" s="156" t="s">
        <v>541</v>
      </c>
      <c r="E104" s="179">
        <v>1241247489</v>
      </c>
      <c r="F104" s="179">
        <v>1241247489</v>
      </c>
      <c r="G104" s="179">
        <v>1101150743.8499999</v>
      </c>
      <c r="H104" s="179">
        <v>762142.48</v>
      </c>
      <c r="I104" s="179">
        <v>159937438.06999999</v>
      </c>
      <c r="J104" s="179">
        <v>831845.77</v>
      </c>
      <c r="K104" s="182">
        <v>334899853.06</v>
      </c>
      <c r="L104" s="179">
        <v>328814642.22000003</v>
      </c>
      <c r="M104" s="179">
        <v>744816209.62</v>
      </c>
      <c r="N104" s="179">
        <v>604719464.47000003</v>
      </c>
    </row>
    <row r="105" spans="1:14" s="156" customFormat="1" x14ac:dyDescent="0.25">
      <c r="A105" s="156" t="s">
        <v>544</v>
      </c>
      <c r="B105" s="156" t="s">
        <v>92</v>
      </c>
      <c r="C105" s="156" t="s">
        <v>93</v>
      </c>
      <c r="D105" s="156" t="s">
        <v>541</v>
      </c>
      <c r="E105" s="179">
        <v>953910000</v>
      </c>
      <c r="F105" s="179">
        <v>953910000</v>
      </c>
      <c r="G105" s="179">
        <v>953910000</v>
      </c>
      <c r="H105" s="179">
        <v>0</v>
      </c>
      <c r="I105" s="179">
        <v>99059534</v>
      </c>
      <c r="J105" s="179">
        <v>0</v>
      </c>
      <c r="K105" s="179">
        <v>278752042.54000002</v>
      </c>
      <c r="L105" s="179">
        <v>278752042.54000002</v>
      </c>
      <c r="M105" s="179">
        <v>576098423.46000004</v>
      </c>
      <c r="N105" s="179">
        <v>576098423.46000004</v>
      </c>
    </row>
    <row r="106" spans="1:14" s="156" customFormat="1" x14ac:dyDescent="0.25">
      <c r="A106" s="156" t="s">
        <v>544</v>
      </c>
      <c r="B106" s="156" t="s">
        <v>94</v>
      </c>
      <c r="C106" s="156" t="s">
        <v>95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107503028.66</v>
      </c>
      <c r="L106" s="179">
        <v>107503028.66</v>
      </c>
      <c r="M106" s="179">
        <v>276337971.33999997</v>
      </c>
      <c r="N106" s="179">
        <v>276337971.33999997</v>
      </c>
    </row>
    <row r="107" spans="1:14" s="156" customFormat="1" x14ac:dyDescent="0.25">
      <c r="A107" s="156" t="s">
        <v>544</v>
      </c>
      <c r="B107" s="156" t="s">
        <v>96</v>
      </c>
      <c r="C107" s="156" t="s">
        <v>97</v>
      </c>
      <c r="D107" s="156" t="s">
        <v>541</v>
      </c>
      <c r="E107" s="179">
        <v>383841000</v>
      </c>
      <c r="F107" s="179">
        <v>383841000</v>
      </c>
      <c r="G107" s="179">
        <v>383841000</v>
      </c>
      <c r="H107" s="179">
        <v>0</v>
      </c>
      <c r="I107" s="179">
        <v>0</v>
      </c>
      <c r="J107" s="179">
        <v>0</v>
      </c>
      <c r="K107" s="179">
        <v>107503028.66</v>
      </c>
      <c r="L107" s="179">
        <v>107503028.66</v>
      </c>
      <c r="M107" s="179">
        <v>276337971.33999997</v>
      </c>
      <c r="N107" s="179">
        <v>276337971.33999997</v>
      </c>
    </row>
    <row r="108" spans="1:14" s="156" customFormat="1" x14ac:dyDescent="0.25">
      <c r="A108" s="156" t="s">
        <v>544</v>
      </c>
      <c r="B108" s="156" t="s">
        <v>102</v>
      </c>
      <c r="C108" s="156" t="s">
        <v>103</v>
      </c>
      <c r="D108" s="156" t="s">
        <v>541</v>
      </c>
      <c r="E108" s="179">
        <v>425514000</v>
      </c>
      <c r="F108" s="179">
        <v>425514000</v>
      </c>
      <c r="G108" s="179">
        <v>425514000</v>
      </c>
      <c r="H108" s="179">
        <v>0</v>
      </c>
      <c r="I108" s="179">
        <v>0</v>
      </c>
      <c r="J108" s="179">
        <v>0</v>
      </c>
      <c r="K108" s="179">
        <v>125753547.88</v>
      </c>
      <c r="L108" s="179">
        <v>125753547.88</v>
      </c>
      <c r="M108" s="179">
        <v>299760452.12</v>
      </c>
      <c r="N108" s="179">
        <v>299760452.12</v>
      </c>
    </row>
    <row r="109" spans="1:14" s="156" customFormat="1" x14ac:dyDescent="0.25">
      <c r="A109" s="156" t="s">
        <v>544</v>
      </c>
      <c r="B109" s="156" t="s">
        <v>104</v>
      </c>
      <c r="C109" s="156" t="s">
        <v>105</v>
      </c>
      <c r="D109" s="156" t="s">
        <v>541</v>
      </c>
      <c r="E109" s="179">
        <v>70660000</v>
      </c>
      <c r="F109" s="179">
        <v>70660000</v>
      </c>
      <c r="G109" s="179">
        <v>70660000</v>
      </c>
      <c r="H109" s="179">
        <v>0</v>
      </c>
      <c r="I109" s="179">
        <v>0</v>
      </c>
      <c r="J109" s="179">
        <v>0</v>
      </c>
      <c r="K109" s="179">
        <v>18737651.760000002</v>
      </c>
      <c r="L109" s="179">
        <v>18737651.760000002</v>
      </c>
      <c r="M109" s="179">
        <v>51922348.240000002</v>
      </c>
      <c r="N109" s="179">
        <v>51922348.240000002</v>
      </c>
    </row>
    <row r="110" spans="1:14" s="156" customFormat="1" x14ac:dyDescent="0.25">
      <c r="A110" s="156" t="s">
        <v>544</v>
      </c>
      <c r="B110" s="156" t="s">
        <v>106</v>
      </c>
      <c r="C110" s="156" t="s">
        <v>107</v>
      </c>
      <c r="D110" s="156" t="s">
        <v>541</v>
      </c>
      <c r="E110" s="179">
        <v>211191000</v>
      </c>
      <c r="F110" s="179">
        <v>211191000</v>
      </c>
      <c r="G110" s="179">
        <v>211191000</v>
      </c>
      <c r="H110" s="179">
        <v>0</v>
      </c>
      <c r="I110" s="179">
        <v>0</v>
      </c>
      <c r="J110" s="179">
        <v>0</v>
      </c>
      <c r="K110" s="179">
        <v>52476664.460000001</v>
      </c>
      <c r="L110" s="179">
        <v>52476664.460000001</v>
      </c>
      <c r="M110" s="179">
        <v>158714335.53999999</v>
      </c>
      <c r="N110" s="179">
        <v>158714335.53999999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35665000</v>
      </c>
      <c r="H112" s="179">
        <v>0</v>
      </c>
      <c r="I112" s="179">
        <v>0</v>
      </c>
      <c r="J112" s="179">
        <v>0</v>
      </c>
      <c r="K112" s="179">
        <v>10091200.59</v>
      </c>
      <c r="L112" s="179">
        <v>10091200.59</v>
      </c>
      <c r="M112" s="179">
        <v>25573799.41</v>
      </c>
      <c r="N112" s="179">
        <v>25573799.41</v>
      </c>
    </row>
    <row r="113" spans="1:14" s="156" customFormat="1" x14ac:dyDescent="0.25">
      <c r="A113" s="156" t="s">
        <v>544</v>
      </c>
      <c r="B113" s="156" t="s">
        <v>112</v>
      </c>
      <c r="C113" s="156" t="s">
        <v>113</v>
      </c>
      <c r="D113" s="156" t="s">
        <v>543</v>
      </c>
      <c r="E113" s="179">
        <v>61518000</v>
      </c>
      <c r="F113" s="179">
        <v>61518000</v>
      </c>
      <c r="G113" s="179">
        <v>61518000</v>
      </c>
      <c r="H113" s="179">
        <v>0</v>
      </c>
      <c r="I113" s="179">
        <v>0</v>
      </c>
      <c r="J113" s="179">
        <v>0</v>
      </c>
      <c r="K113" s="179">
        <v>0</v>
      </c>
      <c r="L113" s="179">
        <v>0</v>
      </c>
      <c r="M113" s="179">
        <v>61518000</v>
      </c>
      <c r="N113" s="179">
        <v>61518000</v>
      </c>
    </row>
    <row r="114" spans="1:14" s="156" customFormat="1" x14ac:dyDescent="0.25">
      <c r="A114" s="156" t="s">
        <v>544</v>
      </c>
      <c r="B114" s="156" t="s">
        <v>114</v>
      </c>
      <c r="C114" s="156" t="s">
        <v>115</v>
      </c>
      <c r="D114" s="156" t="s">
        <v>541</v>
      </c>
      <c r="E114" s="179">
        <v>72913000</v>
      </c>
      <c r="F114" s="179">
        <v>72913000</v>
      </c>
      <c r="G114" s="179">
        <v>72913000</v>
      </c>
      <c r="H114" s="179">
        <v>0</v>
      </c>
      <c r="I114" s="179">
        <v>49963645</v>
      </c>
      <c r="J114" s="179">
        <v>0</v>
      </c>
      <c r="K114" s="179">
        <v>22949355</v>
      </c>
      <c r="L114" s="179">
        <v>22949355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301</v>
      </c>
      <c r="C115" s="156" t="s">
        <v>597</v>
      </c>
      <c r="D115" s="156" t="s">
        <v>541</v>
      </c>
      <c r="E115" s="179">
        <v>69174000</v>
      </c>
      <c r="F115" s="179">
        <v>69174000</v>
      </c>
      <c r="G115" s="179">
        <v>69174000</v>
      </c>
      <c r="H115" s="179">
        <v>0</v>
      </c>
      <c r="I115" s="179">
        <v>47401288</v>
      </c>
      <c r="J115" s="179">
        <v>0</v>
      </c>
      <c r="K115" s="179">
        <v>21772712</v>
      </c>
      <c r="L115" s="179">
        <v>21772712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302</v>
      </c>
      <c r="C116" s="156" t="s">
        <v>583</v>
      </c>
      <c r="D116" s="156" t="s">
        <v>541</v>
      </c>
      <c r="E116" s="179">
        <v>3739000</v>
      </c>
      <c r="F116" s="179">
        <v>3739000</v>
      </c>
      <c r="G116" s="179">
        <v>3739000</v>
      </c>
      <c r="H116" s="179">
        <v>0</v>
      </c>
      <c r="I116" s="179">
        <v>2562357</v>
      </c>
      <c r="J116" s="179">
        <v>0</v>
      </c>
      <c r="K116" s="179">
        <v>1176643</v>
      </c>
      <c r="L116" s="179">
        <v>1176643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118</v>
      </c>
      <c r="C117" s="156" t="s">
        <v>119</v>
      </c>
      <c r="D117" s="156" t="s">
        <v>541</v>
      </c>
      <c r="E117" s="179">
        <v>71642000</v>
      </c>
      <c r="F117" s="179">
        <v>71642000</v>
      </c>
      <c r="G117" s="179">
        <v>71642000</v>
      </c>
      <c r="H117" s="179">
        <v>0</v>
      </c>
      <c r="I117" s="179">
        <v>49095889</v>
      </c>
      <c r="J117" s="179">
        <v>0</v>
      </c>
      <c r="K117" s="179">
        <v>22546111</v>
      </c>
      <c r="L117" s="179">
        <v>22546111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303</v>
      </c>
      <c r="C118" s="156" t="s">
        <v>598</v>
      </c>
      <c r="D118" s="156" t="s">
        <v>541</v>
      </c>
      <c r="E118" s="179">
        <v>37990000</v>
      </c>
      <c r="F118" s="179">
        <v>37990000</v>
      </c>
      <c r="G118" s="179">
        <v>37990000</v>
      </c>
      <c r="H118" s="179">
        <v>0</v>
      </c>
      <c r="I118" s="179">
        <v>26033645</v>
      </c>
      <c r="J118" s="179">
        <v>0</v>
      </c>
      <c r="K118" s="179">
        <v>11956355</v>
      </c>
      <c r="L118" s="179">
        <v>11956355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304</v>
      </c>
      <c r="C119" s="156" t="s">
        <v>599</v>
      </c>
      <c r="D119" s="156" t="s">
        <v>541</v>
      </c>
      <c r="E119" s="179">
        <v>11217000</v>
      </c>
      <c r="F119" s="179">
        <v>11217000</v>
      </c>
      <c r="G119" s="179">
        <v>11217000</v>
      </c>
      <c r="H119" s="179">
        <v>0</v>
      </c>
      <c r="I119" s="179">
        <v>7687081</v>
      </c>
      <c r="J119" s="179">
        <v>0</v>
      </c>
      <c r="K119" s="179">
        <v>3529919</v>
      </c>
      <c r="L119" s="179">
        <v>3529919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305</v>
      </c>
      <c r="C120" s="156" t="s">
        <v>600</v>
      </c>
      <c r="D120" s="156" t="s">
        <v>541</v>
      </c>
      <c r="E120" s="179">
        <v>22435000</v>
      </c>
      <c r="F120" s="179">
        <v>22435000</v>
      </c>
      <c r="G120" s="179">
        <v>22435000</v>
      </c>
      <c r="H120" s="179">
        <v>0</v>
      </c>
      <c r="I120" s="179">
        <v>15375163</v>
      </c>
      <c r="J120" s="179">
        <v>0</v>
      </c>
      <c r="K120" s="179">
        <v>7059837</v>
      </c>
      <c r="L120" s="179">
        <v>7059837</v>
      </c>
      <c r="M120" s="179">
        <v>0</v>
      </c>
      <c r="N120" s="179">
        <v>0</v>
      </c>
    </row>
    <row r="121" spans="1:14" s="156" customFormat="1" x14ac:dyDescent="0.25">
      <c r="A121" s="156" t="s">
        <v>544</v>
      </c>
      <c r="B121" s="156" t="s">
        <v>123</v>
      </c>
      <c r="C121" s="156" t="s">
        <v>124</v>
      </c>
      <c r="D121" s="156" t="s">
        <v>541</v>
      </c>
      <c r="E121" s="179">
        <v>155922650</v>
      </c>
      <c r="F121" s="179">
        <v>155922650</v>
      </c>
      <c r="G121" s="179">
        <v>73298161.849999994</v>
      </c>
      <c r="H121" s="179">
        <v>0</v>
      </c>
      <c r="I121" s="179">
        <v>41044323.469999999</v>
      </c>
      <c r="J121" s="179">
        <v>0</v>
      </c>
      <c r="K121" s="179">
        <v>28738313.039999999</v>
      </c>
      <c r="L121" s="179">
        <v>22653102.199999999</v>
      </c>
      <c r="M121" s="179">
        <v>86140013.489999995</v>
      </c>
      <c r="N121" s="179">
        <v>3515525.34</v>
      </c>
    </row>
    <row r="122" spans="1:14" s="156" customFormat="1" x14ac:dyDescent="0.25">
      <c r="A122" s="156" t="s">
        <v>544</v>
      </c>
      <c r="B122" s="156" t="s">
        <v>125</v>
      </c>
      <c r="C122" s="156" t="s">
        <v>126</v>
      </c>
      <c r="D122" s="156" t="s">
        <v>541</v>
      </c>
      <c r="E122" s="179">
        <v>78966646</v>
      </c>
      <c r="F122" s="179">
        <v>78966646</v>
      </c>
      <c r="G122" s="179">
        <v>39440909</v>
      </c>
      <c r="H122" s="179">
        <v>0</v>
      </c>
      <c r="I122" s="179">
        <v>19773936.82</v>
      </c>
      <c r="J122" s="179">
        <v>0</v>
      </c>
      <c r="K122" s="179">
        <v>19659302.16</v>
      </c>
      <c r="L122" s="179">
        <v>13895666.32</v>
      </c>
      <c r="M122" s="179">
        <v>39533407.020000003</v>
      </c>
      <c r="N122" s="179">
        <v>7670.02</v>
      </c>
    </row>
    <row r="123" spans="1:14" s="156" customFormat="1" x14ac:dyDescent="0.25">
      <c r="A123" s="156" t="s">
        <v>544</v>
      </c>
      <c r="B123" s="156" t="s">
        <v>306</v>
      </c>
      <c r="C123" s="156" t="s">
        <v>307</v>
      </c>
      <c r="D123" s="156" t="s">
        <v>541</v>
      </c>
      <c r="E123" s="179">
        <v>67899341</v>
      </c>
      <c r="F123" s="179">
        <v>67899341</v>
      </c>
      <c r="G123" s="179">
        <v>32974082</v>
      </c>
      <c r="H123" s="179">
        <v>0</v>
      </c>
      <c r="I123" s="179">
        <v>15798858.4</v>
      </c>
      <c r="J123" s="179">
        <v>0</v>
      </c>
      <c r="K123" s="179">
        <v>17175223.600000001</v>
      </c>
      <c r="L123" s="179">
        <v>11496568.68</v>
      </c>
      <c r="M123" s="179">
        <v>34925259</v>
      </c>
      <c r="N123" s="179">
        <v>0</v>
      </c>
    </row>
    <row r="124" spans="1:14" s="156" customFormat="1" x14ac:dyDescent="0.25">
      <c r="A124" s="156" t="s">
        <v>544</v>
      </c>
      <c r="B124" s="156" t="s">
        <v>127</v>
      </c>
      <c r="C124" s="156" t="s">
        <v>128</v>
      </c>
      <c r="D124" s="156" t="s">
        <v>541</v>
      </c>
      <c r="E124" s="179">
        <v>11067305</v>
      </c>
      <c r="F124" s="179">
        <v>11067305</v>
      </c>
      <c r="G124" s="179">
        <v>6466827</v>
      </c>
      <c r="H124" s="179">
        <v>0</v>
      </c>
      <c r="I124" s="179">
        <v>3975078.42</v>
      </c>
      <c r="J124" s="179">
        <v>0</v>
      </c>
      <c r="K124" s="179">
        <v>2484078.56</v>
      </c>
      <c r="L124" s="179">
        <v>2399097.64</v>
      </c>
      <c r="M124" s="179">
        <v>4608148.0199999996</v>
      </c>
      <c r="N124" s="179">
        <v>7670.02</v>
      </c>
    </row>
    <row r="125" spans="1:14" s="156" customFormat="1" x14ac:dyDescent="0.25">
      <c r="A125" s="156" t="s">
        <v>544</v>
      </c>
      <c r="B125" s="156" t="s">
        <v>131</v>
      </c>
      <c r="C125" s="156" t="s">
        <v>132</v>
      </c>
      <c r="D125" s="156" t="s">
        <v>541</v>
      </c>
      <c r="E125" s="179">
        <v>14518657</v>
      </c>
      <c r="F125" s="179">
        <v>14482767</v>
      </c>
      <c r="G125" s="179">
        <v>8423775</v>
      </c>
      <c r="H125" s="179">
        <v>0</v>
      </c>
      <c r="I125" s="179">
        <v>3826554.65</v>
      </c>
      <c r="J125" s="179">
        <v>0</v>
      </c>
      <c r="K125" s="179">
        <v>4572162.88</v>
      </c>
      <c r="L125" s="179">
        <v>4330887.88</v>
      </c>
      <c r="M125" s="179">
        <v>6084049.4699999997</v>
      </c>
      <c r="N125" s="179">
        <v>25057.47</v>
      </c>
    </row>
    <row r="126" spans="1:14" s="156" customFormat="1" x14ac:dyDescent="0.25">
      <c r="A126" s="156" t="s">
        <v>544</v>
      </c>
      <c r="B126" s="156" t="s">
        <v>133</v>
      </c>
      <c r="C126" s="156" t="s">
        <v>134</v>
      </c>
      <c r="D126" s="156" t="s">
        <v>541</v>
      </c>
      <c r="E126" s="179">
        <v>1280000</v>
      </c>
      <c r="F126" s="179">
        <v>1244110</v>
      </c>
      <c r="G126" s="179">
        <v>634110</v>
      </c>
      <c r="H126" s="179">
        <v>0</v>
      </c>
      <c r="I126" s="179">
        <v>373284</v>
      </c>
      <c r="J126" s="179">
        <v>0</v>
      </c>
      <c r="K126" s="179">
        <v>236296</v>
      </c>
      <c r="L126" s="179">
        <v>236296</v>
      </c>
      <c r="M126" s="179">
        <v>634530</v>
      </c>
      <c r="N126" s="179">
        <v>24530</v>
      </c>
    </row>
    <row r="127" spans="1:14" s="156" customFormat="1" x14ac:dyDescent="0.25">
      <c r="A127" s="156" t="s">
        <v>544</v>
      </c>
      <c r="B127" s="156" t="s">
        <v>135</v>
      </c>
      <c r="C127" s="156" t="s">
        <v>136</v>
      </c>
      <c r="D127" s="156" t="s">
        <v>541</v>
      </c>
      <c r="E127" s="179">
        <v>3685715</v>
      </c>
      <c r="F127" s="179">
        <v>3685715</v>
      </c>
      <c r="G127" s="179">
        <v>1671429</v>
      </c>
      <c r="H127" s="179">
        <v>0</v>
      </c>
      <c r="I127" s="179">
        <v>711010</v>
      </c>
      <c r="J127" s="179">
        <v>0</v>
      </c>
      <c r="K127" s="179">
        <v>960319</v>
      </c>
      <c r="L127" s="179">
        <v>719044</v>
      </c>
      <c r="M127" s="179">
        <v>2014386</v>
      </c>
      <c r="N127" s="179">
        <v>100</v>
      </c>
    </row>
    <row r="128" spans="1:14" s="156" customFormat="1" x14ac:dyDescent="0.25">
      <c r="A128" s="156" t="s">
        <v>544</v>
      </c>
      <c r="B128" s="156" t="s">
        <v>139</v>
      </c>
      <c r="C128" s="156" t="s">
        <v>140</v>
      </c>
      <c r="D128" s="156" t="s">
        <v>541</v>
      </c>
      <c r="E128" s="179">
        <v>9552942</v>
      </c>
      <c r="F128" s="179">
        <v>9552942</v>
      </c>
      <c r="G128" s="179">
        <v>6118236</v>
      </c>
      <c r="H128" s="179">
        <v>0</v>
      </c>
      <c r="I128" s="179">
        <v>2742260.65</v>
      </c>
      <c r="J128" s="179">
        <v>0</v>
      </c>
      <c r="K128" s="179">
        <v>3375547.88</v>
      </c>
      <c r="L128" s="179">
        <v>3375547.88</v>
      </c>
      <c r="M128" s="179">
        <v>3435133.47</v>
      </c>
      <c r="N128" s="179">
        <v>427.47</v>
      </c>
    </row>
    <row r="129" spans="1:14" s="156" customFormat="1" x14ac:dyDescent="0.25">
      <c r="A129" s="156" t="s">
        <v>544</v>
      </c>
      <c r="B129" s="156" t="s">
        <v>143</v>
      </c>
      <c r="C129" s="156" t="s">
        <v>144</v>
      </c>
      <c r="D129" s="156" t="s">
        <v>541</v>
      </c>
      <c r="E129" s="179">
        <v>16719000</v>
      </c>
      <c r="F129" s="179">
        <v>16619000</v>
      </c>
      <c r="G129" s="179">
        <v>3100000</v>
      </c>
      <c r="H129" s="179">
        <v>0</v>
      </c>
      <c r="I129" s="179">
        <v>2100000</v>
      </c>
      <c r="J129" s="179">
        <v>0</v>
      </c>
      <c r="K129" s="179">
        <v>0</v>
      </c>
      <c r="L129" s="179">
        <v>0</v>
      </c>
      <c r="M129" s="179">
        <v>14519000</v>
      </c>
      <c r="N129" s="179">
        <v>1000000</v>
      </c>
    </row>
    <row r="130" spans="1:14" s="156" customFormat="1" x14ac:dyDescent="0.25">
      <c r="A130" s="156" t="s">
        <v>544</v>
      </c>
      <c r="B130" s="156" t="s">
        <v>145</v>
      </c>
      <c r="C130" s="156" t="s">
        <v>146</v>
      </c>
      <c r="D130" s="156" t="s">
        <v>541</v>
      </c>
      <c r="E130" s="179">
        <v>719000</v>
      </c>
      <c r="F130" s="179">
        <v>619000</v>
      </c>
      <c r="G130" s="179">
        <v>80000</v>
      </c>
      <c r="H130" s="179">
        <v>0</v>
      </c>
      <c r="I130" s="179">
        <v>80000</v>
      </c>
      <c r="J130" s="179">
        <v>0</v>
      </c>
      <c r="K130" s="179">
        <v>0</v>
      </c>
      <c r="L130" s="179">
        <v>0</v>
      </c>
      <c r="M130" s="179">
        <v>539000</v>
      </c>
      <c r="N130" s="179">
        <v>0</v>
      </c>
    </row>
    <row r="131" spans="1:14" s="156" customFormat="1" x14ac:dyDescent="0.25">
      <c r="A131" s="156" t="s">
        <v>544</v>
      </c>
      <c r="B131" s="156" t="s">
        <v>147</v>
      </c>
      <c r="C131" s="156" t="s">
        <v>148</v>
      </c>
      <c r="D131" s="156" t="s">
        <v>541</v>
      </c>
      <c r="E131" s="179">
        <v>16000000</v>
      </c>
      <c r="F131" s="179">
        <v>16000000</v>
      </c>
      <c r="G131" s="179">
        <v>3020000</v>
      </c>
      <c r="H131" s="179">
        <v>0</v>
      </c>
      <c r="I131" s="179">
        <v>2020000</v>
      </c>
      <c r="J131" s="179">
        <v>0</v>
      </c>
      <c r="K131" s="179">
        <v>0</v>
      </c>
      <c r="L131" s="179">
        <v>0</v>
      </c>
      <c r="M131" s="179">
        <v>13980000</v>
      </c>
      <c r="N131" s="179">
        <v>1000000</v>
      </c>
    </row>
    <row r="132" spans="1:14" s="156" customFormat="1" x14ac:dyDescent="0.25">
      <c r="A132" s="156" t="s">
        <v>544</v>
      </c>
      <c r="B132" s="156" t="s">
        <v>151</v>
      </c>
      <c r="C132" s="156" t="s">
        <v>152</v>
      </c>
      <c r="D132" s="156" t="s">
        <v>541</v>
      </c>
      <c r="E132" s="179">
        <v>2200000</v>
      </c>
      <c r="F132" s="179">
        <v>2200000</v>
      </c>
      <c r="G132" s="179">
        <v>1417240</v>
      </c>
      <c r="H132" s="179">
        <v>0</v>
      </c>
      <c r="I132" s="179">
        <v>299900</v>
      </c>
      <c r="J132" s="179">
        <v>0</v>
      </c>
      <c r="K132" s="179">
        <v>1117240</v>
      </c>
      <c r="L132" s="179">
        <v>1117240</v>
      </c>
      <c r="M132" s="179">
        <v>782860</v>
      </c>
      <c r="N132" s="179">
        <v>100</v>
      </c>
    </row>
    <row r="133" spans="1:14" s="156" customFormat="1" x14ac:dyDescent="0.25">
      <c r="A133" s="156" t="s">
        <v>544</v>
      </c>
      <c r="B133" s="156" t="s">
        <v>154</v>
      </c>
      <c r="C133" s="156" t="s">
        <v>155</v>
      </c>
      <c r="D133" s="156" t="s">
        <v>541</v>
      </c>
      <c r="E133" s="179">
        <v>1200000</v>
      </c>
      <c r="F133" s="179">
        <v>1200000</v>
      </c>
      <c r="G133" s="179">
        <v>1017240</v>
      </c>
      <c r="H133" s="179">
        <v>0</v>
      </c>
      <c r="I133" s="179">
        <v>0</v>
      </c>
      <c r="J133" s="179">
        <v>0</v>
      </c>
      <c r="K133" s="179">
        <v>1017240</v>
      </c>
      <c r="L133" s="179">
        <v>1017240</v>
      </c>
      <c r="M133" s="179">
        <v>182760</v>
      </c>
      <c r="N133" s="179">
        <v>0</v>
      </c>
    </row>
    <row r="134" spans="1:14" s="156" customFormat="1" x14ac:dyDescent="0.25">
      <c r="A134" s="156" t="s">
        <v>544</v>
      </c>
      <c r="B134" s="156" t="s">
        <v>156</v>
      </c>
      <c r="C134" s="156" t="s">
        <v>157</v>
      </c>
      <c r="D134" s="156" t="s">
        <v>541</v>
      </c>
      <c r="E134" s="179">
        <v>1000000</v>
      </c>
      <c r="F134" s="179">
        <v>1000000</v>
      </c>
      <c r="G134" s="179">
        <v>400000</v>
      </c>
      <c r="H134" s="179">
        <v>0</v>
      </c>
      <c r="I134" s="179">
        <v>299900</v>
      </c>
      <c r="J134" s="179">
        <v>0</v>
      </c>
      <c r="K134" s="179">
        <v>100000</v>
      </c>
      <c r="L134" s="179">
        <v>100000</v>
      </c>
      <c r="M134" s="179">
        <v>600100</v>
      </c>
      <c r="N134" s="179">
        <v>100</v>
      </c>
    </row>
    <row r="135" spans="1:14" s="156" customFormat="1" x14ac:dyDescent="0.25">
      <c r="A135" s="156" t="s">
        <v>544</v>
      </c>
      <c r="B135" s="156" t="s">
        <v>158</v>
      </c>
      <c r="C135" s="156" t="s">
        <v>159</v>
      </c>
      <c r="D135" s="156" t="s">
        <v>541</v>
      </c>
      <c r="E135" s="179">
        <v>6813730</v>
      </c>
      <c r="F135" s="179">
        <v>7898620</v>
      </c>
      <c r="G135" s="179">
        <v>6775823</v>
      </c>
      <c r="H135" s="179">
        <v>0</v>
      </c>
      <c r="I135" s="179">
        <v>3782180</v>
      </c>
      <c r="J135" s="179">
        <v>0</v>
      </c>
      <c r="K135" s="179">
        <v>1942860</v>
      </c>
      <c r="L135" s="179">
        <v>1899760</v>
      </c>
      <c r="M135" s="179">
        <v>2173580</v>
      </c>
      <c r="N135" s="179">
        <v>1050783</v>
      </c>
    </row>
    <row r="136" spans="1:14" s="156" customFormat="1" x14ac:dyDescent="0.25">
      <c r="A136" s="156" t="s">
        <v>544</v>
      </c>
      <c r="B136" s="156" t="s">
        <v>160</v>
      </c>
      <c r="C136" s="156" t="s">
        <v>161</v>
      </c>
      <c r="D136" s="156" t="s">
        <v>541</v>
      </c>
      <c r="E136" s="179">
        <v>250000</v>
      </c>
      <c r="F136" s="179">
        <v>484890</v>
      </c>
      <c r="G136" s="179">
        <v>484890</v>
      </c>
      <c r="H136" s="179">
        <v>0</v>
      </c>
      <c r="I136" s="179">
        <v>254880</v>
      </c>
      <c r="J136" s="179">
        <v>0</v>
      </c>
      <c r="K136" s="179">
        <v>31010</v>
      </c>
      <c r="L136" s="179">
        <v>31010</v>
      </c>
      <c r="M136" s="179">
        <v>199000</v>
      </c>
      <c r="N136" s="179">
        <v>199000</v>
      </c>
    </row>
    <row r="137" spans="1:14" s="156" customFormat="1" x14ac:dyDescent="0.25">
      <c r="A137" s="156" t="s">
        <v>544</v>
      </c>
      <c r="B137" s="156" t="s">
        <v>162</v>
      </c>
      <c r="C137" s="156" t="s">
        <v>163</v>
      </c>
      <c r="D137" s="156" t="s">
        <v>541</v>
      </c>
      <c r="E137" s="179">
        <v>6563730</v>
      </c>
      <c r="F137" s="179">
        <v>7413730</v>
      </c>
      <c r="G137" s="179">
        <v>6290933</v>
      </c>
      <c r="H137" s="179">
        <v>0</v>
      </c>
      <c r="I137" s="179">
        <v>3527300</v>
      </c>
      <c r="J137" s="179">
        <v>0</v>
      </c>
      <c r="K137" s="179">
        <v>1911850</v>
      </c>
      <c r="L137" s="179">
        <v>1868750</v>
      </c>
      <c r="M137" s="179">
        <v>1974580</v>
      </c>
      <c r="N137" s="179">
        <v>851783</v>
      </c>
    </row>
    <row r="138" spans="1:14" s="156" customFormat="1" x14ac:dyDescent="0.25">
      <c r="A138" s="156" t="s">
        <v>544</v>
      </c>
      <c r="B138" s="156" t="s">
        <v>168</v>
      </c>
      <c r="C138" s="156" t="s">
        <v>169</v>
      </c>
      <c r="D138" s="156" t="s">
        <v>541</v>
      </c>
      <c r="E138" s="179">
        <v>4277392</v>
      </c>
      <c r="F138" s="179">
        <v>4277392</v>
      </c>
      <c r="G138" s="179">
        <v>1999348</v>
      </c>
      <c r="H138" s="179">
        <v>0</v>
      </c>
      <c r="I138" s="179">
        <v>1100452</v>
      </c>
      <c r="J138" s="179">
        <v>0</v>
      </c>
      <c r="K138" s="179">
        <v>889548</v>
      </c>
      <c r="L138" s="179">
        <v>889548</v>
      </c>
      <c r="M138" s="179">
        <v>2287392</v>
      </c>
      <c r="N138" s="179">
        <v>9348</v>
      </c>
    </row>
    <row r="139" spans="1:14" s="156" customFormat="1" x14ac:dyDescent="0.25">
      <c r="A139" s="156" t="s">
        <v>544</v>
      </c>
      <c r="B139" s="156" t="s">
        <v>170</v>
      </c>
      <c r="C139" s="156" t="s">
        <v>171</v>
      </c>
      <c r="D139" s="156" t="s">
        <v>541</v>
      </c>
      <c r="E139" s="179">
        <v>4277392</v>
      </c>
      <c r="F139" s="179">
        <v>4277392</v>
      </c>
      <c r="G139" s="179">
        <v>1999348</v>
      </c>
      <c r="H139" s="179">
        <v>0</v>
      </c>
      <c r="I139" s="179">
        <v>1100452</v>
      </c>
      <c r="J139" s="179">
        <v>0</v>
      </c>
      <c r="K139" s="179">
        <v>889548</v>
      </c>
      <c r="L139" s="179">
        <v>889548</v>
      </c>
      <c r="M139" s="179">
        <v>2287392</v>
      </c>
      <c r="N139" s="179">
        <v>9348</v>
      </c>
    </row>
    <row r="140" spans="1:14" s="156" customFormat="1" x14ac:dyDescent="0.25">
      <c r="A140" s="156" t="s">
        <v>544</v>
      </c>
      <c r="B140" s="156" t="s">
        <v>172</v>
      </c>
      <c r="C140" s="156" t="s">
        <v>173</v>
      </c>
      <c r="D140" s="156" t="s">
        <v>541</v>
      </c>
      <c r="E140" s="179">
        <v>12267225</v>
      </c>
      <c r="F140" s="179">
        <v>12667225</v>
      </c>
      <c r="G140" s="179">
        <v>6906807</v>
      </c>
      <c r="H140" s="179">
        <v>0</v>
      </c>
      <c r="I140" s="179">
        <v>4937800</v>
      </c>
      <c r="J140" s="179">
        <v>0</v>
      </c>
      <c r="K140" s="179">
        <v>557200</v>
      </c>
      <c r="L140" s="179">
        <v>520000</v>
      </c>
      <c r="M140" s="179">
        <v>7172225</v>
      </c>
      <c r="N140" s="179">
        <v>1411807</v>
      </c>
    </row>
    <row r="141" spans="1:14" s="156" customFormat="1" x14ac:dyDescent="0.25">
      <c r="A141" s="156" t="s">
        <v>544</v>
      </c>
      <c r="B141" s="156" t="s">
        <v>309</v>
      </c>
      <c r="C141" s="156" t="s">
        <v>310</v>
      </c>
      <c r="D141" s="156" t="s">
        <v>541</v>
      </c>
      <c r="E141" s="179">
        <v>12267225</v>
      </c>
      <c r="F141" s="179">
        <v>12667225</v>
      </c>
      <c r="G141" s="179">
        <v>6906807</v>
      </c>
      <c r="H141" s="179">
        <v>0</v>
      </c>
      <c r="I141" s="179">
        <v>4937800</v>
      </c>
      <c r="J141" s="179">
        <v>0</v>
      </c>
      <c r="K141" s="179">
        <v>557200</v>
      </c>
      <c r="L141" s="179">
        <v>520000</v>
      </c>
      <c r="M141" s="179">
        <v>7172225</v>
      </c>
      <c r="N141" s="179">
        <v>1411807</v>
      </c>
    </row>
    <row r="142" spans="1:14" s="156" customFormat="1" x14ac:dyDescent="0.25">
      <c r="A142" s="156" t="s">
        <v>544</v>
      </c>
      <c r="B142" s="156" t="s">
        <v>178</v>
      </c>
      <c r="C142" s="156" t="s">
        <v>179</v>
      </c>
      <c r="D142" s="156" t="s">
        <v>541</v>
      </c>
      <c r="E142" s="179">
        <v>17894000</v>
      </c>
      <c r="F142" s="179">
        <v>17012000</v>
      </c>
      <c r="G142" s="179">
        <v>5174260</v>
      </c>
      <c r="H142" s="179">
        <v>0</v>
      </c>
      <c r="I142" s="179">
        <v>5173500</v>
      </c>
      <c r="J142" s="179">
        <v>0</v>
      </c>
      <c r="K142" s="179">
        <v>0</v>
      </c>
      <c r="L142" s="179">
        <v>0</v>
      </c>
      <c r="M142" s="179">
        <v>11838500</v>
      </c>
      <c r="N142" s="179">
        <v>760</v>
      </c>
    </row>
    <row r="143" spans="1:14" s="156" customFormat="1" x14ac:dyDescent="0.25">
      <c r="A143" s="156" t="s">
        <v>544</v>
      </c>
      <c r="B143" s="156" t="s">
        <v>182</v>
      </c>
      <c r="C143" s="156" t="s">
        <v>183</v>
      </c>
      <c r="D143" s="156" t="s">
        <v>541</v>
      </c>
      <c r="E143" s="179">
        <v>7000000</v>
      </c>
      <c r="F143" s="179">
        <v>7000000</v>
      </c>
      <c r="G143" s="179">
        <v>2550000</v>
      </c>
      <c r="H143" s="179">
        <v>0</v>
      </c>
      <c r="I143" s="179">
        <v>2550000</v>
      </c>
      <c r="J143" s="179">
        <v>0</v>
      </c>
      <c r="K143" s="179">
        <v>0</v>
      </c>
      <c r="L143" s="179">
        <v>0</v>
      </c>
      <c r="M143" s="179">
        <v>4450000</v>
      </c>
      <c r="N143" s="179">
        <v>0</v>
      </c>
    </row>
    <row r="144" spans="1:14" s="156" customFormat="1" x14ac:dyDescent="0.25">
      <c r="A144" s="156" t="s">
        <v>544</v>
      </c>
      <c r="B144" s="156" t="s">
        <v>186</v>
      </c>
      <c r="C144" s="156" t="s">
        <v>187</v>
      </c>
      <c r="D144" s="156" t="s">
        <v>541</v>
      </c>
      <c r="E144" s="179">
        <v>3000000</v>
      </c>
      <c r="F144" s="179">
        <v>2968000</v>
      </c>
      <c r="G144" s="179">
        <v>760</v>
      </c>
      <c r="H144" s="179">
        <v>0</v>
      </c>
      <c r="I144" s="179">
        <v>0</v>
      </c>
      <c r="J144" s="179">
        <v>0</v>
      </c>
      <c r="K144" s="179">
        <v>0</v>
      </c>
      <c r="L144" s="179">
        <v>0</v>
      </c>
      <c r="M144" s="179">
        <v>2968000</v>
      </c>
      <c r="N144" s="179">
        <v>760</v>
      </c>
    </row>
    <row r="145" spans="1:14" s="156" customFormat="1" x14ac:dyDescent="0.25">
      <c r="A145" s="156" t="s">
        <v>544</v>
      </c>
      <c r="B145" s="156" t="s">
        <v>188</v>
      </c>
      <c r="C145" s="156" t="s">
        <v>189</v>
      </c>
      <c r="D145" s="156" t="s">
        <v>541</v>
      </c>
      <c r="E145" s="179">
        <v>4494000</v>
      </c>
      <c r="F145" s="179">
        <v>4494000</v>
      </c>
      <c r="G145" s="179">
        <v>2623500</v>
      </c>
      <c r="H145" s="179">
        <v>0</v>
      </c>
      <c r="I145" s="179">
        <v>2623500</v>
      </c>
      <c r="J145" s="179">
        <v>0</v>
      </c>
      <c r="K145" s="179">
        <v>0</v>
      </c>
      <c r="L145" s="179">
        <v>0</v>
      </c>
      <c r="M145" s="179">
        <v>1870500</v>
      </c>
      <c r="N145" s="179">
        <v>0</v>
      </c>
    </row>
    <row r="146" spans="1:14" s="156" customFormat="1" x14ac:dyDescent="0.25">
      <c r="A146" s="156" t="s">
        <v>544</v>
      </c>
      <c r="B146" s="156" t="s">
        <v>190</v>
      </c>
      <c r="C146" s="156" t="s">
        <v>191</v>
      </c>
      <c r="D146" s="156" t="s">
        <v>541</v>
      </c>
      <c r="E146" s="179">
        <v>3400000</v>
      </c>
      <c r="F146" s="179">
        <v>2550000</v>
      </c>
      <c r="G146" s="179">
        <v>0</v>
      </c>
      <c r="H146" s="179">
        <v>0</v>
      </c>
      <c r="I146" s="179">
        <v>0</v>
      </c>
      <c r="J146" s="179">
        <v>0</v>
      </c>
      <c r="K146" s="179">
        <v>0</v>
      </c>
      <c r="L146" s="179">
        <v>0</v>
      </c>
      <c r="M146" s="179">
        <v>2550000</v>
      </c>
      <c r="N146" s="179">
        <v>0</v>
      </c>
    </row>
    <row r="147" spans="1:14" s="156" customFormat="1" x14ac:dyDescent="0.25">
      <c r="A147" s="156" t="s">
        <v>544</v>
      </c>
      <c r="B147" s="156" t="s">
        <v>192</v>
      </c>
      <c r="C147" s="156" t="s">
        <v>193</v>
      </c>
      <c r="D147" s="156" t="s">
        <v>541</v>
      </c>
      <c r="E147" s="179">
        <v>466000</v>
      </c>
      <c r="F147" s="179">
        <v>399000</v>
      </c>
      <c r="G147" s="179">
        <v>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349000</v>
      </c>
      <c r="N147" s="179">
        <v>0</v>
      </c>
    </row>
    <row r="148" spans="1:14" s="156" customFormat="1" x14ac:dyDescent="0.25">
      <c r="A148" s="156" t="s">
        <v>544</v>
      </c>
      <c r="B148" s="156" t="s">
        <v>194</v>
      </c>
      <c r="C148" s="156" t="s">
        <v>195</v>
      </c>
      <c r="D148" s="156" t="s">
        <v>541</v>
      </c>
      <c r="E148" s="179">
        <v>466000</v>
      </c>
      <c r="F148" s="179">
        <v>399000</v>
      </c>
      <c r="G148" s="179">
        <v>50000</v>
      </c>
      <c r="H148" s="179">
        <v>0</v>
      </c>
      <c r="I148" s="179">
        <v>50000</v>
      </c>
      <c r="J148" s="179">
        <v>0</v>
      </c>
      <c r="K148" s="179">
        <v>0</v>
      </c>
      <c r="L148" s="179">
        <v>0</v>
      </c>
      <c r="M148" s="179">
        <v>349000</v>
      </c>
      <c r="N148" s="179">
        <v>0</v>
      </c>
    </row>
    <row r="149" spans="1:14" s="156" customFormat="1" x14ac:dyDescent="0.25">
      <c r="A149" s="156" t="s">
        <v>544</v>
      </c>
      <c r="B149" s="156" t="s">
        <v>196</v>
      </c>
      <c r="C149" s="156" t="s">
        <v>197</v>
      </c>
      <c r="D149" s="156" t="s">
        <v>541</v>
      </c>
      <c r="E149" s="179">
        <v>1800000</v>
      </c>
      <c r="F149" s="179">
        <v>1400000</v>
      </c>
      <c r="G149" s="179">
        <v>9999.85</v>
      </c>
      <c r="H149" s="179">
        <v>0</v>
      </c>
      <c r="I149" s="179">
        <v>0</v>
      </c>
      <c r="J149" s="179">
        <v>0</v>
      </c>
      <c r="K149" s="179">
        <v>0</v>
      </c>
      <c r="L149" s="179">
        <v>0</v>
      </c>
      <c r="M149" s="179">
        <v>1400000</v>
      </c>
      <c r="N149" s="179">
        <v>9999.85</v>
      </c>
    </row>
    <row r="150" spans="1:14" s="156" customFormat="1" x14ac:dyDescent="0.25">
      <c r="A150" s="156" t="s">
        <v>544</v>
      </c>
      <c r="B150" s="156" t="s">
        <v>198</v>
      </c>
      <c r="C150" s="156" t="s">
        <v>199</v>
      </c>
      <c r="D150" s="156" t="s">
        <v>541</v>
      </c>
      <c r="E150" s="179">
        <v>1800000</v>
      </c>
      <c r="F150" s="179">
        <v>1400000</v>
      </c>
      <c r="G150" s="179">
        <v>9999.85</v>
      </c>
      <c r="H150" s="179">
        <v>0</v>
      </c>
      <c r="I150" s="179">
        <v>0</v>
      </c>
      <c r="J150" s="179">
        <v>0</v>
      </c>
      <c r="K150" s="179">
        <v>0</v>
      </c>
      <c r="L150" s="179">
        <v>0</v>
      </c>
      <c r="M150" s="179">
        <v>1400000</v>
      </c>
      <c r="N150" s="179">
        <v>9999.85</v>
      </c>
    </row>
    <row r="151" spans="1:14" s="156" customFormat="1" x14ac:dyDescent="0.25">
      <c r="A151" s="156" t="s">
        <v>544</v>
      </c>
      <c r="B151" s="156" t="s">
        <v>200</v>
      </c>
      <c r="C151" s="156" t="s">
        <v>201</v>
      </c>
      <c r="D151" s="156" t="s">
        <v>541</v>
      </c>
      <c r="E151" s="179">
        <v>57954839</v>
      </c>
      <c r="F151" s="179">
        <v>57954839</v>
      </c>
      <c r="G151" s="179">
        <v>22232582</v>
      </c>
      <c r="H151" s="179">
        <v>762142.48</v>
      </c>
      <c r="I151" s="179">
        <v>7478714.25</v>
      </c>
      <c r="J151" s="179">
        <v>831845.77</v>
      </c>
      <c r="K151" s="179">
        <v>3854913.83</v>
      </c>
      <c r="L151" s="179">
        <v>3854913.83</v>
      </c>
      <c r="M151" s="179">
        <v>45027222.670000002</v>
      </c>
      <c r="N151" s="179">
        <v>9304965.6699999999</v>
      </c>
    </row>
    <row r="152" spans="1:14" s="156" customFormat="1" x14ac:dyDescent="0.25">
      <c r="A152" s="156" t="s">
        <v>544</v>
      </c>
      <c r="B152" s="156" t="s">
        <v>202</v>
      </c>
      <c r="C152" s="156" t="s">
        <v>203</v>
      </c>
      <c r="D152" s="156" t="s">
        <v>541</v>
      </c>
      <c r="E152" s="179">
        <v>17854839</v>
      </c>
      <c r="F152" s="179">
        <v>17803839</v>
      </c>
      <c r="G152" s="179">
        <v>6178710</v>
      </c>
      <c r="H152" s="179">
        <v>0</v>
      </c>
      <c r="I152" s="179">
        <v>2946400</v>
      </c>
      <c r="J152" s="179">
        <v>0</v>
      </c>
      <c r="K152" s="179">
        <v>834415</v>
      </c>
      <c r="L152" s="179">
        <v>834415</v>
      </c>
      <c r="M152" s="179">
        <v>14023024</v>
      </c>
      <c r="N152" s="179">
        <v>2397895</v>
      </c>
    </row>
    <row r="153" spans="1:14" s="156" customFormat="1" x14ac:dyDescent="0.25">
      <c r="A153" s="156" t="s">
        <v>544</v>
      </c>
      <c r="B153" s="156" t="s">
        <v>204</v>
      </c>
      <c r="C153" s="156" t="s">
        <v>205</v>
      </c>
      <c r="D153" s="156" t="s">
        <v>541</v>
      </c>
      <c r="E153" s="179">
        <v>9354839</v>
      </c>
      <c r="F153" s="179">
        <v>9354839</v>
      </c>
      <c r="G153" s="179">
        <v>3053710</v>
      </c>
      <c r="H153" s="179">
        <v>0</v>
      </c>
      <c r="I153" s="179">
        <v>1444790</v>
      </c>
      <c r="J153" s="179">
        <v>0</v>
      </c>
      <c r="K153" s="179">
        <v>834415</v>
      </c>
      <c r="L153" s="179">
        <v>834415</v>
      </c>
      <c r="M153" s="179">
        <v>7075634</v>
      </c>
      <c r="N153" s="179">
        <v>774505</v>
      </c>
    </row>
    <row r="154" spans="1:14" s="156" customFormat="1" x14ac:dyDescent="0.25">
      <c r="A154" s="156" t="s">
        <v>544</v>
      </c>
      <c r="B154" s="156" t="s">
        <v>208</v>
      </c>
      <c r="C154" s="156" t="s">
        <v>209</v>
      </c>
      <c r="D154" s="156" t="s">
        <v>541</v>
      </c>
      <c r="E154" s="179">
        <v>8500000</v>
      </c>
      <c r="F154" s="179">
        <v>8449000</v>
      </c>
      <c r="G154" s="179">
        <v>3125000</v>
      </c>
      <c r="H154" s="179">
        <v>0</v>
      </c>
      <c r="I154" s="179">
        <v>1501610</v>
      </c>
      <c r="J154" s="179">
        <v>0</v>
      </c>
      <c r="K154" s="179">
        <v>0</v>
      </c>
      <c r="L154" s="179">
        <v>0</v>
      </c>
      <c r="M154" s="179">
        <v>6947390</v>
      </c>
      <c r="N154" s="179">
        <v>1623390</v>
      </c>
    </row>
    <row r="155" spans="1:14" s="156" customFormat="1" x14ac:dyDescent="0.25">
      <c r="A155" s="156" t="s">
        <v>544</v>
      </c>
      <c r="B155" s="156" t="s">
        <v>212</v>
      </c>
      <c r="C155" s="156" t="s">
        <v>213</v>
      </c>
      <c r="D155" s="156" t="s">
        <v>541</v>
      </c>
      <c r="E155" s="179">
        <v>2460000</v>
      </c>
      <c r="F155" s="179">
        <v>4211000</v>
      </c>
      <c r="G155" s="179">
        <v>3581000</v>
      </c>
      <c r="H155" s="179">
        <v>0</v>
      </c>
      <c r="I155" s="179">
        <v>578218.69999999995</v>
      </c>
      <c r="J155" s="179">
        <v>0</v>
      </c>
      <c r="K155" s="179">
        <v>353217</v>
      </c>
      <c r="L155" s="179">
        <v>353217</v>
      </c>
      <c r="M155" s="179">
        <v>3279564.3</v>
      </c>
      <c r="N155" s="179">
        <v>2649564.2999999998</v>
      </c>
    </row>
    <row r="156" spans="1:14" s="156" customFormat="1" x14ac:dyDescent="0.25">
      <c r="A156" s="156" t="s">
        <v>544</v>
      </c>
      <c r="B156" s="156" t="s">
        <v>214</v>
      </c>
      <c r="C156" s="156" t="s">
        <v>215</v>
      </c>
      <c r="D156" s="156" t="s">
        <v>541</v>
      </c>
      <c r="E156" s="179">
        <v>2460000</v>
      </c>
      <c r="F156" s="179">
        <v>4211000</v>
      </c>
      <c r="G156" s="179">
        <v>3581000</v>
      </c>
      <c r="H156" s="179">
        <v>0</v>
      </c>
      <c r="I156" s="179">
        <v>578218.69999999995</v>
      </c>
      <c r="J156" s="179">
        <v>0</v>
      </c>
      <c r="K156" s="179">
        <v>353217</v>
      </c>
      <c r="L156" s="179">
        <v>353217</v>
      </c>
      <c r="M156" s="179">
        <v>3279564.3</v>
      </c>
      <c r="N156" s="179">
        <v>2649564.2999999998</v>
      </c>
    </row>
    <row r="157" spans="1:14" s="156" customFormat="1" x14ac:dyDescent="0.25">
      <c r="A157" s="156" t="s">
        <v>544</v>
      </c>
      <c r="B157" s="156" t="s">
        <v>216</v>
      </c>
      <c r="C157" s="156" t="s">
        <v>217</v>
      </c>
      <c r="D157" s="156" t="s">
        <v>541</v>
      </c>
      <c r="E157" s="179">
        <v>2000000</v>
      </c>
      <c r="F157" s="179">
        <v>1950000</v>
      </c>
      <c r="G157" s="179">
        <v>802000</v>
      </c>
      <c r="H157" s="179">
        <v>0</v>
      </c>
      <c r="I157" s="179">
        <v>374132.35</v>
      </c>
      <c r="J157" s="179">
        <v>0</v>
      </c>
      <c r="K157" s="179">
        <v>373368.18</v>
      </c>
      <c r="L157" s="179">
        <v>373368.18</v>
      </c>
      <c r="M157" s="179">
        <v>1202499.47</v>
      </c>
      <c r="N157" s="179">
        <v>54499.47</v>
      </c>
    </row>
    <row r="158" spans="1:14" s="156" customFormat="1" x14ac:dyDescent="0.25">
      <c r="A158" s="156" t="s">
        <v>544</v>
      </c>
      <c r="B158" s="156" t="s">
        <v>220</v>
      </c>
      <c r="C158" s="156" t="s">
        <v>221</v>
      </c>
      <c r="D158" s="156" t="s">
        <v>541</v>
      </c>
      <c r="E158" s="179">
        <v>2000000</v>
      </c>
      <c r="F158" s="179">
        <v>1950000</v>
      </c>
      <c r="G158" s="179">
        <v>802000</v>
      </c>
      <c r="H158" s="179">
        <v>0</v>
      </c>
      <c r="I158" s="179">
        <v>374132.35</v>
      </c>
      <c r="J158" s="179">
        <v>0</v>
      </c>
      <c r="K158" s="179">
        <v>373368.18</v>
      </c>
      <c r="L158" s="179">
        <v>373368.18</v>
      </c>
      <c r="M158" s="179">
        <v>1202499.47</v>
      </c>
      <c r="N158" s="179">
        <v>54499.47</v>
      </c>
    </row>
    <row r="159" spans="1:14" s="156" customFormat="1" x14ac:dyDescent="0.25">
      <c r="A159" s="156" t="s">
        <v>544</v>
      </c>
      <c r="B159" s="156" t="s">
        <v>228</v>
      </c>
      <c r="C159" s="156" t="s">
        <v>229</v>
      </c>
      <c r="D159" s="156" t="s">
        <v>541</v>
      </c>
      <c r="E159" s="179">
        <v>6710000</v>
      </c>
      <c r="F159" s="179">
        <v>5060000</v>
      </c>
      <c r="G159" s="179">
        <v>406500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5060000</v>
      </c>
      <c r="N159" s="179">
        <v>406500</v>
      </c>
    </row>
    <row r="160" spans="1:14" s="156" customFormat="1" x14ac:dyDescent="0.25">
      <c r="A160" s="156" t="s">
        <v>544</v>
      </c>
      <c r="B160" s="156" t="s">
        <v>230</v>
      </c>
      <c r="C160" s="156" t="s">
        <v>231</v>
      </c>
      <c r="D160" s="156" t="s">
        <v>541</v>
      </c>
      <c r="E160" s="179">
        <v>3710000</v>
      </c>
      <c r="F160" s="179">
        <v>2810000</v>
      </c>
      <c r="G160" s="179">
        <v>206500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2810000</v>
      </c>
      <c r="N160" s="179">
        <v>206500</v>
      </c>
    </row>
    <row r="161" spans="1:14" s="156" customFormat="1" x14ac:dyDescent="0.25">
      <c r="A161" s="156" t="s">
        <v>544</v>
      </c>
      <c r="B161" s="156" t="s">
        <v>232</v>
      </c>
      <c r="C161" s="156" t="s">
        <v>233</v>
      </c>
      <c r="D161" s="156" t="s">
        <v>541</v>
      </c>
      <c r="E161" s="179">
        <v>3000000</v>
      </c>
      <c r="F161" s="179">
        <v>2250000</v>
      </c>
      <c r="G161" s="179">
        <v>200000</v>
      </c>
      <c r="H161" s="179">
        <v>0</v>
      </c>
      <c r="I161" s="179">
        <v>0</v>
      </c>
      <c r="J161" s="179">
        <v>0</v>
      </c>
      <c r="K161" s="179">
        <v>0</v>
      </c>
      <c r="L161" s="179">
        <v>0</v>
      </c>
      <c r="M161" s="179">
        <v>2250000</v>
      </c>
      <c r="N161" s="179">
        <v>200000</v>
      </c>
    </row>
    <row r="162" spans="1:14" s="156" customFormat="1" x14ac:dyDescent="0.25">
      <c r="A162" s="156" t="s">
        <v>544</v>
      </c>
      <c r="B162" s="156" t="s">
        <v>234</v>
      </c>
      <c r="C162" s="156" t="s">
        <v>601</v>
      </c>
      <c r="D162" s="156" t="s">
        <v>541</v>
      </c>
      <c r="E162" s="179">
        <v>28930000</v>
      </c>
      <c r="F162" s="179">
        <v>28930000</v>
      </c>
      <c r="G162" s="179">
        <v>11264372</v>
      </c>
      <c r="H162" s="179">
        <v>762142.48</v>
      </c>
      <c r="I162" s="179">
        <v>3579963.2</v>
      </c>
      <c r="J162" s="179">
        <v>831845.77</v>
      </c>
      <c r="K162" s="179">
        <v>2293913.65</v>
      </c>
      <c r="L162" s="179">
        <v>2293913.65</v>
      </c>
      <c r="M162" s="179">
        <v>21462134.899999999</v>
      </c>
      <c r="N162" s="179">
        <v>3796506.9</v>
      </c>
    </row>
    <row r="163" spans="1:14" s="156" customFormat="1" x14ac:dyDescent="0.25">
      <c r="A163" s="156" t="s">
        <v>544</v>
      </c>
      <c r="B163" s="156" t="s">
        <v>235</v>
      </c>
      <c r="C163" s="156" t="s">
        <v>236</v>
      </c>
      <c r="D163" s="156" t="s">
        <v>541</v>
      </c>
      <c r="E163" s="179">
        <v>8000000</v>
      </c>
      <c r="F163" s="179">
        <v>8000000</v>
      </c>
      <c r="G163" s="179">
        <v>3300000</v>
      </c>
      <c r="H163" s="179">
        <v>406142.48</v>
      </c>
      <c r="I163" s="179">
        <v>0</v>
      </c>
      <c r="J163" s="179">
        <v>831845.77</v>
      </c>
      <c r="K163" s="179">
        <v>759565</v>
      </c>
      <c r="L163" s="179">
        <v>759565</v>
      </c>
      <c r="M163" s="179">
        <v>6002446.75</v>
      </c>
      <c r="N163" s="179">
        <v>1302446.75</v>
      </c>
    </row>
    <row r="164" spans="1:14" s="156" customFormat="1" x14ac:dyDescent="0.25">
      <c r="A164" s="156" t="s">
        <v>544</v>
      </c>
      <c r="B164" s="156" t="s">
        <v>239</v>
      </c>
      <c r="C164" s="156" t="s">
        <v>240</v>
      </c>
      <c r="D164" s="156" t="s">
        <v>541</v>
      </c>
      <c r="E164" s="179">
        <v>8000000</v>
      </c>
      <c r="F164" s="179">
        <v>8000000</v>
      </c>
      <c r="G164" s="179">
        <v>3000000</v>
      </c>
      <c r="H164" s="179">
        <v>140000</v>
      </c>
      <c r="I164" s="179">
        <v>620070</v>
      </c>
      <c r="J164" s="179">
        <v>0</v>
      </c>
      <c r="K164" s="179">
        <v>1534348.65</v>
      </c>
      <c r="L164" s="179">
        <v>1534348.65</v>
      </c>
      <c r="M164" s="179">
        <v>5705581.3499999996</v>
      </c>
      <c r="N164" s="179">
        <v>705581.35</v>
      </c>
    </row>
    <row r="165" spans="1:14" s="156" customFormat="1" x14ac:dyDescent="0.25">
      <c r="A165" s="156" t="s">
        <v>544</v>
      </c>
      <c r="B165" s="156" t="s">
        <v>243</v>
      </c>
      <c r="C165" s="156" t="s">
        <v>244</v>
      </c>
      <c r="D165" s="156" t="s">
        <v>541</v>
      </c>
      <c r="E165" s="179">
        <v>4930000</v>
      </c>
      <c r="F165" s="179">
        <v>4930000</v>
      </c>
      <c r="G165" s="179">
        <v>2064372</v>
      </c>
      <c r="H165" s="179">
        <v>216000</v>
      </c>
      <c r="I165" s="179">
        <v>976143.2</v>
      </c>
      <c r="J165" s="179">
        <v>0</v>
      </c>
      <c r="K165" s="179">
        <v>0</v>
      </c>
      <c r="L165" s="179">
        <v>0</v>
      </c>
      <c r="M165" s="179">
        <v>3737856.8</v>
      </c>
      <c r="N165" s="179">
        <v>872228.8</v>
      </c>
    </row>
    <row r="166" spans="1:14" s="156" customFormat="1" x14ac:dyDescent="0.25">
      <c r="A166" s="156" t="s">
        <v>544</v>
      </c>
      <c r="B166" s="156" t="s">
        <v>249</v>
      </c>
      <c r="C166" s="156" t="s">
        <v>250</v>
      </c>
      <c r="D166" s="156" t="s">
        <v>541</v>
      </c>
      <c r="E166" s="179">
        <v>8000000</v>
      </c>
      <c r="F166" s="179">
        <v>8000000</v>
      </c>
      <c r="G166" s="179">
        <v>2900000</v>
      </c>
      <c r="H166" s="179">
        <v>0</v>
      </c>
      <c r="I166" s="179">
        <v>1983750</v>
      </c>
      <c r="J166" s="179">
        <v>0</v>
      </c>
      <c r="K166" s="179">
        <v>0</v>
      </c>
      <c r="L166" s="179">
        <v>0</v>
      </c>
      <c r="M166" s="179">
        <v>6016250</v>
      </c>
      <c r="N166" s="179">
        <v>916250</v>
      </c>
    </row>
    <row r="167" spans="1:14" s="156" customFormat="1" x14ac:dyDescent="0.25">
      <c r="A167" s="156" t="s">
        <v>544</v>
      </c>
      <c r="B167" s="156" t="s">
        <v>251</v>
      </c>
      <c r="C167" s="156" t="s">
        <v>252</v>
      </c>
      <c r="D167" s="156" t="s">
        <v>541</v>
      </c>
      <c r="E167" s="179">
        <v>43960000</v>
      </c>
      <c r="F167" s="179">
        <v>43960000</v>
      </c>
      <c r="G167" s="179">
        <v>37960000</v>
      </c>
      <c r="H167" s="179">
        <v>0</v>
      </c>
      <c r="I167" s="179">
        <v>7801746.3499999996</v>
      </c>
      <c r="J167" s="179">
        <v>0</v>
      </c>
      <c r="K167" s="179">
        <v>22460512.649999999</v>
      </c>
      <c r="L167" s="179">
        <v>22460512.649999999</v>
      </c>
      <c r="M167" s="179">
        <v>13697741</v>
      </c>
      <c r="N167" s="179">
        <v>7697741</v>
      </c>
    </row>
    <row r="168" spans="1:14" s="156" customFormat="1" x14ac:dyDescent="0.25">
      <c r="A168" s="156" t="s">
        <v>544</v>
      </c>
      <c r="B168" s="156" t="s">
        <v>253</v>
      </c>
      <c r="C168" s="156" t="s">
        <v>254</v>
      </c>
      <c r="D168" s="156" t="s">
        <v>541</v>
      </c>
      <c r="E168" s="179">
        <v>11142000</v>
      </c>
      <c r="F168" s="179">
        <v>11142000</v>
      </c>
      <c r="G168" s="179">
        <v>11142000</v>
      </c>
      <c r="H168" s="179">
        <v>0</v>
      </c>
      <c r="I168" s="179">
        <v>7635614</v>
      </c>
      <c r="J168" s="179">
        <v>0</v>
      </c>
      <c r="K168" s="179">
        <v>3506386</v>
      </c>
      <c r="L168" s="179">
        <v>3506386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311</v>
      </c>
      <c r="C169" s="156" t="s">
        <v>602</v>
      </c>
      <c r="D169" s="156" t="s">
        <v>541</v>
      </c>
      <c r="E169" s="179">
        <v>9273000</v>
      </c>
      <c r="F169" s="179">
        <v>9273000</v>
      </c>
      <c r="G169" s="179">
        <v>9273000</v>
      </c>
      <c r="H169" s="179">
        <v>0</v>
      </c>
      <c r="I169" s="179">
        <v>6354933</v>
      </c>
      <c r="J169" s="179">
        <v>0</v>
      </c>
      <c r="K169" s="179">
        <v>2918067</v>
      </c>
      <c r="L169" s="179">
        <v>2918067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312</v>
      </c>
      <c r="C170" s="156" t="s">
        <v>603</v>
      </c>
      <c r="D170" s="156" t="s">
        <v>541</v>
      </c>
      <c r="E170" s="179">
        <v>1869000</v>
      </c>
      <c r="F170" s="179">
        <v>1869000</v>
      </c>
      <c r="G170" s="179">
        <v>1869000</v>
      </c>
      <c r="H170" s="179">
        <v>0</v>
      </c>
      <c r="I170" s="179">
        <v>1280681</v>
      </c>
      <c r="J170" s="179">
        <v>0</v>
      </c>
      <c r="K170" s="179">
        <v>588319</v>
      </c>
      <c r="L170" s="179">
        <v>588319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261</v>
      </c>
      <c r="C171" s="156" t="s">
        <v>262</v>
      </c>
      <c r="D171" s="156" t="s">
        <v>541</v>
      </c>
      <c r="E171" s="179">
        <v>24818000</v>
      </c>
      <c r="F171" s="179">
        <v>26818000</v>
      </c>
      <c r="G171" s="179">
        <v>26818000</v>
      </c>
      <c r="H171" s="179">
        <v>0</v>
      </c>
      <c r="I171" s="179">
        <v>166132.35</v>
      </c>
      <c r="J171" s="179">
        <v>0</v>
      </c>
      <c r="K171" s="179">
        <v>18954126.649999999</v>
      </c>
      <c r="L171" s="179">
        <v>18954126.649999999</v>
      </c>
      <c r="M171" s="179">
        <v>7697741</v>
      </c>
      <c r="N171" s="179">
        <v>7697741</v>
      </c>
    </row>
    <row r="172" spans="1:14" s="156" customFormat="1" x14ac:dyDescent="0.25">
      <c r="A172" s="156" t="s">
        <v>544</v>
      </c>
      <c r="B172" s="156" t="s">
        <v>263</v>
      </c>
      <c r="C172" s="156" t="s">
        <v>264</v>
      </c>
      <c r="D172" s="156" t="s">
        <v>541</v>
      </c>
      <c r="E172" s="179">
        <v>17000000</v>
      </c>
      <c r="F172" s="179">
        <v>19000000</v>
      </c>
      <c r="G172" s="179">
        <v>19000000</v>
      </c>
      <c r="H172" s="179">
        <v>0</v>
      </c>
      <c r="I172" s="179">
        <v>166132.35</v>
      </c>
      <c r="J172" s="179">
        <v>0</v>
      </c>
      <c r="K172" s="179">
        <v>16833867.649999999</v>
      </c>
      <c r="L172" s="179">
        <v>16833867.649999999</v>
      </c>
      <c r="M172" s="179">
        <v>2000000</v>
      </c>
      <c r="N172" s="179">
        <v>2000000</v>
      </c>
    </row>
    <row r="173" spans="1:14" s="156" customFormat="1" x14ac:dyDescent="0.25">
      <c r="A173" s="156" t="s">
        <v>544</v>
      </c>
      <c r="B173" s="156" t="s">
        <v>265</v>
      </c>
      <c r="C173" s="156" t="s">
        <v>266</v>
      </c>
      <c r="D173" s="156" t="s">
        <v>541</v>
      </c>
      <c r="E173" s="179">
        <v>7818000</v>
      </c>
      <c r="F173" s="179">
        <v>7818000</v>
      </c>
      <c r="G173" s="179">
        <v>7818000</v>
      </c>
      <c r="H173" s="179">
        <v>0</v>
      </c>
      <c r="I173" s="179">
        <v>0</v>
      </c>
      <c r="J173" s="179">
        <v>0</v>
      </c>
      <c r="K173" s="179">
        <v>2120259</v>
      </c>
      <c r="L173" s="179">
        <v>2120259</v>
      </c>
      <c r="M173" s="179">
        <v>5697741</v>
      </c>
      <c r="N173" s="179">
        <v>5697741</v>
      </c>
    </row>
    <row r="174" spans="1:14" s="156" customFormat="1" x14ac:dyDescent="0.25">
      <c r="A174" s="156" t="s">
        <v>544</v>
      </c>
      <c r="B174" s="156" t="s">
        <v>267</v>
      </c>
      <c r="C174" s="156" t="s">
        <v>268</v>
      </c>
      <c r="D174" s="156" t="s">
        <v>541</v>
      </c>
      <c r="E174" s="179">
        <v>8000000</v>
      </c>
      <c r="F174" s="179">
        <v>6000000</v>
      </c>
      <c r="G174" s="179">
        <v>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6000000</v>
      </c>
      <c r="N174" s="179">
        <v>0</v>
      </c>
    </row>
    <row r="175" spans="1:14" s="156" customFormat="1" x14ac:dyDescent="0.25">
      <c r="A175" s="156" t="s">
        <v>544</v>
      </c>
      <c r="B175" s="156" t="s">
        <v>269</v>
      </c>
      <c r="C175" s="156" t="s">
        <v>270</v>
      </c>
      <c r="D175" s="156" t="s">
        <v>541</v>
      </c>
      <c r="E175" s="179">
        <v>8000000</v>
      </c>
      <c r="F175" s="179">
        <v>6000000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6000000</v>
      </c>
      <c r="N175" s="179">
        <v>0</v>
      </c>
    </row>
    <row r="176" spans="1:14" s="156" customFormat="1" x14ac:dyDescent="0.25">
      <c r="A176" s="156" t="s">
        <v>544</v>
      </c>
      <c r="B176" s="156" t="s">
        <v>279</v>
      </c>
      <c r="C176" s="156" t="s">
        <v>280</v>
      </c>
      <c r="D176" s="156" t="s">
        <v>543</v>
      </c>
      <c r="E176" s="179">
        <v>29500000</v>
      </c>
      <c r="F176" s="179">
        <v>29500000</v>
      </c>
      <c r="G176" s="179">
        <v>13750000</v>
      </c>
      <c r="H176" s="179">
        <v>0</v>
      </c>
      <c r="I176" s="179">
        <v>4553120</v>
      </c>
      <c r="J176" s="179">
        <v>0</v>
      </c>
      <c r="K176" s="179">
        <v>1094071</v>
      </c>
      <c r="L176" s="179">
        <v>1094071</v>
      </c>
      <c r="M176" s="179">
        <v>23852809</v>
      </c>
      <c r="N176" s="179">
        <v>8102809</v>
      </c>
    </row>
    <row r="177" spans="1:14" s="156" customFormat="1" x14ac:dyDescent="0.25">
      <c r="A177" s="156" t="s">
        <v>544</v>
      </c>
      <c r="B177" s="156" t="s">
        <v>281</v>
      </c>
      <c r="C177" s="156" t="s">
        <v>282</v>
      </c>
      <c r="D177" s="156" t="s">
        <v>543</v>
      </c>
      <c r="E177" s="179">
        <v>29500000</v>
      </c>
      <c r="F177" s="179">
        <v>29500000</v>
      </c>
      <c r="G177" s="179">
        <v>13750000</v>
      </c>
      <c r="H177" s="179">
        <v>0</v>
      </c>
      <c r="I177" s="179">
        <v>4553120</v>
      </c>
      <c r="J177" s="179">
        <v>0</v>
      </c>
      <c r="K177" s="179">
        <v>1094071</v>
      </c>
      <c r="L177" s="179">
        <v>1094071</v>
      </c>
      <c r="M177" s="179">
        <v>23852809</v>
      </c>
      <c r="N177" s="179">
        <v>8102809</v>
      </c>
    </row>
    <row r="178" spans="1:14" s="156" customFormat="1" x14ac:dyDescent="0.25">
      <c r="A178" s="156" t="s">
        <v>544</v>
      </c>
      <c r="B178" s="156" t="s">
        <v>285</v>
      </c>
      <c r="C178" s="156" t="s">
        <v>286</v>
      </c>
      <c r="D178" s="156" t="s">
        <v>543</v>
      </c>
      <c r="E178" s="179">
        <v>4700000</v>
      </c>
      <c r="F178" s="179">
        <v>5950000</v>
      </c>
      <c r="G178" s="179">
        <v>4425000</v>
      </c>
      <c r="H178" s="179">
        <v>0</v>
      </c>
      <c r="I178" s="179">
        <v>777120</v>
      </c>
      <c r="J178" s="179">
        <v>0</v>
      </c>
      <c r="K178" s="179">
        <v>0</v>
      </c>
      <c r="L178" s="179">
        <v>0</v>
      </c>
      <c r="M178" s="179">
        <v>5172880</v>
      </c>
      <c r="N178" s="179">
        <v>3647880</v>
      </c>
    </row>
    <row r="179" spans="1:14" s="156" customFormat="1" x14ac:dyDescent="0.25">
      <c r="A179" s="156" t="s">
        <v>544</v>
      </c>
      <c r="B179" s="156" t="s">
        <v>287</v>
      </c>
      <c r="C179" s="156" t="s">
        <v>288</v>
      </c>
      <c r="D179" s="156" t="s">
        <v>543</v>
      </c>
      <c r="E179" s="179">
        <v>3800000</v>
      </c>
      <c r="F179" s="179">
        <v>3800000</v>
      </c>
      <c r="G179" s="179">
        <v>950000</v>
      </c>
      <c r="H179" s="179">
        <v>0</v>
      </c>
      <c r="I179" s="179">
        <v>0</v>
      </c>
      <c r="J179" s="179">
        <v>0</v>
      </c>
      <c r="K179" s="179">
        <v>913570</v>
      </c>
      <c r="L179" s="179">
        <v>913570</v>
      </c>
      <c r="M179" s="179">
        <v>2886430</v>
      </c>
      <c r="N179" s="179">
        <v>36430</v>
      </c>
    </row>
    <row r="180" spans="1:14" s="156" customFormat="1" x14ac:dyDescent="0.25">
      <c r="A180" s="156" t="s">
        <v>544</v>
      </c>
      <c r="B180" s="156" t="s">
        <v>289</v>
      </c>
      <c r="C180" s="156" t="s">
        <v>290</v>
      </c>
      <c r="D180" s="156" t="s">
        <v>543</v>
      </c>
      <c r="E180" s="179">
        <v>1000000</v>
      </c>
      <c r="F180" s="179">
        <v>750000</v>
      </c>
      <c r="G180" s="179">
        <v>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750000</v>
      </c>
      <c r="N180" s="179">
        <v>0</v>
      </c>
    </row>
    <row r="181" spans="1:14" s="156" customFormat="1" x14ac:dyDescent="0.25">
      <c r="A181" s="156" t="s">
        <v>544</v>
      </c>
      <c r="B181" s="156" t="s">
        <v>293</v>
      </c>
      <c r="C181" s="156" t="s">
        <v>294</v>
      </c>
      <c r="D181" s="156" t="s">
        <v>543</v>
      </c>
      <c r="E181" s="179">
        <v>16000000</v>
      </c>
      <c r="F181" s="179">
        <v>16000000</v>
      </c>
      <c r="G181" s="179">
        <v>8000000</v>
      </c>
      <c r="H181" s="179">
        <v>0</v>
      </c>
      <c r="I181" s="179">
        <v>3776000</v>
      </c>
      <c r="J181" s="179">
        <v>0</v>
      </c>
      <c r="K181" s="179">
        <v>180501</v>
      </c>
      <c r="L181" s="179">
        <v>180501</v>
      </c>
      <c r="M181" s="179">
        <v>12043499</v>
      </c>
      <c r="N181" s="179">
        <v>4043499</v>
      </c>
    </row>
    <row r="182" spans="1:14" s="156" customFormat="1" x14ac:dyDescent="0.25">
      <c r="A182" s="156" t="s">
        <v>544</v>
      </c>
      <c r="B182" s="156" t="s">
        <v>295</v>
      </c>
      <c r="C182" s="156" t="s">
        <v>296</v>
      </c>
      <c r="D182" s="156" t="s">
        <v>543</v>
      </c>
      <c r="E182" s="179">
        <v>4000000</v>
      </c>
      <c r="F182" s="179">
        <v>3000000</v>
      </c>
      <c r="G182" s="179">
        <v>375000</v>
      </c>
      <c r="H182" s="179">
        <v>0</v>
      </c>
      <c r="I182" s="179">
        <v>0</v>
      </c>
      <c r="J182" s="179">
        <v>0</v>
      </c>
      <c r="K182" s="179">
        <v>0</v>
      </c>
      <c r="L182" s="179">
        <v>0</v>
      </c>
      <c r="M182" s="179">
        <v>3000000</v>
      </c>
      <c r="N182" s="179">
        <v>375000</v>
      </c>
    </row>
    <row r="183" spans="1:14" s="156" customFormat="1" x14ac:dyDescent="0.25">
      <c r="A183" s="156">
        <v>214781</v>
      </c>
      <c r="B183" s="156" t="s">
        <v>587</v>
      </c>
      <c r="C183" s="156" t="s">
        <v>587</v>
      </c>
      <c r="D183" s="156" t="s">
        <v>541</v>
      </c>
      <c r="E183" s="179">
        <v>11325587195</v>
      </c>
      <c r="F183" s="179">
        <v>11325587195</v>
      </c>
      <c r="G183" s="179">
        <v>10650233096</v>
      </c>
      <c r="H183" s="179">
        <v>22606312</v>
      </c>
      <c r="I183" s="179">
        <v>1256218334.99</v>
      </c>
      <c r="J183" s="179">
        <v>6789084.2000000002</v>
      </c>
      <c r="K183" s="179">
        <v>3354640471.8699999</v>
      </c>
      <c r="L183" s="179">
        <v>3307745432.5900002</v>
      </c>
      <c r="M183" s="179">
        <v>6685332991.9399996</v>
      </c>
      <c r="N183" s="179">
        <v>6009978892.9399996</v>
      </c>
    </row>
    <row r="184" spans="1:14" s="156" customFormat="1" x14ac:dyDescent="0.25">
      <c r="A184" s="156" t="s">
        <v>545</v>
      </c>
      <c r="B184" s="156" t="s">
        <v>92</v>
      </c>
      <c r="C184" s="156" t="s">
        <v>93</v>
      </c>
      <c r="D184" s="156" t="s">
        <v>541</v>
      </c>
      <c r="E184" s="179">
        <v>9908319000</v>
      </c>
      <c r="F184" s="179">
        <v>9908319000</v>
      </c>
      <c r="G184" s="179">
        <v>9899719000</v>
      </c>
      <c r="H184" s="179">
        <v>0</v>
      </c>
      <c r="I184" s="179">
        <v>1009517342</v>
      </c>
      <c r="J184" s="179">
        <v>0</v>
      </c>
      <c r="K184" s="179">
        <v>3062048636.3699999</v>
      </c>
      <c r="L184" s="179">
        <v>3062048636.3699999</v>
      </c>
      <c r="M184" s="179">
        <v>5836753021.6300001</v>
      </c>
      <c r="N184" s="179">
        <v>5828153021.6300001</v>
      </c>
    </row>
    <row r="185" spans="1:14" s="156" customFormat="1" x14ac:dyDescent="0.25">
      <c r="A185" s="156" t="s">
        <v>545</v>
      </c>
      <c r="B185" s="156" t="s">
        <v>94</v>
      </c>
      <c r="C185" s="156" t="s">
        <v>95</v>
      </c>
      <c r="D185" s="156" t="s">
        <v>541</v>
      </c>
      <c r="E185" s="179">
        <v>3418584000</v>
      </c>
      <c r="F185" s="179">
        <v>3418584000</v>
      </c>
      <c r="G185" s="179">
        <v>3418584000</v>
      </c>
      <c r="H185" s="179">
        <v>0</v>
      </c>
      <c r="I185" s="179">
        <v>764487.75</v>
      </c>
      <c r="J185" s="179">
        <v>0</v>
      </c>
      <c r="K185" s="179">
        <v>988296577.44000006</v>
      </c>
      <c r="L185" s="179">
        <v>988296577.44000006</v>
      </c>
      <c r="M185" s="179">
        <v>2429522934.8099999</v>
      </c>
      <c r="N185" s="179">
        <v>2429522934.8099999</v>
      </c>
    </row>
    <row r="186" spans="1:14" s="156" customFormat="1" x14ac:dyDescent="0.25">
      <c r="A186" s="156" t="s">
        <v>545</v>
      </c>
      <c r="B186" s="156" t="s">
        <v>96</v>
      </c>
      <c r="C186" s="156" t="s">
        <v>97</v>
      </c>
      <c r="D186" s="156" t="s">
        <v>541</v>
      </c>
      <c r="E186" s="179">
        <v>3413584000</v>
      </c>
      <c r="F186" s="179">
        <v>3413584000</v>
      </c>
      <c r="G186" s="179">
        <v>3413584000</v>
      </c>
      <c r="H186" s="179">
        <v>0</v>
      </c>
      <c r="I186" s="179">
        <v>764487.75</v>
      </c>
      <c r="J186" s="179">
        <v>0</v>
      </c>
      <c r="K186" s="179">
        <v>988296577.44000006</v>
      </c>
      <c r="L186" s="179">
        <v>988296577.44000006</v>
      </c>
      <c r="M186" s="179">
        <v>2424522934.8099999</v>
      </c>
      <c r="N186" s="179">
        <v>2424522934.8099999</v>
      </c>
    </row>
    <row r="187" spans="1:14" s="156" customFormat="1" x14ac:dyDescent="0.25">
      <c r="A187" s="156" t="s">
        <v>545</v>
      </c>
      <c r="B187" s="156" t="s">
        <v>313</v>
      </c>
      <c r="C187" s="156" t="s">
        <v>314</v>
      </c>
      <c r="D187" s="156" t="s">
        <v>541</v>
      </c>
      <c r="E187" s="179">
        <v>5000000</v>
      </c>
      <c r="F187" s="179">
        <v>5000000</v>
      </c>
      <c r="G187" s="179">
        <v>5000000</v>
      </c>
      <c r="H187" s="179">
        <v>0</v>
      </c>
      <c r="I187" s="179">
        <v>0</v>
      </c>
      <c r="J187" s="179">
        <v>0</v>
      </c>
      <c r="K187" s="179">
        <v>0</v>
      </c>
      <c r="L187" s="179">
        <v>0</v>
      </c>
      <c r="M187" s="179">
        <v>5000000</v>
      </c>
      <c r="N187" s="179">
        <v>5000000</v>
      </c>
    </row>
    <row r="188" spans="1:14" s="156" customFormat="1" x14ac:dyDescent="0.25">
      <c r="A188" s="156" t="s">
        <v>545</v>
      </c>
      <c r="B188" s="156" t="s">
        <v>98</v>
      </c>
      <c r="C188" s="156" t="s">
        <v>99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2038014.35</v>
      </c>
      <c r="L188" s="179">
        <v>2038014.35</v>
      </c>
      <c r="M188" s="179">
        <v>8961985.6500000004</v>
      </c>
      <c r="N188" s="179">
        <v>8961985.6500000004</v>
      </c>
    </row>
    <row r="189" spans="1:14" s="156" customFormat="1" x14ac:dyDescent="0.25">
      <c r="A189" s="156" t="s">
        <v>545</v>
      </c>
      <c r="B189" s="156" t="s">
        <v>100</v>
      </c>
      <c r="C189" s="156" t="s">
        <v>101</v>
      </c>
      <c r="D189" s="156" t="s">
        <v>541</v>
      </c>
      <c r="E189" s="179">
        <v>11000000</v>
      </c>
      <c r="F189" s="179">
        <v>11000000</v>
      </c>
      <c r="G189" s="179">
        <v>11000000</v>
      </c>
      <c r="H189" s="179">
        <v>0</v>
      </c>
      <c r="I189" s="179">
        <v>0</v>
      </c>
      <c r="J189" s="179">
        <v>0</v>
      </c>
      <c r="K189" s="179">
        <v>2038014.35</v>
      </c>
      <c r="L189" s="179">
        <v>2038014.35</v>
      </c>
      <c r="M189" s="179">
        <v>8961985.6500000004</v>
      </c>
      <c r="N189" s="179">
        <v>8961985.6500000004</v>
      </c>
    </row>
    <row r="190" spans="1:14" s="156" customFormat="1" x14ac:dyDescent="0.25">
      <c r="A190" s="156" t="s">
        <v>545</v>
      </c>
      <c r="B190" s="156" t="s">
        <v>102</v>
      </c>
      <c r="C190" s="156" t="s">
        <v>103</v>
      </c>
      <c r="D190" s="156" t="s">
        <v>541</v>
      </c>
      <c r="E190" s="179">
        <v>4978167000</v>
      </c>
      <c r="F190" s="179">
        <v>4978167000</v>
      </c>
      <c r="G190" s="179">
        <v>4969567000</v>
      </c>
      <c r="H190" s="179">
        <v>0</v>
      </c>
      <c r="I190" s="179">
        <v>1327404.25</v>
      </c>
      <c r="J190" s="179">
        <v>0</v>
      </c>
      <c r="K190" s="179">
        <v>1578571494.5799999</v>
      </c>
      <c r="L190" s="179">
        <v>1578571494.5799999</v>
      </c>
      <c r="M190" s="179">
        <v>3398268101.1700001</v>
      </c>
      <c r="N190" s="179">
        <v>3389668101.1700001</v>
      </c>
    </row>
    <row r="191" spans="1:14" s="156" customFormat="1" x14ac:dyDescent="0.25">
      <c r="A191" s="156" t="s">
        <v>545</v>
      </c>
      <c r="B191" s="156" t="s">
        <v>104</v>
      </c>
      <c r="C191" s="156" t="s">
        <v>105</v>
      </c>
      <c r="D191" s="156" t="s">
        <v>541</v>
      </c>
      <c r="E191" s="179">
        <v>913627000</v>
      </c>
      <c r="F191" s="179">
        <v>913627000</v>
      </c>
      <c r="G191" s="179">
        <v>905027000</v>
      </c>
      <c r="H191" s="179">
        <v>0</v>
      </c>
      <c r="I191" s="179">
        <v>478674</v>
      </c>
      <c r="J191" s="179">
        <v>0</v>
      </c>
      <c r="K191" s="179">
        <v>247722096.81</v>
      </c>
      <c r="L191" s="179">
        <v>247722096.81</v>
      </c>
      <c r="M191" s="179">
        <v>665426229.19000006</v>
      </c>
      <c r="N191" s="179">
        <v>656826229.19000006</v>
      </c>
    </row>
    <row r="192" spans="1:14" s="156" customFormat="1" x14ac:dyDescent="0.25">
      <c r="A192" s="156" t="s">
        <v>545</v>
      </c>
      <c r="B192" s="156" t="s">
        <v>106</v>
      </c>
      <c r="C192" s="156" t="s">
        <v>107</v>
      </c>
      <c r="D192" s="156" t="s">
        <v>541</v>
      </c>
      <c r="E192" s="179">
        <v>2244831000</v>
      </c>
      <c r="F192" s="179">
        <v>2244831000</v>
      </c>
      <c r="G192" s="179">
        <v>2244831000</v>
      </c>
      <c r="H192" s="179">
        <v>0</v>
      </c>
      <c r="I192" s="179">
        <v>616723.5</v>
      </c>
      <c r="J192" s="179">
        <v>0</v>
      </c>
      <c r="K192" s="179">
        <v>651322648.28999996</v>
      </c>
      <c r="L192" s="179">
        <v>651322648.28999996</v>
      </c>
      <c r="M192" s="179">
        <v>1592891628.21</v>
      </c>
      <c r="N192" s="179">
        <v>1592891628.21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0</v>
      </c>
      <c r="J193" s="179">
        <v>0</v>
      </c>
      <c r="K193" s="179">
        <v>493915397.87</v>
      </c>
      <c r="L193" s="179">
        <v>493915397.87</v>
      </c>
      <c r="M193" s="179">
        <v>47077602.130000003</v>
      </c>
      <c r="N193" s="179">
        <v>47077602.130000003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232006.75</v>
      </c>
      <c r="J194" s="179">
        <v>0</v>
      </c>
      <c r="K194" s="179">
        <v>185611351.61000001</v>
      </c>
      <c r="L194" s="179">
        <v>185611351.61000001</v>
      </c>
      <c r="M194" s="179">
        <v>445033641.63999999</v>
      </c>
      <c r="N194" s="179">
        <v>445033641.63999999</v>
      </c>
    </row>
    <row r="195" spans="1:14" s="156" customFormat="1" x14ac:dyDescent="0.25">
      <c r="A195" s="156" t="s">
        <v>545</v>
      </c>
      <c r="B195" s="156" t="s">
        <v>112</v>
      </c>
      <c r="C195" s="156" t="s">
        <v>113</v>
      </c>
      <c r="D195" s="156" t="s">
        <v>543</v>
      </c>
      <c r="E195" s="179">
        <v>647839000</v>
      </c>
      <c r="F195" s="179">
        <v>647839000</v>
      </c>
      <c r="G195" s="179">
        <v>647839000</v>
      </c>
      <c r="H195" s="179">
        <v>0</v>
      </c>
      <c r="I195" s="179">
        <v>0</v>
      </c>
      <c r="J195" s="179">
        <v>0</v>
      </c>
      <c r="K195" s="179">
        <v>0</v>
      </c>
      <c r="L195" s="179">
        <v>0</v>
      </c>
      <c r="M195" s="179">
        <v>647839000</v>
      </c>
      <c r="N195" s="179">
        <v>647839000</v>
      </c>
    </row>
    <row r="196" spans="1:14" s="156" customFormat="1" x14ac:dyDescent="0.25">
      <c r="A196" s="156" t="s">
        <v>545</v>
      </c>
      <c r="B196" s="156" t="s">
        <v>114</v>
      </c>
      <c r="C196" s="156" t="s">
        <v>115</v>
      </c>
      <c r="D196" s="156" t="s">
        <v>541</v>
      </c>
      <c r="E196" s="179">
        <v>756883000</v>
      </c>
      <c r="F196" s="179">
        <v>756883000</v>
      </c>
      <c r="G196" s="179">
        <v>756883000</v>
      </c>
      <c r="H196" s="179">
        <v>0</v>
      </c>
      <c r="I196" s="179">
        <v>506406274</v>
      </c>
      <c r="J196" s="179">
        <v>0</v>
      </c>
      <c r="K196" s="179">
        <v>250476726</v>
      </c>
      <c r="L196" s="179">
        <v>250476726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315</v>
      </c>
      <c r="C197" s="156" t="s">
        <v>597</v>
      </c>
      <c r="D197" s="156" t="s">
        <v>541</v>
      </c>
      <c r="E197" s="179">
        <v>718069000</v>
      </c>
      <c r="F197" s="179">
        <v>718069000</v>
      </c>
      <c r="G197" s="179">
        <v>718069000</v>
      </c>
      <c r="H197" s="179">
        <v>0</v>
      </c>
      <c r="I197" s="179">
        <v>480435499</v>
      </c>
      <c r="J197" s="179">
        <v>0</v>
      </c>
      <c r="K197" s="179">
        <v>237633501</v>
      </c>
      <c r="L197" s="179">
        <v>237633501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38814000</v>
      </c>
      <c r="F198" s="179">
        <v>38814000</v>
      </c>
      <c r="G198" s="179">
        <v>38814000</v>
      </c>
      <c r="H198" s="179">
        <v>0</v>
      </c>
      <c r="I198" s="179">
        <v>25970775</v>
      </c>
      <c r="J198" s="179">
        <v>0</v>
      </c>
      <c r="K198" s="179">
        <v>12843225</v>
      </c>
      <c r="L198" s="179">
        <v>12843225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118</v>
      </c>
      <c r="C199" s="156" t="s">
        <v>119</v>
      </c>
      <c r="D199" s="156" t="s">
        <v>541</v>
      </c>
      <c r="E199" s="179">
        <v>743685000</v>
      </c>
      <c r="F199" s="179">
        <v>743685000</v>
      </c>
      <c r="G199" s="179">
        <v>743685000</v>
      </c>
      <c r="H199" s="179">
        <v>0</v>
      </c>
      <c r="I199" s="179">
        <v>501019176</v>
      </c>
      <c r="J199" s="179">
        <v>0</v>
      </c>
      <c r="K199" s="179">
        <v>242665824</v>
      </c>
      <c r="L199" s="179">
        <v>242665824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317</v>
      </c>
      <c r="C200" s="156" t="s">
        <v>598</v>
      </c>
      <c r="D200" s="156" t="s">
        <v>541</v>
      </c>
      <c r="E200" s="179">
        <v>394355000</v>
      </c>
      <c r="F200" s="179">
        <v>394355000</v>
      </c>
      <c r="G200" s="179">
        <v>394355000</v>
      </c>
      <c r="H200" s="179">
        <v>0</v>
      </c>
      <c r="I200" s="179">
        <v>267277939</v>
      </c>
      <c r="J200" s="179">
        <v>0</v>
      </c>
      <c r="K200" s="179">
        <v>127077061</v>
      </c>
      <c r="L200" s="179">
        <v>127077061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318</v>
      </c>
      <c r="C201" s="156" t="s">
        <v>599</v>
      </c>
      <c r="D201" s="156" t="s">
        <v>541</v>
      </c>
      <c r="E201" s="179">
        <v>116443000</v>
      </c>
      <c r="F201" s="179">
        <v>116443000</v>
      </c>
      <c r="G201" s="179">
        <v>116443000</v>
      </c>
      <c r="H201" s="179">
        <v>0</v>
      </c>
      <c r="I201" s="179">
        <v>77913445</v>
      </c>
      <c r="J201" s="179">
        <v>0</v>
      </c>
      <c r="K201" s="179">
        <v>38529555</v>
      </c>
      <c r="L201" s="179">
        <v>38529555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319</v>
      </c>
      <c r="C202" s="156" t="s">
        <v>600</v>
      </c>
      <c r="D202" s="156" t="s">
        <v>541</v>
      </c>
      <c r="E202" s="179">
        <v>232887000</v>
      </c>
      <c r="F202" s="179">
        <v>232887000</v>
      </c>
      <c r="G202" s="179">
        <v>232887000</v>
      </c>
      <c r="H202" s="179">
        <v>0</v>
      </c>
      <c r="I202" s="179">
        <v>155827792</v>
      </c>
      <c r="J202" s="179">
        <v>0</v>
      </c>
      <c r="K202" s="179">
        <v>77059208</v>
      </c>
      <c r="L202" s="179">
        <v>77059208</v>
      </c>
      <c r="M202" s="179">
        <v>0</v>
      </c>
      <c r="N202" s="179">
        <v>0</v>
      </c>
    </row>
    <row r="203" spans="1:14" s="156" customFormat="1" x14ac:dyDescent="0.25">
      <c r="A203" s="156" t="s">
        <v>545</v>
      </c>
      <c r="B203" s="156" t="s">
        <v>123</v>
      </c>
      <c r="C203" s="156" t="s">
        <v>124</v>
      </c>
      <c r="D203" s="156" t="s">
        <v>541</v>
      </c>
      <c r="E203" s="179">
        <v>1006874402</v>
      </c>
      <c r="F203" s="179">
        <v>1006874402</v>
      </c>
      <c r="G203" s="179">
        <v>513547900</v>
      </c>
      <c r="H203" s="179">
        <v>950800</v>
      </c>
      <c r="I203" s="179">
        <v>166923805.47</v>
      </c>
      <c r="J203" s="179">
        <v>5372102.0099999998</v>
      </c>
      <c r="K203" s="179">
        <v>208974296.19</v>
      </c>
      <c r="L203" s="179">
        <v>162083783.78</v>
      </c>
      <c r="M203" s="179">
        <v>624653398.33000004</v>
      </c>
      <c r="N203" s="179">
        <v>131326896.33</v>
      </c>
    </row>
    <row r="204" spans="1:14" s="156" customFormat="1" x14ac:dyDescent="0.25">
      <c r="A204" s="156" t="s">
        <v>545</v>
      </c>
      <c r="B204" s="156" t="s">
        <v>125</v>
      </c>
      <c r="C204" s="156" t="s">
        <v>126</v>
      </c>
      <c r="D204" s="156" t="s">
        <v>541</v>
      </c>
      <c r="E204" s="179">
        <v>331717997</v>
      </c>
      <c r="F204" s="179">
        <v>331717997</v>
      </c>
      <c r="G204" s="179">
        <v>151638998</v>
      </c>
      <c r="H204" s="179">
        <v>0</v>
      </c>
      <c r="I204" s="179">
        <v>59179462.68</v>
      </c>
      <c r="J204" s="179">
        <v>2032800</v>
      </c>
      <c r="K204" s="179">
        <v>65007401.869999997</v>
      </c>
      <c r="L204" s="179">
        <v>44342595.039999999</v>
      </c>
      <c r="M204" s="179">
        <v>205498332.44999999</v>
      </c>
      <c r="N204" s="179">
        <v>25419333.449999999</v>
      </c>
    </row>
    <row r="205" spans="1:14" s="156" customFormat="1" x14ac:dyDescent="0.25">
      <c r="A205" s="156" t="s">
        <v>545</v>
      </c>
      <c r="B205" s="156" t="s">
        <v>306</v>
      </c>
      <c r="C205" s="156" t="s">
        <v>307</v>
      </c>
      <c r="D205" s="156" t="s">
        <v>541</v>
      </c>
      <c r="E205" s="179">
        <v>200526630</v>
      </c>
      <c r="F205" s="179">
        <v>200526630</v>
      </c>
      <c r="G205" s="179">
        <v>79143314</v>
      </c>
      <c r="H205" s="179">
        <v>0</v>
      </c>
      <c r="I205" s="179">
        <v>33472425</v>
      </c>
      <c r="J205" s="179">
        <v>2032800</v>
      </c>
      <c r="K205" s="179">
        <v>39540825</v>
      </c>
      <c r="L205" s="179">
        <v>35840825</v>
      </c>
      <c r="M205" s="179">
        <v>125480580</v>
      </c>
      <c r="N205" s="179">
        <v>4097264</v>
      </c>
    </row>
    <row r="206" spans="1:14" s="156" customFormat="1" x14ac:dyDescent="0.25">
      <c r="A206" s="156" t="s">
        <v>545</v>
      </c>
      <c r="B206" s="156" t="s">
        <v>320</v>
      </c>
      <c r="C206" s="156" t="s">
        <v>321</v>
      </c>
      <c r="D206" s="156" t="s">
        <v>541</v>
      </c>
      <c r="E206" s="179">
        <v>3933000</v>
      </c>
      <c r="F206" s="179">
        <v>3933000</v>
      </c>
      <c r="G206" s="179">
        <v>1966500</v>
      </c>
      <c r="H206" s="179">
        <v>0</v>
      </c>
      <c r="I206" s="179">
        <v>277847.93</v>
      </c>
      <c r="J206" s="179">
        <v>0</v>
      </c>
      <c r="K206" s="179">
        <v>493597.38</v>
      </c>
      <c r="L206" s="179">
        <v>493597.38</v>
      </c>
      <c r="M206" s="179">
        <v>3161554.69</v>
      </c>
      <c r="N206" s="179">
        <v>1195054.69</v>
      </c>
    </row>
    <row r="207" spans="1:14" s="156" customFormat="1" x14ac:dyDescent="0.25">
      <c r="A207" s="156" t="s">
        <v>545</v>
      </c>
      <c r="B207" s="156" t="s">
        <v>127</v>
      </c>
      <c r="C207" s="156" t="s">
        <v>128</v>
      </c>
      <c r="D207" s="156" t="s">
        <v>541</v>
      </c>
      <c r="E207" s="179">
        <v>98126131</v>
      </c>
      <c r="F207" s="179">
        <v>98126131</v>
      </c>
      <c r="G207" s="179">
        <v>53063066</v>
      </c>
      <c r="H207" s="179">
        <v>0</v>
      </c>
      <c r="I207" s="179">
        <v>24767430.23</v>
      </c>
      <c r="J207" s="179">
        <v>0</v>
      </c>
      <c r="K207" s="179">
        <v>17537922.539999999</v>
      </c>
      <c r="L207" s="179">
        <v>2868324.01</v>
      </c>
      <c r="M207" s="179">
        <v>55820778.229999997</v>
      </c>
      <c r="N207" s="179">
        <v>10757713.23</v>
      </c>
    </row>
    <row r="208" spans="1:14" s="156" customFormat="1" x14ac:dyDescent="0.25">
      <c r="A208" s="156" t="s">
        <v>545</v>
      </c>
      <c r="B208" s="156" t="s">
        <v>322</v>
      </c>
      <c r="C208" s="156" t="s">
        <v>323</v>
      </c>
      <c r="D208" s="156" t="s">
        <v>541</v>
      </c>
      <c r="E208" s="179">
        <v>1774000</v>
      </c>
      <c r="F208" s="179">
        <v>1774000</v>
      </c>
      <c r="G208" s="179">
        <v>1087000</v>
      </c>
      <c r="H208" s="179">
        <v>0</v>
      </c>
      <c r="I208" s="179">
        <v>34677.9</v>
      </c>
      <c r="J208" s="179">
        <v>0</v>
      </c>
      <c r="K208" s="179">
        <v>544484.25</v>
      </c>
      <c r="L208" s="179">
        <v>544484.25</v>
      </c>
      <c r="M208" s="179">
        <v>1194837.8500000001</v>
      </c>
      <c r="N208" s="179">
        <v>507837.85</v>
      </c>
    </row>
    <row r="209" spans="1:14" s="156" customFormat="1" x14ac:dyDescent="0.25">
      <c r="A209" s="156" t="s">
        <v>545</v>
      </c>
      <c r="B209" s="156" t="s">
        <v>129</v>
      </c>
      <c r="C209" s="156" t="s">
        <v>130</v>
      </c>
      <c r="D209" s="156" t="s">
        <v>541</v>
      </c>
      <c r="E209" s="179">
        <v>27358236</v>
      </c>
      <c r="F209" s="179">
        <v>27358236</v>
      </c>
      <c r="G209" s="179">
        <v>16379118</v>
      </c>
      <c r="H209" s="179">
        <v>0</v>
      </c>
      <c r="I209" s="179">
        <v>627081.62</v>
      </c>
      <c r="J209" s="179">
        <v>0</v>
      </c>
      <c r="K209" s="179">
        <v>6890572.7000000002</v>
      </c>
      <c r="L209" s="179">
        <v>4595364.4000000004</v>
      </c>
      <c r="M209" s="179">
        <v>19840581.68</v>
      </c>
      <c r="N209" s="179">
        <v>8861463.6799999997</v>
      </c>
    </row>
    <row r="210" spans="1:14" s="156" customFormat="1" x14ac:dyDescent="0.25">
      <c r="A210" s="156" t="s">
        <v>545</v>
      </c>
      <c r="B210" s="156" t="s">
        <v>131</v>
      </c>
      <c r="C210" s="156" t="s">
        <v>132</v>
      </c>
      <c r="D210" s="156" t="s">
        <v>541</v>
      </c>
      <c r="E210" s="179">
        <v>126929000</v>
      </c>
      <c r="F210" s="179">
        <v>126929000</v>
      </c>
      <c r="G210" s="179">
        <v>67914500</v>
      </c>
      <c r="H210" s="179">
        <v>0</v>
      </c>
      <c r="I210" s="179">
        <v>12748758.880000001</v>
      </c>
      <c r="J210" s="179">
        <v>0</v>
      </c>
      <c r="K210" s="179">
        <v>30436236.359999999</v>
      </c>
      <c r="L210" s="179">
        <v>28745828.300000001</v>
      </c>
      <c r="M210" s="179">
        <v>83744004.760000005</v>
      </c>
      <c r="N210" s="179">
        <v>24729504.760000002</v>
      </c>
    </row>
    <row r="211" spans="1:14" s="156" customFormat="1" x14ac:dyDescent="0.25">
      <c r="A211" s="156" t="s">
        <v>545</v>
      </c>
      <c r="B211" s="156" t="s">
        <v>133</v>
      </c>
      <c r="C211" s="156" t="s">
        <v>134</v>
      </c>
      <c r="D211" s="156" t="s">
        <v>541</v>
      </c>
      <c r="E211" s="179">
        <v>13400000</v>
      </c>
      <c r="F211" s="179">
        <v>13400000</v>
      </c>
      <c r="G211" s="179">
        <v>9700000</v>
      </c>
      <c r="H211" s="179">
        <v>0</v>
      </c>
      <c r="I211" s="179">
        <v>429881</v>
      </c>
      <c r="J211" s="179">
        <v>0</v>
      </c>
      <c r="K211" s="179">
        <v>5692714</v>
      </c>
      <c r="L211" s="179">
        <v>4261135</v>
      </c>
      <c r="M211" s="179">
        <v>7277405</v>
      </c>
      <c r="N211" s="179">
        <v>3577405</v>
      </c>
    </row>
    <row r="212" spans="1:14" s="156" customFormat="1" x14ac:dyDescent="0.25">
      <c r="A212" s="156" t="s">
        <v>545</v>
      </c>
      <c r="B212" s="156" t="s">
        <v>135</v>
      </c>
      <c r="C212" s="156" t="s">
        <v>136</v>
      </c>
      <c r="D212" s="156" t="s">
        <v>541</v>
      </c>
      <c r="E212" s="179">
        <v>49200000</v>
      </c>
      <c r="F212" s="179">
        <v>49200000</v>
      </c>
      <c r="G212" s="179">
        <v>26300000</v>
      </c>
      <c r="H212" s="179">
        <v>0</v>
      </c>
      <c r="I212" s="179">
        <v>8173595</v>
      </c>
      <c r="J212" s="179">
        <v>0</v>
      </c>
      <c r="K212" s="179">
        <v>12724160</v>
      </c>
      <c r="L212" s="179">
        <v>12724160</v>
      </c>
      <c r="M212" s="179">
        <v>28302245</v>
      </c>
      <c r="N212" s="179">
        <v>5402245</v>
      </c>
    </row>
    <row r="213" spans="1:14" s="156" customFormat="1" x14ac:dyDescent="0.25">
      <c r="A213" s="156" t="s">
        <v>545</v>
      </c>
      <c r="B213" s="156" t="s">
        <v>137</v>
      </c>
      <c r="C213" s="156" t="s">
        <v>138</v>
      </c>
      <c r="D213" s="156" t="s">
        <v>541</v>
      </c>
      <c r="E213" s="179">
        <v>12000000</v>
      </c>
      <c r="F213" s="179">
        <v>12000000</v>
      </c>
      <c r="G213" s="179">
        <v>3550000</v>
      </c>
      <c r="H213" s="179">
        <v>0</v>
      </c>
      <c r="I213" s="179">
        <v>477180</v>
      </c>
      <c r="J213" s="179">
        <v>0</v>
      </c>
      <c r="K213" s="179">
        <v>731520</v>
      </c>
      <c r="L213" s="179">
        <v>731520</v>
      </c>
      <c r="M213" s="179">
        <v>10791300</v>
      </c>
      <c r="N213" s="179">
        <v>2341300</v>
      </c>
    </row>
    <row r="214" spans="1:14" s="156" customFormat="1" x14ac:dyDescent="0.25">
      <c r="A214" s="156" t="s">
        <v>545</v>
      </c>
      <c r="B214" s="156" t="s">
        <v>139</v>
      </c>
      <c r="C214" s="156" t="s">
        <v>140</v>
      </c>
      <c r="D214" s="156" t="s">
        <v>541</v>
      </c>
      <c r="E214" s="179">
        <v>47604000</v>
      </c>
      <c r="F214" s="179">
        <v>47604000</v>
      </c>
      <c r="G214" s="179">
        <v>25802000</v>
      </c>
      <c r="H214" s="179">
        <v>0</v>
      </c>
      <c r="I214" s="179">
        <v>3426710.33</v>
      </c>
      <c r="J214" s="179">
        <v>0</v>
      </c>
      <c r="K214" s="179">
        <v>10148234.91</v>
      </c>
      <c r="L214" s="179">
        <v>9889405.8499999996</v>
      </c>
      <c r="M214" s="179">
        <v>34029054.759999998</v>
      </c>
      <c r="N214" s="179">
        <v>12227054.76</v>
      </c>
    </row>
    <row r="215" spans="1:14" s="156" customFormat="1" x14ac:dyDescent="0.25">
      <c r="A215" s="156" t="s">
        <v>545</v>
      </c>
      <c r="B215" s="156" t="s">
        <v>141</v>
      </c>
      <c r="C215" s="156" t="s">
        <v>142</v>
      </c>
      <c r="D215" s="156" t="s">
        <v>541</v>
      </c>
      <c r="E215" s="179">
        <v>4725000</v>
      </c>
      <c r="F215" s="179">
        <v>4725000</v>
      </c>
      <c r="G215" s="179">
        <v>2562500</v>
      </c>
      <c r="H215" s="179">
        <v>0</v>
      </c>
      <c r="I215" s="179">
        <v>241392.55</v>
      </c>
      <c r="J215" s="179">
        <v>0</v>
      </c>
      <c r="K215" s="179">
        <v>1139607.45</v>
      </c>
      <c r="L215" s="179">
        <v>1139607.45</v>
      </c>
      <c r="M215" s="179">
        <v>3344000</v>
      </c>
      <c r="N215" s="179">
        <v>1181500</v>
      </c>
    </row>
    <row r="216" spans="1:14" s="156" customFormat="1" x14ac:dyDescent="0.25">
      <c r="A216" s="156" t="s">
        <v>545</v>
      </c>
      <c r="B216" s="156" t="s">
        <v>143</v>
      </c>
      <c r="C216" s="156" t="s">
        <v>144</v>
      </c>
      <c r="D216" s="156" t="s">
        <v>541</v>
      </c>
      <c r="E216" s="179">
        <v>3746000</v>
      </c>
      <c r="F216" s="179">
        <v>3746000</v>
      </c>
      <c r="G216" s="179">
        <v>2153700</v>
      </c>
      <c r="H216" s="179">
        <v>0</v>
      </c>
      <c r="I216" s="179">
        <v>698642.57</v>
      </c>
      <c r="J216" s="179">
        <v>0</v>
      </c>
      <c r="K216" s="179">
        <v>201440.65</v>
      </c>
      <c r="L216" s="179">
        <v>175205.65</v>
      </c>
      <c r="M216" s="179">
        <v>2845916.78</v>
      </c>
      <c r="N216" s="179">
        <v>1253616.78</v>
      </c>
    </row>
    <row r="217" spans="1:14" s="156" customFormat="1" x14ac:dyDescent="0.25">
      <c r="A217" s="156" t="s">
        <v>545</v>
      </c>
      <c r="B217" s="156" t="s">
        <v>145</v>
      </c>
      <c r="C217" s="156" t="s">
        <v>146</v>
      </c>
      <c r="D217" s="156" t="s">
        <v>541</v>
      </c>
      <c r="E217" s="179">
        <v>500000</v>
      </c>
      <c r="F217" s="179">
        <v>500000</v>
      </c>
      <c r="G217" s="179">
        <v>430700</v>
      </c>
      <c r="H217" s="179">
        <v>0</v>
      </c>
      <c r="I217" s="179">
        <v>100000</v>
      </c>
      <c r="J217" s="179">
        <v>0</v>
      </c>
      <c r="K217" s="179">
        <v>71970</v>
      </c>
      <c r="L217" s="179">
        <v>71970</v>
      </c>
      <c r="M217" s="179">
        <v>328030</v>
      </c>
      <c r="N217" s="179">
        <v>258730</v>
      </c>
    </row>
    <row r="218" spans="1:14" s="156" customFormat="1" x14ac:dyDescent="0.25">
      <c r="A218" s="156" t="s">
        <v>545</v>
      </c>
      <c r="B218" s="156" t="s">
        <v>147</v>
      </c>
      <c r="C218" s="156" t="s">
        <v>148</v>
      </c>
      <c r="D218" s="156" t="s">
        <v>541</v>
      </c>
      <c r="E218" s="179">
        <v>1000000</v>
      </c>
      <c r="F218" s="179">
        <v>1000000</v>
      </c>
      <c r="G218" s="179">
        <v>500000</v>
      </c>
      <c r="H218" s="179">
        <v>0</v>
      </c>
      <c r="I218" s="179">
        <v>100195</v>
      </c>
      <c r="J218" s="179">
        <v>0</v>
      </c>
      <c r="K218" s="179">
        <v>68755</v>
      </c>
      <c r="L218" s="179">
        <v>42520</v>
      </c>
      <c r="M218" s="179">
        <v>831050</v>
      </c>
      <c r="N218" s="179">
        <v>331050</v>
      </c>
    </row>
    <row r="219" spans="1:14" s="156" customFormat="1" x14ac:dyDescent="0.25">
      <c r="A219" s="156" t="s">
        <v>545</v>
      </c>
      <c r="B219" s="156" t="s">
        <v>149</v>
      </c>
      <c r="C219" s="156" t="s">
        <v>150</v>
      </c>
      <c r="D219" s="156" t="s">
        <v>541</v>
      </c>
      <c r="E219" s="179">
        <v>200000</v>
      </c>
      <c r="F219" s="179">
        <v>200000</v>
      </c>
      <c r="G219" s="179">
        <v>200000</v>
      </c>
      <c r="H219" s="179">
        <v>0</v>
      </c>
      <c r="I219" s="179">
        <v>68081.5</v>
      </c>
      <c r="J219" s="179">
        <v>0</v>
      </c>
      <c r="K219" s="179">
        <v>29150</v>
      </c>
      <c r="L219" s="179">
        <v>29150</v>
      </c>
      <c r="M219" s="179">
        <v>102768.5</v>
      </c>
      <c r="N219" s="179">
        <v>102768.5</v>
      </c>
    </row>
    <row r="220" spans="1:14" s="156" customFormat="1" x14ac:dyDescent="0.25">
      <c r="A220" s="156" t="s">
        <v>545</v>
      </c>
      <c r="B220" s="156" t="s">
        <v>326</v>
      </c>
      <c r="C220" s="156" t="s">
        <v>327</v>
      </c>
      <c r="D220" s="156" t="s">
        <v>541</v>
      </c>
      <c r="E220" s="179">
        <v>2046000</v>
      </c>
      <c r="F220" s="179">
        <v>2046000</v>
      </c>
      <c r="G220" s="179">
        <v>1023000</v>
      </c>
      <c r="H220" s="179">
        <v>0</v>
      </c>
      <c r="I220" s="179">
        <v>430366.07</v>
      </c>
      <c r="J220" s="179">
        <v>0</v>
      </c>
      <c r="K220" s="179">
        <v>31565.65</v>
      </c>
      <c r="L220" s="179">
        <v>31565.65</v>
      </c>
      <c r="M220" s="179">
        <v>1584068.28</v>
      </c>
      <c r="N220" s="179">
        <v>561068.28</v>
      </c>
    </row>
    <row r="221" spans="1:14" s="156" customFormat="1" x14ac:dyDescent="0.25">
      <c r="A221" s="156" t="s">
        <v>545</v>
      </c>
      <c r="B221" s="156" t="s">
        <v>151</v>
      </c>
      <c r="C221" s="156" t="s">
        <v>152</v>
      </c>
      <c r="D221" s="156" t="s">
        <v>541</v>
      </c>
      <c r="E221" s="179">
        <v>334518795</v>
      </c>
      <c r="F221" s="179">
        <v>334518795</v>
      </c>
      <c r="G221" s="179">
        <v>178359398</v>
      </c>
      <c r="H221" s="179">
        <v>0</v>
      </c>
      <c r="I221" s="179">
        <v>60785368.390000001</v>
      </c>
      <c r="J221" s="179">
        <v>2958102.42</v>
      </c>
      <c r="K221" s="179">
        <v>71169492.560000002</v>
      </c>
      <c r="L221" s="179">
        <v>47494230.039999999</v>
      </c>
      <c r="M221" s="179">
        <v>199605831.63</v>
      </c>
      <c r="N221" s="179">
        <v>43446434.630000003</v>
      </c>
    </row>
    <row r="222" spans="1:14" s="156" customFormat="1" x14ac:dyDescent="0.25">
      <c r="A222" s="156" t="s">
        <v>545</v>
      </c>
      <c r="B222" s="156" t="s">
        <v>328</v>
      </c>
      <c r="C222" s="156" t="s">
        <v>329</v>
      </c>
      <c r="D222" s="156" t="s">
        <v>541</v>
      </c>
      <c r="E222" s="179">
        <v>2000000</v>
      </c>
      <c r="F222" s="179">
        <v>2000000</v>
      </c>
      <c r="G222" s="179">
        <v>800000</v>
      </c>
      <c r="H222" s="179">
        <v>0</v>
      </c>
      <c r="I222" s="179">
        <v>0</v>
      </c>
      <c r="J222" s="179">
        <v>0</v>
      </c>
      <c r="K222" s="179">
        <v>0</v>
      </c>
      <c r="L222" s="179">
        <v>0</v>
      </c>
      <c r="M222" s="179">
        <v>2000000</v>
      </c>
      <c r="N222" s="179">
        <v>800000</v>
      </c>
    </row>
    <row r="223" spans="1:14" s="156" customFormat="1" x14ac:dyDescent="0.25">
      <c r="A223" s="156" t="s">
        <v>545</v>
      </c>
      <c r="B223" s="156" t="s">
        <v>330</v>
      </c>
      <c r="C223" s="156" t="s">
        <v>604</v>
      </c>
      <c r="D223" s="156" t="s">
        <v>541</v>
      </c>
      <c r="E223" s="179">
        <v>5000000</v>
      </c>
      <c r="F223" s="179">
        <v>5000000</v>
      </c>
      <c r="G223" s="179">
        <v>5000000</v>
      </c>
      <c r="H223" s="179">
        <v>0</v>
      </c>
      <c r="I223" s="179">
        <v>4556956</v>
      </c>
      <c r="J223" s="179">
        <v>0</v>
      </c>
      <c r="K223" s="179">
        <v>0</v>
      </c>
      <c r="L223" s="179">
        <v>0</v>
      </c>
      <c r="M223" s="179">
        <v>443044</v>
      </c>
      <c r="N223" s="179">
        <v>443044</v>
      </c>
    </row>
    <row r="224" spans="1:14" s="156" customFormat="1" x14ac:dyDescent="0.25">
      <c r="A224" s="156" t="s">
        <v>545</v>
      </c>
      <c r="B224" s="156" t="s">
        <v>154</v>
      </c>
      <c r="C224" s="156" t="s">
        <v>155</v>
      </c>
      <c r="D224" s="156" t="s">
        <v>541</v>
      </c>
      <c r="E224" s="179">
        <v>319951179</v>
      </c>
      <c r="F224" s="179">
        <v>319951179</v>
      </c>
      <c r="G224" s="179">
        <v>166175590</v>
      </c>
      <c r="H224" s="179">
        <v>0</v>
      </c>
      <c r="I224" s="179">
        <v>54570650.939999998</v>
      </c>
      <c r="J224" s="179">
        <v>1707576</v>
      </c>
      <c r="K224" s="179">
        <v>71034552.560000002</v>
      </c>
      <c r="L224" s="179">
        <v>47373035.039999999</v>
      </c>
      <c r="M224" s="179">
        <v>192638399.5</v>
      </c>
      <c r="N224" s="179">
        <v>38862810.5</v>
      </c>
    </row>
    <row r="225" spans="1:14" s="156" customFormat="1" x14ac:dyDescent="0.25">
      <c r="A225" s="156" t="s">
        <v>545</v>
      </c>
      <c r="B225" s="156" t="s">
        <v>156</v>
      </c>
      <c r="C225" s="156" t="s">
        <v>157</v>
      </c>
      <c r="D225" s="156" t="s">
        <v>541</v>
      </c>
      <c r="E225" s="179">
        <v>7567616</v>
      </c>
      <c r="F225" s="179">
        <v>7567616</v>
      </c>
      <c r="G225" s="179">
        <v>6383808</v>
      </c>
      <c r="H225" s="179">
        <v>0</v>
      </c>
      <c r="I225" s="179">
        <v>1657761.45</v>
      </c>
      <c r="J225" s="179">
        <v>1250526.42</v>
      </c>
      <c r="K225" s="179">
        <v>134940</v>
      </c>
      <c r="L225" s="179">
        <v>121195</v>
      </c>
      <c r="M225" s="179">
        <v>4524388.13</v>
      </c>
      <c r="N225" s="179">
        <v>3340580.13</v>
      </c>
    </row>
    <row r="226" spans="1:14" s="156" customFormat="1" x14ac:dyDescent="0.25">
      <c r="A226" s="156" t="s">
        <v>545</v>
      </c>
      <c r="B226" s="156" t="s">
        <v>158</v>
      </c>
      <c r="C226" s="156" t="s">
        <v>159</v>
      </c>
      <c r="D226" s="156" t="s">
        <v>541</v>
      </c>
      <c r="E226" s="179">
        <v>33445676</v>
      </c>
      <c r="F226" s="179">
        <v>33445676</v>
      </c>
      <c r="G226" s="179">
        <v>24542838</v>
      </c>
      <c r="H226" s="179">
        <v>484300</v>
      </c>
      <c r="I226" s="179">
        <v>8918691.8000000007</v>
      </c>
      <c r="J226" s="179">
        <v>0</v>
      </c>
      <c r="K226" s="179">
        <v>10882651.1</v>
      </c>
      <c r="L226" s="179">
        <v>10858851.1</v>
      </c>
      <c r="M226" s="179">
        <v>13160033.1</v>
      </c>
      <c r="N226" s="179">
        <v>4257195.0999999996</v>
      </c>
    </row>
    <row r="227" spans="1:14" s="156" customFormat="1" x14ac:dyDescent="0.25">
      <c r="A227" s="156" t="s">
        <v>545</v>
      </c>
      <c r="B227" s="156" t="s">
        <v>160</v>
      </c>
      <c r="C227" s="156" t="s">
        <v>161</v>
      </c>
      <c r="D227" s="156" t="s">
        <v>541</v>
      </c>
      <c r="E227" s="179">
        <v>1700000</v>
      </c>
      <c r="F227" s="179">
        <v>1700000</v>
      </c>
      <c r="G227" s="179">
        <v>850000</v>
      </c>
      <c r="H227" s="179">
        <v>0</v>
      </c>
      <c r="I227" s="179">
        <v>48680</v>
      </c>
      <c r="J227" s="179">
        <v>0</v>
      </c>
      <c r="K227" s="179">
        <v>296940</v>
      </c>
      <c r="L227" s="179">
        <v>296940</v>
      </c>
      <c r="M227" s="179">
        <v>1354380</v>
      </c>
      <c r="N227" s="179">
        <v>504380</v>
      </c>
    </row>
    <row r="228" spans="1:14" s="156" customFormat="1" x14ac:dyDescent="0.25">
      <c r="A228" s="156" t="s">
        <v>545</v>
      </c>
      <c r="B228" s="156" t="s">
        <v>162</v>
      </c>
      <c r="C228" s="156" t="s">
        <v>163</v>
      </c>
      <c r="D228" s="156" t="s">
        <v>541</v>
      </c>
      <c r="E228" s="179">
        <v>24979191</v>
      </c>
      <c r="F228" s="179">
        <v>24979191</v>
      </c>
      <c r="G228" s="179">
        <v>18489596</v>
      </c>
      <c r="H228" s="179">
        <v>484300</v>
      </c>
      <c r="I228" s="179">
        <v>8713196</v>
      </c>
      <c r="J228" s="179">
        <v>0</v>
      </c>
      <c r="K228" s="179">
        <v>8730750</v>
      </c>
      <c r="L228" s="179">
        <v>8706950</v>
      </c>
      <c r="M228" s="179">
        <v>7050945</v>
      </c>
      <c r="N228" s="179">
        <v>561350</v>
      </c>
    </row>
    <row r="229" spans="1:14" s="156" customFormat="1" x14ac:dyDescent="0.25">
      <c r="A229" s="156" t="s">
        <v>545</v>
      </c>
      <c r="B229" s="156" t="s">
        <v>164</v>
      </c>
      <c r="C229" s="156" t="s">
        <v>165</v>
      </c>
      <c r="D229" s="156" t="s">
        <v>541</v>
      </c>
      <c r="E229" s="179">
        <v>2035715</v>
      </c>
      <c r="F229" s="179">
        <v>2035715</v>
      </c>
      <c r="G229" s="179">
        <v>1017858</v>
      </c>
      <c r="H229" s="179">
        <v>0</v>
      </c>
      <c r="I229" s="179">
        <v>133262</v>
      </c>
      <c r="J229" s="179">
        <v>0</v>
      </c>
      <c r="K229" s="179">
        <v>366738</v>
      </c>
      <c r="L229" s="179">
        <v>366738</v>
      </c>
      <c r="M229" s="179">
        <v>1535715</v>
      </c>
      <c r="N229" s="179">
        <v>517858</v>
      </c>
    </row>
    <row r="230" spans="1:14" s="156" customFormat="1" x14ac:dyDescent="0.25">
      <c r="A230" s="156" t="s">
        <v>545</v>
      </c>
      <c r="B230" s="156" t="s">
        <v>166</v>
      </c>
      <c r="C230" s="156" t="s">
        <v>167</v>
      </c>
      <c r="D230" s="156" t="s">
        <v>541</v>
      </c>
      <c r="E230" s="179">
        <v>4730770</v>
      </c>
      <c r="F230" s="179">
        <v>4730770</v>
      </c>
      <c r="G230" s="179">
        <v>4185384</v>
      </c>
      <c r="H230" s="179">
        <v>0</v>
      </c>
      <c r="I230" s="179">
        <v>23553.8</v>
      </c>
      <c r="J230" s="179">
        <v>0</v>
      </c>
      <c r="K230" s="179">
        <v>1488223.1</v>
      </c>
      <c r="L230" s="179">
        <v>1488223.1</v>
      </c>
      <c r="M230" s="179">
        <v>3218993.1</v>
      </c>
      <c r="N230" s="179">
        <v>2673607.1</v>
      </c>
    </row>
    <row r="231" spans="1:14" s="156" customFormat="1" x14ac:dyDescent="0.25">
      <c r="A231" s="156" t="s">
        <v>545</v>
      </c>
      <c r="B231" s="156" t="s">
        <v>168</v>
      </c>
      <c r="C231" s="156" t="s">
        <v>169</v>
      </c>
      <c r="D231" s="156" t="s">
        <v>541</v>
      </c>
      <c r="E231" s="179">
        <v>83546141</v>
      </c>
      <c r="F231" s="179">
        <v>83546141</v>
      </c>
      <c r="G231" s="179">
        <v>44073070</v>
      </c>
      <c r="H231" s="179">
        <v>0</v>
      </c>
      <c r="I231" s="179">
        <v>136095</v>
      </c>
      <c r="J231" s="179">
        <v>0</v>
      </c>
      <c r="K231" s="179">
        <v>22994033</v>
      </c>
      <c r="L231" s="179">
        <v>22994033</v>
      </c>
      <c r="M231" s="179">
        <v>60416013</v>
      </c>
      <c r="N231" s="179">
        <v>20942942</v>
      </c>
    </row>
    <row r="232" spans="1:14" s="156" customFormat="1" x14ac:dyDescent="0.25">
      <c r="A232" s="156" t="s">
        <v>545</v>
      </c>
      <c r="B232" s="156" t="s">
        <v>170</v>
      </c>
      <c r="C232" s="156" t="s">
        <v>171</v>
      </c>
      <c r="D232" s="156" t="s">
        <v>541</v>
      </c>
      <c r="E232" s="179">
        <v>83546141</v>
      </c>
      <c r="F232" s="179">
        <v>83546141</v>
      </c>
      <c r="G232" s="179">
        <v>44073070</v>
      </c>
      <c r="H232" s="179">
        <v>0</v>
      </c>
      <c r="I232" s="179">
        <v>136095</v>
      </c>
      <c r="J232" s="179">
        <v>0</v>
      </c>
      <c r="K232" s="179">
        <v>22994033</v>
      </c>
      <c r="L232" s="179">
        <v>22994033</v>
      </c>
      <c r="M232" s="179">
        <v>60416013</v>
      </c>
      <c r="N232" s="179">
        <v>20942942</v>
      </c>
    </row>
    <row r="233" spans="1:14" s="156" customFormat="1" x14ac:dyDescent="0.25">
      <c r="A233" s="156" t="s">
        <v>545</v>
      </c>
      <c r="B233" s="156" t="s">
        <v>172</v>
      </c>
      <c r="C233" s="156" t="s">
        <v>173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309</v>
      </c>
      <c r="C234" s="156" t="s">
        <v>310</v>
      </c>
      <c r="D234" s="156" t="s">
        <v>541</v>
      </c>
      <c r="E234" s="179">
        <v>0</v>
      </c>
      <c r="F234" s="179">
        <v>0</v>
      </c>
      <c r="G234" s="179">
        <v>0</v>
      </c>
      <c r="H234" s="179">
        <v>0</v>
      </c>
      <c r="I234" s="179">
        <v>0</v>
      </c>
      <c r="J234" s="179">
        <v>0</v>
      </c>
      <c r="K234" s="179">
        <v>0</v>
      </c>
      <c r="L234" s="179">
        <v>0</v>
      </c>
      <c r="M234" s="179">
        <v>0</v>
      </c>
      <c r="N234" s="179">
        <v>0</v>
      </c>
    </row>
    <row r="235" spans="1:14" s="156" customFormat="1" x14ac:dyDescent="0.25">
      <c r="A235" s="156" t="s">
        <v>545</v>
      </c>
      <c r="B235" s="156" t="s">
        <v>178</v>
      </c>
      <c r="C235" s="156" t="s">
        <v>179</v>
      </c>
      <c r="D235" s="156" t="s">
        <v>541</v>
      </c>
      <c r="E235" s="179">
        <v>89480793</v>
      </c>
      <c r="F235" s="179">
        <v>89480793</v>
      </c>
      <c r="G235" s="179">
        <v>42920396</v>
      </c>
      <c r="H235" s="179">
        <v>466500</v>
      </c>
      <c r="I235" s="179">
        <v>24318578.370000001</v>
      </c>
      <c r="J235" s="179">
        <v>381199.59</v>
      </c>
      <c r="K235" s="179">
        <v>8283040.6500000004</v>
      </c>
      <c r="L235" s="179">
        <v>7473040.6500000004</v>
      </c>
      <c r="M235" s="179">
        <v>56031474.390000001</v>
      </c>
      <c r="N235" s="179">
        <v>9471077.3900000006</v>
      </c>
    </row>
    <row r="236" spans="1:14" s="156" customFormat="1" x14ac:dyDescent="0.25">
      <c r="A236" s="156" t="s">
        <v>545</v>
      </c>
      <c r="B236" s="156" t="s">
        <v>180</v>
      </c>
      <c r="C236" s="156" t="s">
        <v>181</v>
      </c>
      <c r="D236" s="156" t="s">
        <v>541</v>
      </c>
      <c r="E236" s="179">
        <v>13000000</v>
      </c>
      <c r="F236" s="179">
        <v>13000000</v>
      </c>
      <c r="G236" s="179">
        <v>8000000</v>
      </c>
      <c r="H236" s="179">
        <v>466500</v>
      </c>
      <c r="I236" s="179">
        <v>3411884.75</v>
      </c>
      <c r="J236" s="179">
        <v>0</v>
      </c>
      <c r="K236" s="179">
        <v>1914772.92</v>
      </c>
      <c r="L236" s="179">
        <v>1914772.92</v>
      </c>
      <c r="M236" s="179">
        <v>7206842.3300000001</v>
      </c>
      <c r="N236" s="179">
        <v>2206842.33</v>
      </c>
    </row>
    <row r="237" spans="1:14" s="156" customFormat="1" x14ac:dyDescent="0.25">
      <c r="A237" s="156" t="s">
        <v>545</v>
      </c>
      <c r="B237" s="156" t="s">
        <v>332</v>
      </c>
      <c r="C237" s="156" t="s">
        <v>333</v>
      </c>
      <c r="D237" s="156" t="s">
        <v>541</v>
      </c>
      <c r="E237" s="179">
        <v>1918000</v>
      </c>
      <c r="F237" s="179">
        <v>1918000</v>
      </c>
      <c r="G237" s="179">
        <v>1359000</v>
      </c>
      <c r="H237" s="179">
        <v>0</v>
      </c>
      <c r="I237" s="179">
        <v>443517.88</v>
      </c>
      <c r="J237" s="179">
        <v>0</v>
      </c>
      <c r="K237" s="179">
        <v>756606.25</v>
      </c>
      <c r="L237" s="179">
        <v>756606.25</v>
      </c>
      <c r="M237" s="179">
        <v>717875.87</v>
      </c>
      <c r="N237" s="179">
        <v>158875.87</v>
      </c>
    </row>
    <row r="238" spans="1:14" s="156" customFormat="1" x14ac:dyDescent="0.25">
      <c r="A238" s="156" t="s">
        <v>545</v>
      </c>
      <c r="B238" s="156" t="s">
        <v>182</v>
      </c>
      <c r="C238" s="156" t="s">
        <v>183</v>
      </c>
      <c r="D238" s="156" t="s">
        <v>541</v>
      </c>
      <c r="E238" s="179">
        <v>25420000</v>
      </c>
      <c r="F238" s="179">
        <v>25420000</v>
      </c>
      <c r="G238" s="179">
        <v>12660000</v>
      </c>
      <c r="H238" s="179">
        <v>0</v>
      </c>
      <c r="I238" s="179">
        <v>11441423</v>
      </c>
      <c r="J238" s="179">
        <v>0</v>
      </c>
      <c r="K238" s="179">
        <v>486256</v>
      </c>
      <c r="L238" s="179">
        <v>486256</v>
      </c>
      <c r="M238" s="179">
        <v>13492321</v>
      </c>
      <c r="N238" s="179">
        <v>732321</v>
      </c>
    </row>
    <row r="239" spans="1:14" s="156" customFormat="1" x14ac:dyDescent="0.25">
      <c r="A239" s="156" t="s">
        <v>545</v>
      </c>
      <c r="B239" s="156" t="s">
        <v>184</v>
      </c>
      <c r="C239" s="156" t="s">
        <v>185</v>
      </c>
      <c r="D239" s="156" t="s">
        <v>541</v>
      </c>
      <c r="E239" s="179">
        <v>7181770</v>
      </c>
      <c r="F239" s="179">
        <v>7181770</v>
      </c>
      <c r="G239" s="179">
        <v>3590884</v>
      </c>
      <c r="H239" s="179">
        <v>0</v>
      </c>
      <c r="I239" s="179">
        <v>1436583.2</v>
      </c>
      <c r="J239" s="179">
        <v>0</v>
      </c>
      <c r="K239" s="179">
        <v>800000</v>
      </c>
      <c r="L239" s="179">
        <v>800000</v>
      </c>
      <c r="M239" s="179">
        <v>4945186.8</v>
      </c>
      <c r="N239" s="179">
        <v>1354300.8</v>
      </c>
    </row>
    <row r="240" spans="1:14" s="156" customFormat="1" x14ac:dyDescent="0.25">
      <c r="A240" s="156" t="s">
        <v>545</v>
      </c>
      <c r="B240" s="156" t="s">
        <v>186</v>
      </c>
      <c r="C240" s="156" t="s">
        <v>187</v>
      </c>
      <c r="D240" s="156" t="s">
        <v>541</v>
      </c>
      <c r="E240" s="179">
        <v>8196286</v>
      </c>
      <c r="F240" s="179">
        <v>8196286</v>
      </c>
      <c r="G240" s="179">
        <v>4098144</v>
      </c>
      <c r="H240" s="179">
        <v>0</v>
      </c>
      <c r="I240" s="179">
        <v>2900677.48</v>
      </c>
      <c r="J240" s="179">
        <v>138618.99</v>
      </c>
      <c r="K240" s="179">
        <v>878973.6</v>
      </c>
      <c r="L240" s="179">
        <v>878973.6</v>
      </c>
      <c r="M240" s="179">
        <v>4278015.93</v>
      </c>
      <c r="N240" s="179">
        <v>179873.93</v>
      </c>
    </row>
    <row r="241" spans="1:14" s="156" customFormat="1" x14ac:dyDescent="0.25">
      <c r="A241" s="156" t="s">
        <v>545</v>
      </c>
      <c r="B241" s="156" t="s">
        <v>188</v>
      </c>
      <c r="C241" s="156" t="s">
        <v>189</v>
      </c>
      <c r="D241" s="156" t="s">
        <v>541</v>
      </c>
      <c r="E241" s="179">
        <v>28160737</v>
      </c>
      <c r="F241" s="179">
        <v>28160737</v>
      </c>
      <c r="G241" s="179">
        <v>10410368</v>
      </c>
      <c r="H241" s="179">
        <v>0</v>
      </c>
      <c r="I241" s="179">
        <v>3450000</v>
      </c>
      <c r="J241" s="179">
        <v>242580.6</v>
      </c>
      <c r="K241" s="179">
        <v>3446431.88</v>
      </c>
      <c r="L241" s="179">
        <v>2636431.88</v>
      </c>
      <c r="M241" s="179">
        <v>21021724.52</v>
      </c>
      <c r="N241" s="179">
        <v>3271355.52</v>
      </c>
    </row>
    <row r="242" spans="1:14" s="156" customFormat="1" x14ac:dyDescent="0.25">
      <c r="A242" s="156" t="s">
        <v>545</v>
      </c>
      <c r="B242" s="156" t="s">
        <v>190</v>
      </c>
      <c r="C242" s="156" t="s">
        <v>191</v>
      </c>
      <c r="D242" s="156" t="s">
        <v>541</v>
      </c>
      <c r="E242" s="179">
        <v>5604000</v>
      </c>
      <c r="F242" s="179">
        <v>5604000</v>
      </c>
      <c r="G242" s="179">
        <v>2802000</v>
      </c>
      <c r="H242" s="179">
        <v>0</v>
      </c>
      <c r="I242" s="179">
        <v>1234492.06</v>
      </c>
      <c r="J242" s="179">
        <v>0</v>
      </c>
      <c r="K242" s="179">
        <v>0</v>
      </c>
      <c r="L242" s="179">
        <v>0</v>
      </c>
      <c r="M242" s="179">
        <v>4369507.9400000004</v>
      </c>
      <c r="N242" s="179">
        <v>1567507.94</v>
      </c>
    </row>
    <row r="243" spans="1:14" s="156" customFormat="1" x14ac:dyDescent="0.25">
      <c r="A243" s="156" t="s">
        <v>545</v>
      </c>
      <c r="B243" s="156" t="s">
        <v>192</v>
      </c>
      <c r="C243" s="156" t="s">
        <v>193</v>
      </c>
      <c r="D243" s="156" t="s">
        <v>541</v>
      </c>
      <c r="E243" s="179">
        <v>1340000</v>
      </c>
      <c r="F243" s="179">
        <v>1340000</v>
      </c>
      <c r="G243" s="179">
        <v>1270000</v>
      </c>
      <c r="H243" s="179">
        <v>0</v>
      </c>
      <c r="I243" s="179">
        <v>25000</v>
      </c>
      <c r="J243" s="179">
        <v>0</v>
      </c>
      <c r="K243" s="179">
        <v>0</v>
      </c>
      <c r="L243" s="179">
        <v>0</v>
      </c>
      <c r="M243" s="179">
        <v>1315000</v>
      </c>
      <c r="N243" s="179">
        <v>1245000</v>
      </c>
    </row>
    <row r="244" spans="1:14" s="156" customFormat="1" x14ac:dyDescent="0.25">
      <c r="A244" s="156" t="s">
        <v>545</v>
      </c>
      <c r="B244" s="156" t="s">
        <v>194</v>
      </c>
      <c r="C244" s="156" t="s">
        <v>195</v>
      </c>
      <c r="D244" s="156" t="s">
        <v>541</v>
      </c>
      <c r="E244" s="179">
        <v>1340000</v>
      </c>
      <c r="F244" s="179">
        <v>1340000</v>
      </c>
      <c r="G244" s="179">
        <v>1270000</v>
      </c>
      <c r="H244" s="179">
        <v>0</v>
      </c>
      <c r="I244" s="179">
        <v>25000</v>
      </c>
      <c r="J244" s="179">
        <v>0</v>
      </c>
      <c r="K244" s="179">
        <v>0</v>
      </c>
      <c r="L244" s="179">
        <v>0</v>
      </c>
      <c r="M244" s="179">
        <v>1315000</v>
      </c>
      <c r="N244" s="179">
        <v>1245000</v>
      </c>
    </row>
    <row r="245" spans="1:14" s="156" customFormat="1" x14ac:dyDescent="0.25">
      <c r="A245" s="156" t="s">
        <v>545</v>
      </c>
      <c r="B245" s="156" t="s">
        <v>196</v>
      </c>
      <c r="C245" s="156" t="s">
        <v>197</v>
      </c>
      <c r="D245" s="156" t="s">
        <v>541</v>
      </c>
      <c r="E245" s="179">
        <v>2150000</v>
      </c>
      <c r="F245" s="179">
        <v>2150000</v>
      </c>
      <c r="G245" s="179">
        <v>675000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2036792.22</v>
      </c>
      <c r="N245" s="179">
        <v>561792.22</v>
      </c>
    </row>
    <row r="246" spans="1:14" s="156" customFormat="1" x14ac:dyDescent="0.25">
      <c r="A246" s="156" t="s">
        <v>545</v>
      </c>
      <c r="B246" s="156" t="s">
        <v>334</v>
      </c>
      <c r="C246" s="156" t="s">
        <v>335</v>
      </c>
      <c r="D246" s="156" t="s">
        <v>541</v>
      </c>
      <c r="E246" s="179">
        <v>150000</v>
      </c>
      <c r="F246" s="179">
        <v>150000</v>
      </c>
      <c r="G246" s="179">
        <v>150000</v>
      </c>
      <c r="H246" s="179">
        <v>0</v>
      </c>
      <c r="I246" s="179">
        <v>113207.78</v>
      </c>
      <c r="J246" s="179">
        <v>0</v>
      </c>
      <c r="K246" s="179">
        <v>0</v>
      </c>
      <c r="L246" s="179">
        <v>0</v>
      </c>
      <c r="M246" s="179">
        <v>36792.22</v>
      </c>
      <c r="N246" s="179">
        <v>36792.22</v>
      </c>
    </row>
    <row r="247" spans="1:14" s="156" customFormat="1" x14ac:dyDescent="0.25">
      <c r="A247" s="156" t="s">
        <v>545</v>
      </c>
      <c r="B247" s="156" t="s">
        <v>198</v>
      </c>
      <c r="C247" s="156" t="s">
        <v>199</v>
      </c>
      <c r="D247" s="156" t="s">
        <v>541</v>
      </c>
      <c r="E247" s="179">
        <v>2000000</v>
      </c>
      <c r="F247" s="179">
        <v>2000000</v>
      </c>
      <c r="G247" s="179">
        <v>525000</v>
      </c>
      <c r="H247" s="179">
        <v>0</v>
      </c>
      <c r="I247" s="179">
        <v>0</v>
      </c>
      <c r="J247" s="179">
        <v>0</v>
      </c>
      <c r="K247" s="179">
        <v>0</v>
      </c>
      <c r="L247" s="179">
        <v>0</v>
      </c>
      <c r="M247" s="179">
        <v>2000000</v>
      </c>
      <c r="N247" s="179">
        <v>525000</v>
      </c>
    </row>
    <row r="248" spans="1:14" s="156" customFormat="1" x14ac:dyDescent="0.25">
      <c r="A248" s="156" t="s">
        <v>545</v>
      </c>
      <c r="B248" s="156" t="s">
        <v>200</v>
      </c>
      <c r="C248" s="156" t="s">
        <v>201</v>
      </c>
      <c r="D248" s="156" t="s">
        <v>541</v>
      </c>
      <c r="E248" s="179">
        <v>65233793</v>
      </c>
      <c r="F248" s="179">
        <v>65233793</v>
      </c>
      <c r="G248" s="179">
        <v>21136896</v>
      </c>
      <c r="H248" s="179">
        <v>0</v>
      </c>
      <c r="I248" s="179">
        <v>2098265.21</v>
      </c>
      <c r="J248" s="179">
        <v>66000</v>
      </c>
      <c r="K248" s="179">
        <v>5428919.79</v>
      </c>
      <c r="L248" s="179">
        <v>5428919.79</v>
      </c>
      <c r="M248" s="179">
        <v>57640608</v>
      </c>
      <c r="N248" s="179">
        <v>13543711</v>
      </c>
    </row>
    <row r="249" spans="1:14" s="156" customFormat="1" x14ac:dyDescent="0.25">
      <c r="A249" s="156" t="s">
        <v>545</v>
      </c>
      <c r="B249" s="156" t="s">
        <v>202</v>
      </c>
      <c r="C249" s="156" t="s">
        <v>203</v>
      </c>
      <c r="D249" s="156" t="s">
        <v>541</v>
      </c>
      <c r="E249" s="179">
        <v>34706100</v>
      </c>
      <c r="F249" s="179">
        <v>34706100</v>
      </c>
      <c r="G249" s="179">
        <v>15353050</v>
      </c>
      <c r="H249" s="179">
        <v>0</v>
      </c>
      <c r="I249" s="179">
        <v>1855550.21</v>
      </c>
      <c r="J249" s="179">
        <v>0</v>
      </c>
      <c r="K249" s="179">
        <v>4640519.79</v>
      </c>
      <c r="L249" s="179">
        <v>4640519.79</v>
      </c>
      <c r="M249" s="179">
        <v>28210030</v>
      </c>
      <c r="N249" s="179">
        <v>8856980</v>
      </c>
    </row>
    <row r="250" spans="1:14" s="156" customFormat="1" x14ac:dyDescent="0.25">
      <c r="A250" s="156" t="s">
        <v>545</v>
      </c>
      <c r="B250" s="156" t="s">
        <v>204</v>
      </c>
      <c r="C250" s="156" t="s">
        <v>205</v>
      </c>
      <c r="D250" s="156" t="s">
        <v>541</v>
      </c>
      <c r="E250" s="179">
        <v>26298967</v>
      </c>
      <c r="F250" s="179">
        <v>26298967</v>
      </c>
      <c r="G250" s="179">
        <v>13149484</v>
      </c>
      <c r="H250" s="179">
        <v>0</v>
      </c>
      <c r="I250" s="179">
        <v>1855550.21</v>
      </c>
      <c r="J250" s="179">
        <v>0</v>
      </c>
      <c r="K250" s="179">
        <v>4640519.79</v>
      </c>
      <c r="L250" s="179">
        <v>4640519.79</v>
      </c>
      <c r="M250" s="179">
        <v>19802897</v>
      </c>
      <c r="N250" s="179">
        <v>6653414</v>
      </c>
    </row>
    <row r="251" spans="1:14" s="156" customFormat="1" x14ac:dyDescent="0.25">
      <c r="A251" s="156" t="s">
        <v>545</v>
      </c>
      <c r="B251" s="156" t="s">
        <v>208</v>
      </c>
      <c r="C251" s="156" t="s">
        <v>209</v>
      </c>
      <c r="D251" s="156" t="s">
        <v>541</v>
      </c>
      <c r="E251" s="179">
        <v>8102133</v>
      </c>
      <c r="F251" s="179">
        <v>8102133</v>
      </c>
      <c r="G251" s="179">
        <v>2051066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8102133</v>
      </c>
      <c r="N251" s="179">
        <v>2051066</v>
      </c>
    </row>
    <row r="252" spans="1:14" s="156" customFormat="1" x14ac:dyDescent="0.25">
      <c r="A252" s="156" t="s">
        <v>545</v>
      </c>
      <c r="B252" s="156" t="s">
        <v>210</v>
      </c>
      <c r="C252" s="156" t="s">
        <v>211</v>
      </c>
      <c r="D252" s="156" t="s">
        <v>541</v>
      </c>
      <c r="E252" s="179">
        <v>305000</v>
      </c>
      <c r="F252" s="179">
        <v>305000</v>
      </c>
      <c r="G252" s="179">
        <v>152500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305000</v>
      </c>
      <c r="N252" s="179">
        <v>152500</v>
      </c>
    </row>
    <row r="253" spans="1:14" s="156" customFormat="1" x14ac:dyDescent="0.25">
      <c r="A253" s="156" t="s">
        <v>545</v>
      </c>
      <c r="B253" s="156" t="s">
        <v>216</v>
      </c>
      <c r="C253" s="156" t="s">
        <v>217</v>
      </c>
      <c r="D253" s="156" t="s">
        <v>541</v>
      </c>
      <c r="E253" s="179">
        <v>2978000</v>
      </c>
      <c r="F253" s="179">
        <v>2978000</v>
      </c>
      <c r="G253" s="179">
        <v>989000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2978000</v>
      </c>
      <c r="N253" s="179">
        <v>989000</v>
      </c>
    </row>
    <row r="254" spans="1:14" s="156" customFormat="1" x14ac:dyDescent="0.25">
      <c r="A254" s="156" t="s">
        <v>545</v>
      </c>
      <c r="B254" s="156" t="s">
        <v>218</v>
      </c>
      <c r="C254" s="156" t="s">
        <v>219</v>
      </c>
      <c r="D254" s="156" t="s">
        <v>541</v>
      </c>
      <c r="E254" s="179">
        <v>830000</v>
      </c>
      <c r="F254" s="179">
        <v>830000</v>
      </c>
      <c r="G254" s="179">
        <v>215000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830000</v>
      </c>
      <c r="N254" s="179">
        <v>215000</v>
      </c>
    </row>
    <row r="255" spans="1:14" s="156" customFormat="1" x14ac:dyDescent="0.25">
      <c r="A255" s="156" t="s">
        <v>545</v>
      </c>
      <c r="B255" s="156" t="s">
        <v>336</v>
      </c>
      <c r="C255" s="156" t="s">
        <v>337</v>
      </c>
      <c r="D255" s="156" t="s">
        <v>541</v>
      </c>
      <c r="E255" s="179">
        <v>67000</v>
      </c>
      <c r="F255" s="179">
        <v>67000</v>
      </c>
      <c r="G255" s="179">
        <v>33500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67000</v>
      </c>
      <c r="N255" s="179">
        <v>33500</v>
      </c>
    </row>
    <row r="256" spans="1:14" s="156" customFormat="1" x14ac:dyDescent="0.25">
      <c r="A256" s="156" t="s">
        <v>545</v>
      </c>
      <c r="B256" s="156" t="s">
        <v>338</v>
      </c>
      <c r="C256" s="156" t="s">
        <v>339</v>
      </c>
      <c r="D256" s="156" t="s">
        <v>541</v>
      </c>
      <c r="E256" s="179">
        <v>99000</v>
      </c>
      <c r="F256" s="179">
        <v>99000</v>
      </c>
      <c r="G256" s="179">
        <v>49500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99000</v>
      </c>
      <c r="N256" s="179">
        <v>49500</v>
      </c>
    </row>
    <row r="257" spans="1:14" s="156" customFormat="1" x14ac:dyDescent="0.25">
      <c r="A257" s="156" t="s">
        <v>545</v>
      </c>
      <c r="B257" s="156" t="s">
        <v>220</v>
      </c>
      <c r="C257" s="156" t="s">
        <v>221</v>
      </c>
      <c r="D257" s="156" t="s">
        <v>541</v>
      </c>
      <c r="E257" s="179">
        <v>1345000</v>
      </c>
      <c r="F257" s="179">
        <v>1345000</v>
      </c>
      <c r="G257" s="179">
        <v>372500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1345000</v>
      </c>
      <c r="N257" s="179">
        <v>372500</v>
      </c>
    </row>
    <row r="258" spans="1:14" s="156" customFormat="1" x14ac:dyDescent="0.25">
      <c r="A258" s="156" t="s">
        <v>545</v>
      </c>
      <c r="B258" s="156" t="s">
        <v>222</v>
      </c>
      <c r="C258" s="156" t="s">
        <v>223</v>
      </c>
      <c r="D258" s="156" t="s">
        <v>541</v>
      </c>
      <c r="E258" s="179">
        <v>40000</v>
      </c>
      <c r="F258" s="179">
        <v>40000</v>
      </c>
      <c r="G258" s="179">
        <v>20000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40000</v>
      </c>
      <c r="N258" s="179">
        <v>20000</v>
      </c>
    </row>
    <row r="259" spans="1:14" s="156" customFormat="1" x14ac:dyDescent="0.25">
      <c r="A259" s="156" t="s">
        <v>545</v>
      </c>
      <c r="B259" s="156" t="s">
        <v>224</v>
      </c>
      <c r="C259" s="156" t="s">
        <v>225</v>
      </c>
      <c r="D259" s="156" t="s">
        <v>541</v>
      </c>
      <c r="E259" s="179">
        <v>198000</v>
      </c>
      <c r="F259" s="179">
        <v>198000</v>
      </c>
      <c r="G259" s="179">
        <v>99000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198000</v>
      </c>
      <c r="N259" s="179">
        <v>99000</v>
      </c>
    </row>
    <row r="260" spans="1:14" s="156" customFormat="1" x14ac:dyDescent="0.25">
      <c r="A260" s="156" t="s">
        <v>545</v>
      </c>
      <c r="B260" s="156" t="s">
        <v>226</v>
      </c>
      <c r="C260" s="156" t="s">
        <v>227</v>
      </c>
      <c r="D260" s="156" t="s">
        <v>541</v>
      </c>
      <c r="E260" s="179">
        <v>399000</v>
      </c>
      <c r="F260" s="179">
        <v>399000</v>
      </c>
      <c r="G260" s="179">
        <v>199500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399000</v>
      </c>
      <c r="N260" s="179">
        <v>199500</v>
      </c>
    </row>
    <row r="261" spans="1:14" s="156" customFormat="1" x14ac:dyDescent="0.25">
      <c r="A261" s="156" t="s">
        <v>545</v>
      </c>
      <c r="B261" s="156" t="s">
        <v>228</v>
      </c>
      <c r="C261" s="156" t="s">
        <v>229</v>
      </c>
      <c r="D261" s="156" t="s">
        <v>541</v>
      </c>
      <c r="E261" s="179">
        <v>3047000</v>
      </c>
      <c r="F261" s="179">
        <v>3047000</v>
      </c>
      <c r="G261" s="179">
        <v>873500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3047000</v>
      </c>
      <c r="N261" s="179">
        <v>873500</v>
      </c>
    </row>
    <row r="262" spans="1:14" s="156" customFormat="1" x14ac:dyDescent="0.25">
      <c r="A262" s="156" t="s">
        <v>545</v>
      </c>
      <c r="B262" s="156" t="s">
        <v>230</v>
      </c>
      <c r="C262" s="156" t="s">
        <v>231</v>
      </c>
      <c r="D262" s="156" t="s">
        <v>541</v>
      </c>
      <c r="E262" s="179">
        <v>251000</v>
      </c>
      <c r="F262" s="179">
        <v>251000</v>
      </c>
      <c r="G262" s="179">
        <v>125500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251000</v>
      </c>
      <c r="N262" s="179">
        <v>125500</v>
      </c>
    </row>
    <row r="263" spans="1:14" s="156" customFormat="1" x14ac:dyDescent="0.25">
      <c r="A263" s="156" t="s">
        <v>545</v>
      </c>
      <c r="B263" s="156" t="s">
        <v>232</v>
      </c>
      <c r="C263" s="156" t="s">
        <v>233</v>
      </c>
      <c r="D263" s="156" t="s">
        <v>541</v>
      </c>
      <c r="E263" s="179">
        <v>2796000</v>
      </c>
      <c r="F263" s="179">
        <v>2796000</v>
      </c>
      <c r="G263" s="179">
        <v>748000</v>
      </c>
      <c r="H263" s="179">
        <v>0</v>
      </c>
      <c r="I263" s="179">
        <v>0</v>
      </c>
      <c r="J263" s="179">
        <v>0</v>
      </c>
      <c r="K263" s="179">
        <v>0</v>
      </c>
      <c r="L263" s="179">
        <v>0</v>
      </c>
      <c r="M263" s="179">
        <v>2796000</v>
      </c>
      <c r="N263" s="179">
        <v>748000</v>
      </c>
    </row>
    <row r="264" spans="1:14" s="156" customFormat="1" x14ac:dyDescent="0.25">
      <c r="A264" s="156" t="s">
        <v>545</v>
      </c>
      <c r="B264" s="156" t="s">
        <v>234</v>
      </c>
      <c r="C264" s="156" t="s">
        <v>601</v>
      </c>
      <c r="D264" s="156" t="s">
        <v>541</v>
      </c>
      <c r="E264" s="179">
        <v>24502693</v>
      </c>
      <c r="F264" s="179">
        <v>24502693</v>
      </c>
      <c r="G264" s="179">
        <v>3921346</v>
      </c>
      <c r="H264" s="179">
        <v>0</v>
      </c>
      <c r="I264" s="179">
        <v>242715</v>
      </c>
      <c r="J264" s="179">
        <v>66000</v>
      </c>
      <c r="K264" s="179">
        <v>788400</v>
      </c>
      <c r="L264" s="179">
        <v>788400</v>
      </c>
      <c r="M264" s="179">
        <v>23405578</v>
      </c>
      <c r="N264" s="179">
        <v>2824231</v>
      </c>
    </row>
    <row r="265" spans="1:14" s="156" customFormat="1" x14ac:dyDescent="0.25">
      <c r="A265" s="156" t="s">
        <v>545</v>
      </c>
      <c r="B265" s="156" t="s">
        <v>235</v>
      </c>
      <c r="C265" s="156" t="s">
        <v>236</v>
      </c>
      <c r="D265" s="156" t="s">
        <v>541</v>
      </c>
      <c r="E265" s="179">
        <v>7116000</v>
      </c>
      <c r="F265" s="179">
        <v>7116000</v>
      </c>
      <c r="G265" s="179">
        <v>1908000</v>
      </c>
      <c r="H265" s="179">
        <v>0</v>
      </c>
      <c r="I265" s="179">
        <v>0</v>
      </c>
      <c r="J265" s="179">
        <v>0</v>
      </c>
      <c r="K265" s="179">
        <v>119000</v>
      </c>
      <c r="L265" s="179">
        <v>119000</v>
      </c>
      <c r="M265" s="179">
        <v>6997000</v>
      </c>
      <c r="N265" s="179">
        <v>1789000</v>
      </c>
    </row>
    <row r="266" spans="1:14" s="156" customFormat="1" x14ac:dyDescent="0.25">
      <c r="A266" s="156" t="s">
        <v>545</v>
      </c>
      <c r="B266" s="156" t="s">
        <v>237</v>
      </c>
      <c r="C266" s="156" t="s">
        <v>238</v>
      </c>
      <c r="D266" s="156" t="s">
        <v>541</v>
      </c>
      <c r="E266" s="179">
        <v>0</v>
      </c>
      <c r="F266" s="179">
        <v>0</v>
      </c>
      <c r="G266" s="179">
        <v>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0</v>
      </c>
      <c r="N266" s="179">
        <v>0</v>
      </c>
    </row>
    <row r="267" spans="1:14" s="156" customFormat="1" x14ac:dyDescent="0.25">
      <c r="A267" s="156" t="s">
        <v>545</v>
      </c>
      <c r="B267" s="156" t="s">
        <v>239</v>
      </c>
      <c r="C267" s="156" t="s">
        <v>240</v>
      </c>
      <c r="D267" s="156" t="s">
        <v>541</v>
      </c>
      <c r="E267" s="179">
        <v>15203693</v>
      </c>
      <c r="F267" s="179">
        <v>15203693</v>
      </c>
      <c r="G267" s="179">
        <v>871846</v>
      </c>
      <c r="H267" s="179">
        <v>0</v>
      </c>
      <c r="I267" s="179">
        <v>105375</v>
      </c>
      <c r="J267" s="179">
        <v>66000</v>
      </c>
      <c r="K267" s="179">
        <v>278000</v>
      </c>
      <c r="L267" s="179">
        <v>278000</v>
      </c>
      <c r="M267" s="179">
        <v>14754318</v>
      </c>
      <c r="N267" s="179">
        <v>422471</v>
      </c>
    </row>
    <row r="268" spans="1:14" s="156" customFormat="1" x14ac:dyDescent="0.25">
      <c r="A268" s="156" t="s">
        <v>545</v>
      </c>
      <c r="B268" s="156" t="s">
        <v>241</v>
      </c>
      <c r="C268" s="156" t="s">
        <v>242</v>
      </c>
      <c r="D268" s="156" t="s">
        <v>541</v>
      </c>
      <c r="E268" s="179">
        <v>133000</v>
      </c>
      <c r="F268" s="179">
        <v>133000</v>
      </c>
      <c r="G268" s="179">
        <v>66500</v>
      </c>
      <c r="H268" s="179">
        <v>0</v>
      </c>
      <c r="I268" s="179">
        <v>0</v>
      </c>
      <c r="J268" s="179">
        <v>0</v>
      </c>
      <c r="K268" s="179">
        <v>0</v>
      </c>
      <c r="L268" s="179">
        <v>0</v>
      </c>
      <c r="M268" s="179">
        <v>133000</v>
      </c>
      <c r="N268" s="179">
        <v>66500</v>
      </c>
    </row>
    <row r="269" spans="1:14" s="156" customFormat="1" x14ac:dyDescent="0.25">
      <c r="A269" s="156" t="s">
        <v>545</v>
      </c>
      <c r="B269" s="156" t="s">
        <v>243</v>
      </c>
      <c r="C269" s="156" t="s">
        <v>244</v>
      </c>
      <c r="D269" s="156" t="s">
        <v>541</v>
      </c>
      <c r="E269" s="179">
        <v>1356000</v>
      </c>
      <c r="F269" s="179">
        <v>1356000</v>
      </c>
      <c r="G269" s="179">
        <v>728000</v>
      </c>
      <c r="H269" s="179">
        <v>0</v>
      </c>
      <c r="I269" s="179">
        <v>0</v>
      </c>
      <c r="J269" s="179">
        <v>0</v>
      </c>
      <c r="K269" s="179">
        <v>386600</v>
      </c>
      <c r="L269" s="179">
        <v>386600</v>
      </c>
      <c r="M269" s="179">
        <v>969400</v>
      </c>
      <c r="N269" s="179">
        <v>341400</v>
      </c>
    </row>
    <row r="270" spans="1:14" s="156" customFormat="1" x14ac:dyDescent="0.25">
      <c r="A270" s="156" t="s">
        <v>545</v>
      </c>
      <c r="B270" s="156" t="s">
        <v>245</v>
      </c>
      <c r="C270" s="156" t="s">
        <v>246</v>
      </c>
      <c r="D270" s="156" t="s">
        <v>541</v>
      </c>
      <c r="E270" s="179">
        <v>123000</v>
      </c>
      <c r="F270" s="179">
        <v>123000</v>
      </c>
      <c r="G270" s="179">
        <v>61500</v>
      </c>
      <c r="H270" s="179">
        <v>0</v>
      </c>
      <c r="I270" s="179">
        <v>0</v>
      </c>
      <c r="J270" s="179">
        <v>0</v>
      </c>
      <c r="K270" s="179">
        <v>4800</v>
      </c>
      <c r="L270" s="179">
        <v>4800</v>
      </c>
      <c r="M270" s="179">
        <v>118200</v>
      </c>
      <c r="N270" s="179">
        <v>56700</v>
      </c>
    </row>
    <row r="271" spans="1:14" s="156" customFormat="1" x14ac:dyDescent="0.25">
      <c r="A271" s="156" t="s">
        <v>545</v>
      </c>
      <c r="B271" s="156" t="s">
        <v>249</v>
      </c>
      <c r="C271" s="156" t="s">
        <v>250</v>
      </c>
      <c r="D271" s="156" t="s">
        <v>541</v>
      </c>
      <c r="E271" s="179">
        <v>571000</v>
      </c>
      <c r="F271" s="179">
        <v>571000</v>
      </c>
      <c r="G271" s="179">
        <v>285500</v>
      </c>
      <c r="H271" s="179">
        <v>0</v>
      </c>
      <c r="I271" s="179">
        <v>137340</v>
      </c>
      <c r="J271" s="179">
        <v>0</v>
      </c>
      <c r="K271" s="179">
        <v>0</v>
      </c>
      <c r="L271" s="179">
        <v>0</v>
      </c>
      <c r="M271" s="179">
        <v>433660</v>
      </c>
      <c r="N271" s="179">
        <v>148160</v>
      </c>
    </row>
    <row r="272" spans="1:14" s="156" customFormat="1" x14ac:dyDescent="0.25">
      <c r="A272" s="156" t="s">
        <v>545</v>
      </c>
      <c r="B272" s="156" t="s">
        <v>251</v>
      </c>
      <c r="C272" s="156" t="s">
        <v>252</v>
      </c>
      <c r="D272" s="156" t="s">
        <v>541</v>
      </c>
      <c r="E272" s="179">
        <v>298129000</v>
      </c>
      <c r="F272" s="179">
        <v>298129000</v>
      </c>
      <c r="G272" s="179">
        <v>168798300</v>
      </c>
      <c r="H272" s="179">
        <v>0</v>
      </c>
      <c r="I272" s="179">
        <v>77399660.129999995</v>
      </c>
      <c r="J272" s="179">
        <v>0</v>
      </c>
      <c r="K272" s="179">
        <v>64426335.869999997</v>
      </c>
      <c r="L272" s="179">
        <v>64421809</v>
      </c>
      <c r="M272" s="179">
        <v>156303004</v>
      </c>
      <c r="N272" s="179">
        <v>26972304</v>
      </c>
    </row>
    <row r="273" spans="1:14" s="156" customFormat="1" x14ac:dyDescent="0.25">
      <c r="A273" s="156" t="s">
        <v>545</v>
      </c>
      <c r="B273" s="156" t="s">
        <v>253</v>
      </c>
      <c r="C273" s="156" t="s">
        <v>254</v>
      </c>
      <c r="D273" s="156" t="s">
        <v>541</v>
      </c>
      <c r="E273" s="179">
        <v>115667000</v>
      </c>
      <c r="F273" s="179">
        <v>115667000</v>
      </c>
      <c r="G273" s="179">
        <v>115667000</v>
      </c>
      <c r="H273" s="179">
        <v>0</v>
      </c>
      <c r="I273" s="179">
        <v>77394278.120000005</v>
      </c>
      <c r="J273" s="179">
        <v>0</v>
      </c>
      <c r="K273" s="179">
        <v>38272721.880000003</v>
      </c>
      <c r="L273" s="179">
        <v>38272721.880000003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344</v>
      </c>
      <c r="C274" s="156" t="s">
        <v>602</v>
      </c>
      <c r="D274" s="156" t="s">
        <v>541</v>
      </c>
      <c r="E274" s="179">
        <v>96260000</v>
      </c>
      <c r="F274" s="179">
        <v>96260000</v>
      </c>
      <c r="G274" s="179">
        <v>96260000</v>
      </c>
      <c r="H274" s="179">
        <v>0</v>
      </c>
      <c r="I274" s="179">
        <v>64408875.759999998</v>
      </c>
      <c r="J274" s="179">
        <v>0</v>
      </c>
      <c r="K274" s="179">
        <v>31851124.239999998</v>
      </c>
      <c r="L274" s="179">
        <v>31851124.239999998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345</v>
      </c>
      <c r="C275" s="156" t="s">
        <v>603</v>
      </c>
      <c r="D275" s="156" t="s">
        <v>541</v>
      </c>
      <c r="E275" s="179">
        <v>19407000</v>
      </c>
      <c r="F275" s="179">
        <v>19407000</v>
      </c>
      <c r="G275" s="179">
        <v>19407000</v>
      </c>
      <c r="H275" s="179">
        <v>0</v>
      </c>
      <c r="I275" s="179">
        <v>12985402.359999999</v>
      </c>
      <c r="J275" s="179">
        <v>0</v>
      </c>
      <c r="K275" s="179">
        <v>6421597.6399999997</v>
      </c>
      <c r="L275" s="179">
        <v>6421597.6399999997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261</v>
      </c>
      <c r="C276" s="156" t="s">
        <v>262</v>
      </c>
      <c r="D276" s="156" t="s">
        <v>541</v>
      </c>
      <c r="E276" s="179">
        <v>179462000</v>
      </c>
      <c r="F276" s="179">
        <v>179462000</v>
      </c>
      <c r="G276" s="179">
        <v>52381300</v>
      </c>
      <c r="H276" s="179">
        <v>0</v>
      </c>
      <c r="I276" s="179">
        <v>5382.01</v>
      </c>
      <c r="J276" s="179">
        <v>0</v>
      </c>
      <c r="K276" s="179">
        <v>26153613.989999998</v>
      </c>
      <c r="L276" s="179">
        <v>26149087.120000001</v>
      </c>
      <c r="M276" s="179">
        <v>153303004</v>
      </c>
      <c r="N276" s="179">
        <v>26222304</v>
      </c>
    </row>
    <row r="277" spans="1:14" s="156" customFormat="1" x14ac:dyDescent="0.25">
      <c r="A277" s="156" t="s">
        <v>545</v>
      </c>
      <c r="B277" s="156" t="s">
        <v>263</v>
      </c>
      <c r="C277" s="156" t="s">
        <v>264</v>
      </c>
      <c r="D277" s="156" t="s">
        <v>541</v>
      </c>
      <c r="E277" s="179">
        <v>150000000</v>
      </c>
      <c r="F277" s="179">
        <v>150000000</v>
      </c>
      <c r="G277" s="179">
        <v>22919300</v>
      </c>
      <c r="H277" s="179">
        <v>0</v>
      </c>
      <c r="I277" s="179">
        <v>5382.01</v>
      </c>
      <c r="J277" s="179">
        <v>0</v>
      </c>
      <c r="K277" s="179">
        <v>16763917.99</v>
      </c>
      <c r="L277" s="179">
        <v>16759391.119999999</v>
      </c>
      <c r="M277" s="179">
        <v>133230700</v>
      </c>
      <c r="N277" s="179">
        <v>6150000</v>
      </c>
    </row>
    <row r="278" spans="1:14" s="156" customFormat="1" x14ac:dyDescent="0.25">
      <c r="A278" s="156" t="s">
        <v>545</v>
      </c>
      <c r="B278" s="156" t="s">
        <v>265</v>
      </c>
      <c r="C278" s="156" t="s">
        <v>266</v>
      </c>
      <c r="D278" s="156" t="s">
        <v>541</v>
      </c>
      <c r="E278" s="179">
        <v>29462000</v>
      </c>
      <c r="F278" s="179">
        <v>29462000</v>
      </c>
      <c r="G278" s="179">
        <v>29462000</v>
      </c>
      <c r="H278" s="179">
        <v>0</v>
      </c>
      <c r="I278" s="179">
        <v>0</v>
      </c>
      <c r="J278" s="179">
        <v>0</v>
      </c>
      <c r="K278" s="179">
        <v>9389696</v>
      </c>
      <c r="L278" s="179">
        <v>9389696</v>
      </c>
      <c r="M278" s="179">
        <v>20072304</v>
      </c>
      <c r="N278" s="179">
        <v>20072304</v>
      </c>
    </row>
    <row r="279" spans="1:14" s="156" customFormat="1" x14ac:dyDescent="0.25">
      <c r="A279" s="156" t="s">
        <v>545</v>
      </c>
      <c r="B279" s="156" t="s">
        <v>267</v>
      </c>
      <c r="C279" s="156" t="s">
        <v>268</v>
      </c>
      <c r="D279" s="156" t="s">
        <v>541</v>
      </c>
      <c r="E279" s="179">
        <v>3000000</v>
      </c>
      <c r="F279" s="179">
        <v>3000000</v>
      </c>
      <c r="G279" s="179">
        <v>750000</v>
      </c>
      <c r="H279" s="179">
        <v>0</v>
      </c>
      <c r="I279" s="179">
        <v>0</v>
      </c>
      <c r="J279" s="179">
        <v>0</v>
      </c>
      <c r="K279" s="179">
        <v>0</v>
      </c>
      <c r="L279" s="179">
        <v>0</v>
      </c>
      <c r="M279" s="179">
        <v>3000000</v>
      </c>
      <c r="N279" s="179">
        <v>750000</v>
      </c>
    </row>
    <row r="280" spans="1:14" s="156" customFormat="1" x14ac:dyDescent="0.25">
      <c r="A280" s="156" t="s">
        <v>545</v>
      </c>
      <c r="B280" s="156" t="s">
        <v>269</v>
      </c>
      <c r="C280" s="156" t="s">
        <v>270</v>
      </c>
      <c r="D280" s="156" t="s">
        <v>541</v>
      </c>
      <c r="E280" s="179">
        <v>3000000</v>
      </c>
      <c r="F280" s="179">
        <v>3000000</v>
      </c>
      <c r="G280" s="179">
        <v>750000</v>
      </c>
      <c r="H280" s="179">
        <v>0</v>
      </c>
      <c r="I280" s="179">
        <v>0</v>
      </c>
      <c r="J280" s="179">
        <v>0</v>
      </c>
      <c r="K280" s="179">
        <v>0</v>
      </c>
      <c r="L280" s="179">
        <v>0</v>
      </c>
      <c r="M280" s="179">
        <v>3000000</v>
      </c>
      <c r="N280" s="179">
        <v>750000</v>
      </c>
    </row>
    <row r="281" spans="1:14" s="156" customFormat="1" x14ac:dyDescent="0.25">
      <c r="A281" s="156" t="s">
        <v>545</v>
      </c>
      <c r="B281" s="156" t="s">
        <v>279</v>
      </c>
      <c r="C281" s="156" t="s">
        <v>280</v>
      </c>
      <c r="D281" s="156" t="s">
        <v>543</v>
      </c>
      <c r="E281" s="179">
        <v>47031000</v>
      </c>
      <c r="F281" s="179">
        <v>47031000</v>
      </c>
      <c r="G281" s="179">
        <v>47031000</v>
      </c>
      <c r="H281" s="179">
        <v>21655512</v>
      </c>
      <c r="I281" s="179">
        <v>279262.18</v>
      </c>
      <c r="J281" s="179">
        <v>1350982.19</v>
      </c>
      <c r="K281" s="179">
        <v>13762283.65</v>
      </c>
      <c r="L281" s="179">
        <v>13762283.65</v>
      </c>
      <c r="M281" s="179">
        <v>9982959.9800000004</v>
      </c>
      <c r="N281" s="179">
        <v>9982959.9800000004</v>
      </c>
    </row>
    <row r="282" spans="1:14" s="156" customFormat="1" x14ac:dyDescent="0.25">
      <c r="A282" s="156" t="s">
        <v>545</v>
      </c>
      <c r="B282" s="156" t="s">
        <v>281</v>
      </c>
      <c r="C282" s="156" t="s">
        <v>282</v>
      </c>
      <c r="D282" s="156" t="s">
        <v>543</v>
      </c>
      <c r="E282" s="179">
        <v>25000000</v>
      </c>
      <c r="F282" s="179">
        <v>23649017.809999999</v>
      </c>
      <c r="G282" s="179">
        <v>23649017.809999999</v>
      </c>
      <c r="H282" s="179">
        <v>0</v>
      </c>
      <c r="I282" s="179">
        <v>0</v>
      </c>
      <c r="J282" s="179">
        <v>0</v>
      </c>
      <c r="K282" s="179">
        <v>13762283.65</v>
      </c>
      <c r="L282" s="179">
        <v>13762283.65</v>
      </c>
      <c r="M282" s="179">
        <v>9886734.1600000001</v>
      </c>
      <c r="N282" s="179">
        <v>9886734.1600000001</v>
      </c>
    </row>
    <row r="283" spans="1:14" s="156" customFormat="1" x14ac:dyDescent="0.25">
      <c r="A283" s="156" t="s">
        <v>545</v>
      </c>
      <c r="B283" s="156" t="s">
        <v>398</v>
      </c>
      <c r="C283" s="156" t="s">
        <v>501</v>
      </c>
      <c r="D283" s="156" t="s">
        <v>543</v>
      </c>
      <c r="E283" s="179">
        <v>15000000</v>
      </c>
      <c r="F283" s="179">
        <v>15000000</v>
      </c>
      <c r="G283" s="179">
        <v>15000000</v>
      </c>
      <c r="H283" s="179">
        <v>0</v>
      </c>
      <c r="I283" s="179">
        <v>0</v>
      </c>
      <c r="J283" s="179">
        <v>0</v>
      </c>
      <c r="K283" s="179">
        <v>13762283.65</v>
      </c>
      <c r="L283" s="179">
        <v>13762283.65</v>
      </c>
      <c r="M283" s="179">
        <v>1237716.3500000001</v>
      </c>
      <c r="N283" s="179">
        <v>1237716.3500000001</v>
      </c>
    </row>
    <row r="284" spans="1:14" s="156" customFormat="1" x14ac:dyDescent="0.25">
      <c r="A284" s="156" t="s">
        <v>545</v>
      </c>
      <c r="B284" s="156" t="s">
        <v>285</v>
      </c>
      <c r="C284" s="156" t="s">
        <v>286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287</v>
      </c>
      <c r="C285" s="156" t="s">
        <v>288</v>
      </c>
      <c r="D285" s="156" t="s">
        <v>543</v>
      </c>
      <c r="E285" s="179">
        <v>0</v>
      </c>
      <c r="F285" s="179">
        <v>0</v>
      </c>
      <c r="G285" s="179">
        <v>0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289</v>
      </c>
      <c r="C286" s="156" t="s">
        <v>290</v>
      </c>
      <c r="D286" s="156" t="s">
        <v>543</v>
      </c>
      <c r="E286" s="179">
        <v>10000000</v>
      </c>
      <c r="F286" s="179">
        <v>8649017.8100000005</v>
      </c>
      <c r="G286" s="179">
        <v>8649017.8100000005</v>
      </c>
      <c r="H286" s="179">
        <v>0</v>
      </c>
      <c r="I286" s="179">
        <v>0</v>
      </c>
      <c r="J286" s="179">
        <v>0</v>
      </c>
      <c r="K286" s="179">
        <v>0</v>
      </c>
      <c r="L286" s="179">
        <v>0</v>
      </c>
      <c r="M286" s="179">
        <v>8649017.8100000005</v>
      </c>
      <c r="N286" s="179">
        <v>8649017.8100000005</v>
      </c>
    </row>
    <row r="287" spans="1:14" s="156" customFormat="1" x14ac:dyDescent="0.25">
      <c r="A287" s="156" t="s">
        <v>545</v>
      </c>
      <c r="B287" s="156" t="s">
        <v>291</v>
      </c>
      <c r="C287" s="156" t="s">
        <v>292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297</v>
      </c>
      <c r="C288" s="156" t="s">
        <v>298</v>
      </c>
      <c r="D288" s="156" t="s">
        <v>543</v>
      </c>
      <c r="E288" s="179">
        <v>0</v>
      </c>
      <c r="F288" s="179">
        <v>1350982.19</v>
      </c>
      <c r="G288" s="179">
        <v>1350982.19</v>
      </c>
      <c r="H288" s="179">
        <v>0</v>
      </c>
      <c r="I288" s="179">
        <v>0</v>
      </c>
      <c r="J288" s="179">
        <v>1350982.19</v>
      </c>
      <c r="K288" s="179">
        <v>0</v>
      </c>
      <c r="L288" s="179">
        <v>0</v>
      </c>
      <c r="M288" s="179">
        <v>0</v>
      </c>
      <c r="N288" s="179">
        <v>0</v>
      </c>
    </row>
    <row r="289" spans="1:14" s="156" customFormat="1" x14ac:dyDescent="0.25">
      <c r="A289" s="156" t="s">
        <v>545</v>
      </c>
      <c r="B289" s="156" t="s">
        <v>299</v>
      </c>
      <c r="C289" s="156" t="s">
        <v>300</v>
      </c>
      <c r="D289" s="156" t="s">
        <v>543</v>
      </c>
      <c r="E289" s="179">
        <v>0</v>
      </c>
      <c r="F289" s="179">
        <v>1350982.19</v>
      </c>
      <c r="G289" s="179">
        <v>1350982.19</v>
      </c>
      <c r="H289" s="179">
        <v>0</v>
      </c>
      <c r="I289" s="179">
        <v>0</v>
      </c>
      <c r="J289" s="179">
        <v>1350982.19</v>
      </c>
      <c r="K289" s="179">
        <v>0</v>
      </c>
      <c r="L289" s="179">
        <v>0</v>
      </c>
      <c r="M289" s="179">
        <v>0</v>
      </c>
      <c r="N289" s="179">
        <v>0</v>
      </c>
    </row>
    <row r="290" spans="1:14" s="156" customFormat="1" x14ac:dyDescent="0.25">
      <c r="A290" s="156" t="s">
        <v>545</v>
      </c>
      <c r="B290" s="156" t="s">
        <v>340</v>
      </c>
      <c r="C290" s="156" t="s">
        <v>341</v>
      </c>
      <c r="D290" s="156" t="s">
        <v>543</v>
      </c>
      <c r="E290" s="179">
        <v>22031000</v>
      </c>
      <c r="F290" s="179">
        <v>22031000</v>
      </c>
      <c r="G290" s="179">
        <v>22031000</v>
      </c>
      <c r="H290" s="179">
        <v>21655512</v>
      </c>
      <c r="I290" s="179">
        <v>279262.18</v>
      </c>
      <c r="J290" s="179">
        <v>0</v>
      </c>
      <c r="K290" s="179">
        <v>0</v>
      </c>
      <c r="L290" s="179">
        <v>0</v>
      </c>
      <c r="M290" s="179">
        <v>96225.82</v>
      </c>
      <c r="N290" s="179">
        <v>96225.82</v>
      </c>
    </row>
    <row r="291" spans="1:14" s="156" customFormat="1" x14ac:dyDescent="0.25">
      <c r="A291" s="156" t="s">
        <v>545</v>
      </c>
      <c r="B291" s="156" t="s">
        <v>342</v>
      </c>
      <c r="C291" s="156" t="s">
        <v>343</v>
      </c>
      <c r="D291" s="156" t="s">
        <v>543</v>
      </c>
      <c r="E291" s="179">
        <v>22031000</v>
      </c>
      <c r="F291" s="179">
        <v>22031000</v>
      </c>
      <c r="G291" s="179">
        <v>22031000</v>
      </c>
      <c r="H291" s="179">
        <v>21655512</v>
      </c>
      <c r="I291" s="179">
        <v>279262.18</v>
      </c>
      <c r="J291" s="179">
        <v>0</v>
      </c>
      <c r="K291" s="179">
        <v>0</v>
      </c>
      <c r="L291" s="179">
        <v>0</v>
      </c>
      <c r="M291" s="179">
        <v>96225.82</v>
      </c>
      <c r="N291" s="179">
        <v>96225.82</v>
      </c>
    </row>
    <row r="292" spans="1:14" s="156" customFormat="1" x14ac:dyDescent="0.25">
      <c r="A292" s="156">
        <v>214783</v>
      </c>
      <c r="B292" s="156" t="s">
        <v>587</v>
      </c>
      <c r="C292" s="156" t="s">
        <v>587</v>
      </c>
      <c r="D292" s="156" t="s">
        <v>541</v>
      </c>
      <c r="E292" s="179">
        <v>106163237755</v>
      </c>
      <c r="F292" s="179">
        <v>112163237755</v>
      </c>
      <c r="G292" s="179">
        <v>92527619784.899994</v>
      </c>
      <c r="H292" s="179">
        <v>124800288</v>
      </c>
      <c r="I292" s="179">
        <v>15238565596.290001</v>
      </c>
      <c r="J292" s="179">
        <v>204626191.80000001</v>
      </c>
      <c r="K292" s="179">
        <v>28981327550.299999</v>
      </c>
      <c r="L292" s="179">
        <v>28437559093.02</v>
      </c>
      <c r="M292" s="179">
        <v>67613918128.610001</v>
      </c>
      <c r="N292" s="179">
        <v>47978300158.510002</v>
      </c>
    </row>
    <row r="293" spans="1:14" s="156" customFormat="1" x14ac:dyDescent="0.25">
      <c r="A293" s="156" t="s">
        <v>546</v>
      </c>
      <c r="B293" s="156" t="s">
        <v>92</v>
      </c>
      <c r="C293" s="156" t="s">
        <v>93</v>
      </c>
      <c r="D293" s="156" t="s">
        <v>541</v>
      </c>
      <c r="E293" s="179">
        <v>69224041000</v>
      </c>
      <c r="F293" s="179">
        <v>69224041000</v>
      </c>
      <c r="G293" s="179">
        <v>69024041000</v>
      </c>
      <c r="H293" s="179">
        <v>0</v>
      </c>
      <c r="I293" s="179">
        <v>6729218550.5</v>
      </c>
      <c r="J293" s="179">
        <v>0</v>
      </c>
      <c r="K293" s="179">
        <v>23308359489.209999</v>
      </c>
      <c r="L293" s="179">
        <v>23308359489.209999</v>
      </c>
      <c r="M293" s="179">
        <v>39186462960.290001</v>
      </c>
      <c r="N293" s="179">
        <v>38986462960.290001</v>
      </c>
    </row>
    <row r="294" spans="1:14" s="156" customFormat="1" x14ac:dyDescent="0.25">
      <c r="A294" s="156" t="s">
        <v>546</v>
      </c>
      <c r="B294" s="156" t="s">
        <v>94</v>
      </c>
      <c r="C294" s="156" t="s">
        <v>95</v>
      </c>
      <c r="D294" s="156" t="s">
        <v>541</v>
      </c>
      <c r="E294" s="179">
        <v>25618223000</v>
      </c>
      <c r="F294" s="179">
        <v>25618223000</v>
      </c>
      <c r="G294" s="179">
        <v>25618223000</v>
      </c>
      <c r="H294" s="179">
        <v>0</v>
      </c>
      <c r="I294" s="179">
        <v>160325</v>
      </c>
      <c r="J294" s="179">
        <v>0</v>
      </c>
      <c r="K294" s="179">
        <v>7875448460.04</v>
      </c>
      <c r="L294" s="179">
        <v>7875448460.04</v>
      </c>
      <c r="M294" s="179">
        <v>17742614214.959999</v>
      </c>
      <c r="N294" s="179">
        <v>17742614214.959999</v>
      </c>
    </row>
    <row r="295" spans="1:14" s="156" customFormat="1" x14ac:dyDescent="0.25">
      <c r="A295" s="156" t="s">
        <v>546</v>
      </c>
      <c r="B295" s="156" t="s">
        <v>96</v>
      </c>
      <c r="C295" s="156" t="s">
        <v>97</v>
      </c>
      <c r="D295" s="156" t="s">
        <v>541</v>
      </c>
      <c r="E295" s="179">
        <v>25601107000</v>
      </c>
      <c r="F295" s="179">
        <v>25601107000</v>
      </c>
      <c r="G295" s="179">
        <v>25601107000</v>
      </c>
      <c r="H295" s="179">
        <v>0</v>
      </c>
      <c r="I295" s="179">
        <v>160325</v>
      </c>
      <c r="J295" s="179">
        <v>0</v>
      </c>
      <c r="K295" s="179">
        <v>7860176660.04</v>
      </c>
      <c r="L295" s="179">
        <v>7860176660.04</v>
      </c>
      <c r="M295" s="179">
        <v>17740770014.959999</v>
      </c>
      <c r="N295" s="179">
        <v>17740770014.959999</v>
      </c>
    </row>
    <row r="296" spans="1:14" s="156" customFormat="1" x14ac:dyDescent="0.25">
      <c r="A296" s="156" t="s">
        <v>546</v>
      </c>
      <c r="B296" s="156" t="s">
        <v>346</v>
      </c>
      <c r="C296" s="156" t="s">
        <v>347</v>
      </c>
      <c r="D296" s="156" t="s">
        <v>541</v>
      </c>
      <c r="E296" s="179">
        <v>17116000</v>
      </c>
      <c r="F296" s="179">
        <v>17116000</v>
      </c>
      <c r="G296" s="179">
        <v>17116000</v>
      </c>
      <c r="H296" s="179">
        <v>0</v>
      </c>
      <c r="I296" s="179">
        <v>0</v>
      </c>
      <c r="J296" s="179">
        <v>0</v>
      </c>
      <c r="K296" s="179">
        <v>15271800</v>
      </c>
      <c r="L296" s="179">
        <v>15271800</v>
      </c>
      <c r="M296" s="179">
        <v>1844200</v>
      </c>
      <c r="N296" s="179">
        <v>1844200</v>
      </c>
    </row>
    <row r="297" spans="1:14" s="156" customFormat="1" x14ac:dyDescent="0.25">
      <c r="A297" s="156" t="s">
        <v>546</v>
      </c>
      <c r="B297" s="156" t="s">
        <v>98</v>
      </c>
      <c r="C297" s="156" t="s">
        <v>99</v>
      </c>
      <c r="D297" s="156" t="s">
        <v>541</v>
      </c>
      <c r="E297" s="179">
        <v>3406791000</v>
      </c>
      <c r="F297" s="179">
        <v>3406791000</v>
      </c>
      <c r="G297" s="179">
        <v>3406791000</v>
      </c>
      <c r="H297" s="179">
        <v>0</v>
      </c>
      <c r="I297" s="179">
        <v>40081.25</v>
      </c>
      <c r="J297" s="179">
        <v>0</v>
      </c>
      <c r="K297" s="179">
        <v>1205688398.5899999</v>
      </c>
      <c r="L297" s="179">
        <v>1205688398.5899999</v>
      </c>
      <c r="M297" s="179">
        <v>2201062520.1599998</v>
      </c>
      <c r="N297" s="179">
        <v>2201062520.1599998</v>
      </c>
    </row>
    <row r="298" spans="1:14" s="156" customFormat="1" x14ac:dyDescent="0.25">
      <c r="A298" s="156" t="s">
        <v>546</v>
      </c>
      <c r="B298" s="156" t="s">
        <v>100</v>
      </c>
      <c r="C298" s="156" t="s">
        <v>101</v>
      </c>
      <c r="D298" s="156" t="s">
        <v>541</v>
      </c>
      <c r="E298" s="179">
        <v>8000000</v>
      </c>
      <c r="F298" s="179">
        <v>8000000</v>
      </c>
      <c r="G298" s="179">
        <v>8000000</v>
      </c>
      <c r="H298" s="179">
        <v>0</v>
      </c>
      <c r="I298" s="179">
        <v>0</v>
      </c>
      <c r="J298" s="179">
        <v>0</v>
      </c>
      <c r="K298" s="179">
        <v>2725908.56</v>
      </c>
      <c r="L298" s="179">
        <v>2725908.56</v>
      </c>
      <c r="M298" s="179">
        <v>5274091.4400000004</v>
      </c>
      <c r="N298" s="179">
        <v>5274091.4400000004</v>
      </c>
    </row>
    <row r="299" spans="1:14" s="156" customFormat="1" x14ac:dyDescent="0.25">
      <c r="A299" s="156" t="s">
        <v>546</v>
      </c>
      <c r="B299" s="156" t="s">
        <v>348</v>
      </c>
      <c r="C299" s="156" t="s">
        <v>349</v>
      </c>
      <c r="D299" s="156" t="s">
        <v>541</v>
      </c>
      <c r="E299" s="179">
        <v>24994000</v>
      </c>
      <c r="F299" s="179">
        <v>24994000</v>
      </c>
      <c r="G299" s="179">
        <v>24994000</v>
      </c>
      <c r="H299" s="179">
        <v>0</v>
      </c>
      <c r="I299" s="179">
        <v>0</v>
      </c>
      <c r="J299" s="179">
        <v>0</v>
      </c>
      <c r="K299" s="179">
        <v>2414363</v>
      </c>
      <c r="L299" s="179">
        <v>2414363</v>
      </c>
      <c r="M299" s="179">
        <v>22579637</v>
      </c>
      <c r="N299" s="179">
        <v>22579637</v>
      </c>
    </row>
    <row r="300" spans="1:14" s="156" customFormat="1" x14ac:dyDescent="0.25">
      <c r="A300" s="156" t="s">
        <v>546</v>
      </c>
      <c r="B300" s="156" t="s">
        <v>350</v>
      </c>
      <c r="C300" s="156" t="s">
        <v>351</v>
      </c>
      <c r="D300" s="156" t="s">
        <v>541</v>
      </c>
      <c r="E300" s="179">
        <v>3373797000</v>
      </c>
      <c r="F300" s="179">
        <v>3373797000</v>
      </c>
      <c r="G300" s="179">
        <v>3373797000</v>
      </c>
      <c r="H300" s="179">
        <v>0</v>
      </c>
      <c r="I300" s="179">
        <v>40081.25</v>
      </c>
      <c r="J300" s="179">
        <v>0</v>
      </c>
      <c r="K300" s="179">
        <v>1200548127.03</v>
      </c>
      <c r="L300" s="179">
        <v>1200548127.03</v>
      </c>
      <c r="M300" s="179">
        <v>2173208791.7199998</v>
      </c>
      <c r="N300" s="179">
        <v>2173208791.7199998</v>
      </c>
    </row>
    <row r="301" spans="1:14" s="156" customFormat="1" x14ac:dyDescent="0.25">
      <c r="A301" s="156" t="s">
        <v>546</v>
      </c>
      <c r="B301" s="156" t="s">
        <v>102</v>
      </c>
      <c r="C301" s="156" t="s">
        <v>103</v>
      </c>
      <c r="D301" s="156" t="s">
        <v>541</v>
      </c>
      <c r="E301" s="179">
        <v>29694590000</v>
      </c>
      <c r="F301" s="179">
        <v>29694590000</v>
      </c>
      <c r="G301" s="179">
        <v>29494590000</v>
      </c>
      <c r="H301" s="179">
        <v>0</v>
      </c>
      <c r="I301" s="179">
        <v>118113.25</v>
      </c>
      <c r="J301" s="179">
        <v>0</v>
      </c>
      <c r="K301" s="179">
        <v>10451685661.58</v>
      </c>
      <c r="L301" s="179">
        <v>10451685661.58</v>
      </c>
      <c r="M301" s="179">
        <v>19242786225.169998</v>
      </c>
      <c r="N301" s="179">
        <v>19042786225.169998</v>
      </c>
    </row>
    <row r="302" spans="1:14" s="156" customFormat="1" x14ac:dyDescent="0.25">
      <c r="A302" s="156" t="s">
        <v>546</v>
      </c>
      <c r="B302" s="156" t="s">
        <v>104</v>
      </c>
      <c r="C302" s="156" t="s">
        <v>105</v>
      </c>
      <c r="D302" s="156" t="s">
        <v>541</v>
      </c>
      <c r="E302" s="179">
        <v>9856906000</v>
      </c>
      <c r="F302" s="179">
        <v>9856906000</v>
      </c>
      <c r="G302" s="179">
        <v>9656906000</v>
      </c>
      <c r="H302" s="179">
        <v>0</v>
      </c>
      <c r="I302" s="179">
        <v>49881.5</v>
      </c>
      <c r="J302" s="179">
        <v>0</v>
      </c>
      <c r="K302" s="179">
        <v>3057339986.9299998</v>
      </c>
      <c r="L302" s="179">
        <v>3057339986.9299998</v>
      </c>
      <c r="M302" s="179">
        <v>6799516131.5699997</v>
      </c>
      <c r="N302" s="179">
        <v>6599516131.5699997</v>
      </c>
    </row>
    <row r="303" spans="1:14" s="156" customFormat="1" x14ac:dyDescent="0.25">
      <c r="A303" s="156" t="s">
        <v>546</v>
      </c>
      <c r="B303" s="156" t="s">
        <v>106</v>
      </c>
      <c r="C303" s="156" t="s">
        <v>107</v>
      </c>
      <c r="D303" s="156" t="s">
        <v>541</v>
      </c>
      <c r="E303" s="179">
        <v>3637068000</v>
      </c>
      <c r="F303" s="179">
        <v>3637068000</v>
      </c>
      <c r="G303" s="179">
        <v>3637068000</v>
      </c>
      <c r="H303" s="179">
        <v>0</v>
      </c>
      <c r="I303" s="179">
        <v>0</v>
      </c>
      <c r="J303" s="179">
        <v>0</v>
      </c>
      <c r="K303" s="179">
        <v>1087563927.22</v>
      </c>
      <c r="L303" s="179">
        <v>1087563927.22</v>
      </c>
      <c r="M303" s="179">
        <v>2549504072.7800002</v>
      </c>
      <c r="N303" s="179">
        <v>2549504072.7800002</v>
      </c>
    </row>
    <row r="304" spans="1:14" s="156" customFormat="1" x14ac:dyDescent="0.25">
      <c r="A304" s="156" t="s">
        <v>546</v>
      </c>
      <c r="B304" s="156" t="s">
        <v>108</v>
      </c>
      <c r="C304" s="156" t="s">
        <v>109</v>
      </c>
      <c r="D304" s="156" t="s">
        <v>541</v>
      </c>
      <c r="E304" s="179">
        <v>3859929000</v>
      </c>
      <c r="F304" s="179">
        <v>3859929000</v>
      </c>
      <c r="G304" s="179">
        <v>3859929000</v>
      </c>
      <c r="H304" s="179">
        <v>0</v>
      </c>
      <c r="I304" s="179">
        <v>0</v>
      </c>
      <c r="J304" s="179">
        <v>0</v>
      </c>
      <c r="K304" s="179">
        <v>3840892017.1399999</v>
      </c>
      <c r="L304" s="179">
        <v>3840892017.1399999</v>
      </c>
      <c r="M304" s="179">
        <v>19036982.859999999</v>
      </c>
      <c r="N304" s="179">
        <v>19036982.859999999</v>
      </c>
    </row>
    <row r="305" spans="1:14" s="156" customFormat="1" x14ac:dyDescent="0.25">
      <c r="A305" s="156" t="s">
        <v>546</v>
      </c>
      <c r="B305" s="156" t="s">
        <v>110</v>
      </c>
      <c r="C305" s="156" t="s">
        <v>111</v>
      </c>
      <c r="D305" s="156" t="s">
        <v>541</v>
      </c>
      <c r="E305" s="179">
        <v>7961754000</v>
      </c>
      <c r="F305" s="179">
        <v>7961754000</v>
      </c>
      <c r="G305" s="179">
        <v>7961754000</v>
      </c>
      <c r="H305" s="179">
        <v>0</v>
      </c>
      <c r="I305" s="179">
        <v>68231.75</v>
      </c>
      <c r="J305" s="179">
        <v>0</v>
      </c>
      <c r="K305" s="179">
        <v>2460136268.0300002</v>
      </c>
      <c r="L305" s="179">
        <v>2460136268.0300002</v>
      </c>
      <c r="M305" s="179">
        <v>5501549500.2200003</v>
      </c>
      <c r="N305" s="179">
        <v>5501549500.2200003</v>
      </c>
    </row>
    <row r="306" spans="1:14" s="156" customFormat="1" x14ac:dyDescent="0.25">
      <c r="A306" s="156" t="s">
        <v>546</v>
      </c>
      <c r="B306" s="156" t="s">
        <v>112</v>
      </c>
      <c r="C306" s="156" t="s">
        <v>113</v>
      </c>
      <c r="D306" s="156" t="s">
        <v>543</v>
      </c>
      <c r="E306" s="179">
        <v>4378933000</v>
      </c>
      <c r="F306" s="179">
        <v>4378933000</v>
      </c>
      <c r="G306" s="179">
        <v>4378933000</v>
      </c>
      <c r="H306" s="179">
        <v>0</v>
      </c>
      <c r="I306" s="179">
        <v>0</v>
      </c>
      <c r="J306" s="179">
        <v>0</v>
      </c>
      <c r="K306" s="179">
        <v>5753462.2599999998</v>
      </c>
      <c r="L306" s="179">
        <v>5753462.2599999998</v>
      </c>
      <c r="M306" s="179">
        <v>4373179537.7399998</v>
      </c>
      <c r="N306" s="179">
        <v>4373179537.7399998</v>
      </c>
    </row>
    <row r="307" spans="1:14" s="156" customFormat="1" x14ac:dyDescent="0.25">
      <c r="A307" s="156" t="s">
        <v>546</v>
      </c>
      <c r="B307" s="156" t="s">
        <v>114</v>
      </c>
      <c r="C307" s="156" t="s">
        <v>115</v>
      </c>
      <c r="D307" s="156" t="s">
        <v>541</v>
      </c>
      <c r="E307" s="179">
        <v>5298410000</v>
      </c>
      <c r="F307" s="179">
        <v>5298410000</v>
      </c>
      <c r="G307" s="179">
        <v>5298410000</v>
      </c>
      <c r="H307" s="179">
        <v>0</v>
      </c>
      <c r="I307" s="179">
        <v>3393576917</v>
      </c>
      <c r="J307" s="179">
        <v>0</v>
      </c>
      <c r="K307" s="179">
        <v>1904833083</v>
      </c>
      <c r="L307" s="179">
        <v>1904833083</v>
      </c>
      <c r="M307" s="179">
        <v>0</v>
      </c>
      <c r="N307" s="179">
        <v>0</v>
      </c>
    </row>
    <row r="308" spans="1:14" s="156" customFormat="1" x14ac:dyDescent="0.25">
      <c r="A308" s="156" t="s">
        <v>546</v>
      </c>
      <c r="B308" s="156" t="s">
        <v>352</v>
      </c>
      <c r="C308" s="156" t="s">
        <v>597</v>
      </c>
      <c r="D308" s="156" t="s">
        <v>541</v>
      </c>
      <c r="E308" s="179">
        <v>5026697000</v>
      </c>
      <c r="F308" s="179">
        <v>5026697000</v>
      </c>
      <c r="G308" s="179">
        <v>5026697000</v>
      </c>
      <c r="H308" s="179">
        <v>0</v>
      </c>
      <c r="I308" s="179">
        <v>3219528444</v>
      </c>
      <c r="J308" s="179">
        <v>0</v>
      </c>
      <c r="K308" s="179">
        <v>1807168556</v>
      </c>
      <c r="L308" s="179">
        <v>1807168556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353</v>
      </c>
      <c r="C309" s="156" t="s">
        <v>583</v>
      </c>
      <c r="D309" s="156" t="s">
        <v>541</v>
      </c>
      <c r="E309" s="179">
        <v>271713000</v>
      </c>
      <c r="F309" s="179">
        <v>271713000</v>
      </c>
      <c r="G309" s="179">
        <v>271713000</v>
      </c>
      <c r="H309" s="179">
        <v>0</v>
      </c>
      <c r="I309" s="179">
        <v>174048473</v>
      </c>
      <c r="J309" s="179">
        <v>0</v>
      </c>
      <c r="K309" s="179">
        <v>97664527</v>
      </c>
      <c r="L309" s="179">
        <v>97664527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118</v>
      </c>
      <c r="C310" s="156" t="s">
        <v>119</v>
      </c>
      <c r="D310" s="156" t="s">
        <v>541</v>
      </c>
      <c r="E310" s="179">
        <v>5206027000</v>
      </c>
      <c r="F310" s="179">
        <v>5206027000</v>
      </c>
      <c r="G310" s="179">
        <v>5206027000</v>
      </c>
      <c r="H310" s="179">
        <v>0</v>
      </c>
      <c r="I310" s="179">
        <v>3335323114</v>
      </c>
      <c r="J310" s="179">
        <v>0</v>
      </c>
      <c r="K310" s="179">
        <v>1870703886</v>
      </c>
      <c r="L310" s="179">
        <v>1870703886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354</v>
      </c>
      <c r="C311" s="156" t="s">
        <v>598</v>
      </c>
      <c r="D311" s="156" t="s">
        <v>541</v>
      </c>
      <c r="E311" s="179">
        <v>2760607000</v>
      </c>
      <c r="F311" s="179">
        <v>2760607000</v>
      </c>
      <c r="G311" s="179">
        <v>2760607000</v>
      </c>
      <c r="H311" s="179">
        <v>0</v>
      </c>
      <c r="I311" s="179">
        <v>1768886375</v>
      </c>
      <c r="J311" s="179">
        <v>0</v>
      </c>
      <c r="K311" s="179">
        <v>991720625</v>
      </c>
      <c r="L311" s="179">
        <v>991720625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355</v>
      </c>
      <c r="C312" s="156" t="s">
        <v>599</v>
      </c>
      <c r="D312" s="156" t="s">
        <v>541</v>
      </c>
      <c r="E312" s="179">
        <v>815140000</v>
      </c>
      <c r="F312" s="179">
        <v>815140000</v>
      </c>
      <c r="G312" s="179">
        <v>815140000</v>
      </c>
      <c r="H312" s="179">
        <v>0</v>
      </c>
      <c r="I312" s="179">
        <v>522145046</v>
      </c>
      <c r="J312" s="179">
        <v>0</v>
      </c>
      <c r="K312" s="179">
        <v>292994954</v>
      </c>
      <c r="L312" s="179">
        <v>292994954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356</v>
      </c>
      <c r="C313" s="156" t="s">
        <v>600</v>
      </c>
      <c r="D313" s="156" t="s">
        <v>541</v>
      </c>
      <c r="E313" s="179">
        <v>1630280000</v>
      </c>
      <c r="F313" s="179">
        <v>1630280000</v>
      </c>
      <c r="G313" s="179">
        <v>1630280000</v>
      </c>
      <c r="H313" s="179">
        <v>0</v>
      </c>
      <c r="I313" s="179">
        <v>1044291693</v>
      </c>
      <c r="J313" s="179">
        <v>0</v>
      </c>
      <c r="K313" s="179">
        <v>585988307</v>
      </c>
      <c r="L313" s="179">
        <v>585988307</v>
      </c>
      <c r="M313" s="179">
        <v>0</v>
      </c>
      <c r="N313" s="179">
        <v>0</v>
      </c>
    </row>
    <row r="314" spans="1:14" s="156" customFormat="1" x14ac:dyDescent="0.25">
      <c r="A314" s="156" t="s">
        <v>546</v>
      </c>
      <c r="B314" s="156" t="s">
        <v>123</v>
      </c>
      <c r="C314" s="156" t="s">
        <v>124</v>
      </c>
      <c r="D314" s="156" t="s">
        <v>541</v>
      </c>
      <c r="E314" s="179">
        <v>9869454182</v>
      </c>
      <c r="F314" s="179">
        <v>13869454182</v>
      </c>
      <c r="G314" s="179">
        <v>8449981708.3999996</v>
      </c>
      <c r="H314" s="179">
        <v>768400</v>
      </c>
      <c r="I314" s="179">
        <v>2061393717.0599999</v>
      </c>
      <c r="J314" s="179">
        <v>33032775.309999999</v>
      </c>
      <c r="K314" s="179">
        <v>2056339275.3</v>
      </c>
      <c r="L314" s="179">
        <v>1704786943.8399999</v>
      </c>
      <c r="M314" s="179">
        <v>9717920014.3299999</v>
      </c>
      <c r="N314" s="179">
        <v>4298447540.7299995</v>
      </c>
    </row>
    <row r="315" spans="1:14" s="156" customFormat="1" x14ac:dyDescent="0.25">
      <c r="A315" s="156" t="s">
        <v>546</v>
      </c>
      <c r="B315" s="156" t="s">
        <v>125</v>
      </c>
      <c r="C315" s="156" t="s">
        <v>126</v>
      </c>
      <c r="D315" s="156" t="s">
        <v>541</v>
      </c>
      <c r="E315" s="179">
        <v>3181468559</v>
      </c>
      <c r="F315" s="179">
        <v>7181468559</v>
      </c>
      <c r="G315" s="179">
        <v>5170984067.8999996</v>
      </c>
      <c r="H315" s="179">
        <v>0</v>
      </c>
      <c r="I315" s="179">
        <v>899388205.00999999</v>
      </c>
      <c r="J315" s="179">
        <v>28128457.43</v>
      </c>
      <c r="K315" s="179">
        <v>434402781.31</v>
      </c>
      <c r="L315" s="179">
        <v>378633229.85000002</v>
      </c>
      <c r="M315" s="179">
        <v>5819549115.25</v>
      </c>
      <c r="N315" s="179">
        <v>3809064624.1500001</v>
      </c>
    </row>
    <row r="316" spans="1:14" s="156" customFormat="1" x14ac:dyDescent="0.25">
      <c r="A316" s="156" t="s">
        <v>546</v>
      </c>
      <c r="B316" s="156" t="s">
        <v>306</v>
      </c>
      <c r="C316" s="156" t="s">
        <v>307</v>
      </c>
      <c r="D316" s="156" t="s">
        <v>541</v>
      </c>
      <c r="E316" s="179">
        <v>431740903</v>
      </c>
      <c r="F316" s="179">
        <v>431740903</v>
      </c>
      <c r="G316" s="179">
        <v>215870451.80000001</v>
      </c>
      <c r="H316" s="179">
        <v>0</v>
      </c>
      <c r="I316" s="179">
        <v>121391135.83</v>
      </c>
      <c r="J316" s="179">
        <v>0</v>
      </c>
      <c r="K316" s="179">
        <v>88345702.239999995</v>
      </c>
      <c r="L316" s="179">
        <v>87672835.859999999</v>
      </c>
      <c r="M316" s="179">
        <v>222004064.93000001</v>
      </c>
      <c r="N316" s="179">
        <v>6133613.7300000004</v>
      </c>
    </row>
    <row r="317" spans="1:14" s="156" customFormat="1" x14ac:dyDescent="0.25">
      <c r="A317" s="156" t="s">
        <v>546</v>
      </c>
      <c r="B317" s="156" t="s">
        <v>127</v>
      </c>
      <c r="C317" s="156" t="s">
        <v>128</v>
      </c>
      <c r="D317" s="156" t="s">
        <v>541</v>
      </c>
      <c r="E317" s="179">
        <v>719138329</v>
      </c>
      <c r="F317" s="179">
        <v>719138329</v>
      </c>
      <c r="G317" s="179">
        <v>359569164.30000001</v>
      </c>
      <c r="H317" s="179">
        <v>0</v>
      </c>
      <c r="I317" s="179">
        <v>205760533.88</v>
      </c>
      <c r="J317" s="179">
        <v>0</v>
      </c>
      <c r="K317" s="179">
        <v>99630741.400000006</v>
      </c>
      <c r="L317" s="179">
        <v>45550602.579999998</v>
      </c>
      <c r="M317" s="179">
        <v>413747053.72000003</v>
      </c>
      <c r="N317" s="179">
        <v>54177889.020000003</v>
      </c>
    </row>
    <row r="318" spans="1:14" s="156" customFormat="1" x14ac:dyDescent="0.25">
      <c r="A318" s="156" t="s">
        <v>546</v>
      </c>
      <c r="B318" s="156" t="s">
        <v>322</v>
      </c>
      <c r="C318" s="156" t="s">
        <v>323</v>
      </c>
      <c r="D318" s="156" t="s">
        <v>541</v>
      </c>
      <c r="E318" s="179">
        <v>23472000</v>
      </c>
      <c r="F318" s="179">
        <v>23472000</v>
      </c>
      <c r="G318" s="179">
        <v>11736000</v>
      </c>
      <c r="H318" s="179">
        <v>0</v>
      </c>
      <c r="I318" s="179">
        <v>0</v>
      </c>
      <c r="J318" s="179">
        <v>0</v>
      </c>
      <c r="K318" s="179">
        <v>1627014.4</v>
      </c>
      <c r="L318" s="179">
        <v>1627014.4</v>
      </c>
      <c r="M318" s="179">
        <v>21844985.600000001</v>
      </c>
      <c r="N318" s="179">
        <v>10108985.6</v>
      </c>
    </row>
    <row r="319" spans="1:14" s="156" customFormat="1" x14ac:dyDescent="0.25">
      <c r="A319" s="156" t="s">
        <v>546</v>
      </c>
      <c r="B319" s="156" t="s">
        <v>129</v>
      </c>
      <c r="C319" s="156" t="s">
        <v>130</v>
      </c>
      <c r="D319" s="156" t="s">
        <v>541</v>
      </c>
      <c r="E319" s="179">
        <v>2007117327</v>
      </c>
      <c r="F319" s="179">
        <v>2007117327</v>
      </c>
      <c r="G319" s="179">
        <v>583808451.79999995</v>
      </c>
      <c r="H319" s="179">
        <v>0</v>
      </c>
      <c r="I319" s="179">
        <v>79305283.299999997</v>
      </c>
      <c r="J319" s="179">
        <v>28128457.43</v>
      </c>
      <c r="K319" s="179">
        <v>244799323.27000001</v>
      </c>
      <c r="L319" s="179">
        <v>243782777.00999999</v>
      </c>
      <c r="M319" s="179">
        <v>1654884263</v>
      </c>
      <c r="N319" s="179">
        <v>231575387.80000001</v>
      </c>
    </row>
    <row r="320" spans="1:14" s="156" customFormat="1" x14ac:dyDescent="0.25">
      <c r="A320" s="156" t="s">
        <v>546</v>
      </c>
      <c r="B320" s="156" t="s">
        <v>129</v>
      </c>
      <c r="C320" s="156" t="s">
        <v>130</v>
      </c>
      <c r="D320" s="156" t="s">
        <v>543</v>
      </c>
      <c r="E320" s="179">
        <v>0</v>
      </c>
      <c r="F320" s="179">
        <v>4000000000</v>
      </c>
      <c r="G320" s="179">
        <v>4000000000</v>
      </c>
      <c r="H320" s="179">
        <v>0</v>
      </c>
      <c r="I320" s="179">
        <v>492931252</v>
      </c>
      <c r="J320" s="179">
        <v>0</v>
      </c>
      <c r="K320" s="179">
        <v>0</v>
      </c>
      <c r="L320" s="179">
        <v>0</v>
      </c>
      <c r="M320" s="179">
        <v>3507068748</v>
      </c>
      <c r="N320" s="179">
        <v>3507068748</v>
      </c>
    </row>
    <row r="321" spans="1:14" s="156" customFormat="1" x14ac:dyDescent="0.25">
      <c r="A321" s="156" t="s">
        <v>546</v>
      </c>
      <c r="B321" s="156" t="s">
        <v>131</v>
      </c>
      <c r="C321" s="156" t="s">
        <v>132</v>
      </c>
      <c r="D321" s="156" t="s">
        <v>541</v>
      </c>
      <c r="E321" s="179">
        <v>4328674526</v>
      </c>
      <c r="F321" s="179">
        <v>4328674526</v>
      </c>
      <c r="G321" s="179">
        <v>2187066229.5</v>
      </c>
      <c r="H321" s="179">
        <v>0</v>
      </c>
      <c r="I321" s="179">
        <v>707000134.03999996</v>
      </c>
      <c r="J321" s="179">
        <v>2429317.88</v>
      </c>
      <c r="K321" s="179">
        <v>1377832239.5799999</v>
      </c>
      <c r="L321" s="179">
        <v>1086656789.5799999</v>
      </c>
      <c r="M321" s="179">
        <v>2241412834.5</v>
      </c>
      <c r="N321" s="179">
        <v>99804538</v>
      </c>
    </row>
    <row r="322" spans="1:14" s="156" customFormat="1" x14ac:dyDescent="0.25">
      <c r="A322" s="156" t="s">
        <v>546</v>
      </c>
      <c r="B322" s="156" t="s">
        <v>133</v>
      </c>
      <c r="C322" s="156" t="s">
        <v>134</v>
      </c>
      <c r="D322" s="156" t="s">
        <v>541</v>
      </c>
      <c r="E322" s="179">
        <v>2503011786</v>
      </c>
      <c r="F322" s="179">
        <v>2503011786</v>
      </c>
      <c r="G322" s="179">
        <v>1251505893.5</v>
      </c>
      <c r="H322" s="179">
        <v>0</v>
      </c>
      <c r="I322" s="179">
        <v>406534583.5</v>
      </c>
      <c r="J322" s="179">
        <v>0</v>
      </c>
      <c r="K322" s="179">
        <v>844971310</v>
      </c>
      <c r="L322" s="179">
        <v>705602505</v>
      </c>
      <c r="M322" s="179">
        <v>1251505892.5</v>
      </c>
      <c r="N322" s="179">
        <v>0</v>
      </c>
    </row>
    <row r="323" spans="1:14" s="156" customFormat="1" x14ac:dyDescent="0.25">
      <c r="A323" s="156" t="s">
        <v>546</v>
      </c>
      <c r="B323" s="156" t="s">
        <v>135</v>
      </c>
      <c r="C323" s="156" t="s">
        <v>136</v>
      </c>
      <c r="D323" s="156" t="s">
        <v>541</v>
      </c>
      <c r="E323" s="179">
        <v>973642474</v>
      </c>
      <c r="F323" s="179">
        <v>973642474</v>
      </c>
      <c r="G323" s="179">
        <v>460154570.5</v>
      </c>
      <c r="H323" s="179">
        <v>0</v>
      </c>
      <c r="I323" s="179">
        <v>124206816.73</v>
      </c>
      <c r="J323" s="179">
        <v>0</v>
      </c>
      <c r="K323" s="179">
        <v>335947753.76999998</v>
      </c>
      <c r="L323" s="179">
        <v>184141108.77000001</v>
      </c>
      <c r="M323" s="179">
        <v>513487903.5</v>
      </c>
      <c r="N323" s="179">
        <v>0</v>
      </c>
    </row>
    <row r="324" spans="1:14" s="156" customFormat="1" x14ac:dyDescent="0.25">
      <c r="A324" s="156" t="s">
        <v>546</v>
      </c>
      <c r="B324" s="156" t="s">
        <v>137</v>
      </c>
      <c r="C324" s="156" t="s">
        <v>138</v>
      </c>
      <c r="D324" s="156" t="s">
        <v>541</v>
      </c>
      <c r="E324" s="179">
        <v>3942858</v>
      </c>
      <c r="F324" s="179">
        <v>3942858</v>
      </c>
      <c r="G324" s="179">
        <v>3942857.5</v>
      </c>
      <c r="H324" s="179">
        <v>0</v>
      </c>
      <c r="I324" s="179">
        <v>3026092.5</v>
      </c>
      <c r="J324" s="179">
        <v>0</v>
      </c>
      <c r="K324" s="179">
        <v>477870</v>
      </c>
      <c r="L324" s="179">
        <v>477870</v>
      </c>
      <c r="M324" s="179">
        <v>438895.5</v>
      </c>
      <c r="N324" s="179">
        <v>438895</v>
      </c>
    </row>
    <row r="325" spans="1:14" s="156" customFormat="1" x14ac:dyDescent="0.25">
      <c r="A325" s="156" t="s">
        <v>546</v>
      </c>
      <c r="B325" s="156" t="s">
        <v>139</v>
      </c>
      <c r="C325" s="156" t="s">
        <v>140</v>
      </c>
      <c r="D325" s="156" t="s">
        <v>541</v>
      </c>
      <c r="E325" s="179">
        <v>753229000</v>
      </c>
      <c r="F325" s="179">
        <v>753229000</v>
      </c>
      <c r="G325" s="179">
        <v>376614500</v>
      </c>
      <c r="H325" s="179">
        <v>0</v>
      </c>
      <c r="I325" s="179">
        <v>169750609.81999999</v>
      </c>
      <c r="J325" s="179">
        <v>2429317.88</v>
      </c>
      <c r="K325" s="179">
        <v>146651405.03999999</v>
      </c>
      <c r="L325" s="179">
        <v>146651405.03999999</v>
      </c>
      <c r="M325" s="179">
        <v>434397667.25999999</v>
      </c>
      <c r="N325" s="179">
        <v>57783167.259999998</v>
      </c>
    </row>
    <row r="326" spans="1:14" s="156" customFormat="1" x14ac:dyDescent="0.25">
      <c r="A326" s="156" t="s">
        <v>546</v>
      </c>
      <c r="B326" s="156" t="s">
        <v>141</v>
      </c>
      <c r="C326" s="156" t="s">
        <v>142</v>
      </c>
      <c r="D326" s="156" t="s">
        <v>541</v>
      </c>
      <c r="E326" s="179">
        <v>94848408</v>
      </c>
      <c r="F326" s="179">
        <v>94848408</v>
      </c>
      <c r="G326" s="179">
        <v>94848408</v>
      </c>
      <c r="H326" s="179">
        <v>0</v>
      </c>
      <c r="I326" s="179">
        <v>3482031.49</v>
      </c>
      <c r="J326" s="179">
        <v>0</v>
      </c>
      <c r="K326" s="179">
        <v>49783900.770000003</v>
      </c>
      <c r="L326" s="179">
        <v>49783900.770000003</v>
      </c>
      <c r="M326" s="179">
        <v>41582475.740000002</v>
      </c>
      <c r="N326" s="179">
        <v>41582475.740000002</v>
      </c>
    </row>
    <row r="327" spans="1:14" s="156" customFormat="1" x14ac:dyDescent="0.25">
      <c r="A327" s="156" t="s">
        <v>546</v>
      </c>
      <c r="B327" s="156" t="s">
        <v>143</v>
      </c>
      <c r="C327" s="156" t="s">
        <v>144</v>
      </c>
      <c r="D327" s="156" t="s">
        <v>541</v>
      </c>
      <c r="E327" s="179">
        <v>4451091</v>
      </c>
      <c r="F327" s="179">
        <v>4451091</v>
      </c>
      <c r="G327" s="179">
        <v>3141090.75</v>
      </c>
      <c r="H327" s="179">
        <v>0</v>
      </c>
      <c r="I327" s="179">
        <v>2031710</v>
      </c>
      <c r="J327" s="179">
        <v>0</v>
      </c>
      <c r="K327" s="179">
        <v>457470</v>
      </c>
      <c r="L327" s="179">
        <v>457470</v>
      </c>
      <c r="M327" s="179">
        <v>1961911</v>
      </c>
      <c r="N327" s="179">
        <v>651910.75</v>
      </c>
    </row>
    <row r="328" spans="1:14" s="156" customFormat="1" x14ac:dyDescent="0.25">
      <c r="A328" s="156" t="s">
        <v>546</v>
      </c>
      <c r="B328" s="156" t="s">
        <v>145</v>
      </c>
      <c r="C328" s="156" t="s">
        <v>146</v>
      </c>
      <c r="D328" s="156" t="s">
        <v>541</v>
      </c>
      <c r="E328" s="179">
        <v>1831091</v>
      </c>
      <c r="F328" s="179">
        <v>1831091</v>
      </c>
      <c r="G328" s="179">
        <v>1831090.75</v>
      </c>
      <c r="H328" s="179">
        <v>0</v>
      </c>
      <c r="I328" s="179">
        <v>1069070</v>
      </c>
      <c r="J328" s="179">
        <v>0</v>
      </c>
      <c r="K328" s="179">
        <v>413470</v>
      </c>
      <c r="L328" s="179">
        <v>413470</v>
      </c>
      <c r="M328" s="179">
        <v>348551</v>
      </c>
      <c r="N328" s="179">
        <v>348550.75</v>
      </c>
    </row>
    <row r="329" spans="1:14" s="156" customFormat="1" x14ac:dyDescent="0.25">
      <c r="A329" s="156" t="s">
        <v>546</v>
      </c>
      <c r="B329" s="156" t="s">
        <v>147</v>
      </c>
      <c r="C329" s="156" t="s">
        <v>148</v>
      </c>
      <c r="D329" s="156" t="s">
        <v>541</v>
      </c>
      <c r="E329" s="179">
        <v>2620000</v>
      </c>
      <c r="F329" s="179">
        <v>2620000</v>
      </c>
      <c r="G329" s="179">
        <v>1310000</v>
      </c>
      <c r="H329" s="179">
        <v>0</v>
      </c>
      <c r="I329" s="179">
        <v>962640</v>
      </c>
      <c r="J329" s="179">
        <v>0</v>
      </c>
      <c r="K329" s="179">
        <v>44000</v>
      </c>
      <c r="L329" s="179">
        <v>44000</v>
      </c>
      <c r="M329" s="179">
        <v>1613360</v>
      </c>
      <c r="N329" s="179">
        <v>303360</v>
      </c>
    </row>
    <row r="330" spans="1:14" s="156" customFormat="1" x14ac:dyDescent="0.25">
      <c r="A330" s="156" t="s">
        <v>546</v>
      </c>
      <c r="B330" s="156" t="s">
        <v>151</v>
      </c>
      <c r="C330" s="156" t="s">
        <v>152</v>
      </c>
      <c r="D330" s="156" t="s">
        <v>541</v>
      </c>
      <c r="E330" s="179">
        <v>310063679</v>
      </c>
      <c r="F330" s="179">
        <v>310063679</v>
      </c>
      <c r="G330" s="179">
        <v>165502169.68000001</v>
      </c>
      <c r="H330" s="179">
        <v>0</v>
      </c>
      <c r="I330" s="179">
        <v>43680840.130000003</v>
      </c>
      <c r="J330" s="179">
        <v>0</v>
      </c>
      <c r="K330" s="179">
        <v>29012355.260000002</v>
      </c>
      <c r="L330" s="179">
        <v>28781885.260000002</v>
      </c>
      <c r="M330" s="179">
        <v>237370483.61000001</v>
      </c>
      <c r="N330" s="179">
        <v>92808974.290000007</v>
      </c>
    </row>
    <row r="331" spans="1:14" s="156" customFormat="1" x14ac:dyDescent="0.25">
      <c r="A331" s="156" t="s">
        <v>546</v>
      </c>
      <c r="B331" s="156" t="s">
        <v>359</v>
      </c>
      <c r="C331" s="156" t="s">
        <v>605</v>
      </c>
      <c r="D331" s="156" t="s">
        <v>541</v>
      </c>
      <c r="E331" s="179">
        <v>21381819</v>
      </c>
      <c r="F331" s="179">
        <v>21381819</v>
      </c>
      <c r="G331" s="179">
        <v>21381818.75</v>
      </c>
      <c r="H331" s="179">
        <v>0</v>
      </c>
      <c r="I331" s="179">
        <v>4356088</v>
      </c>
      <c r="J331" s="179">
        <v>0</v>
      </c>
      <c r="K331" s="179">
        <v>0</v>
      </c>
      <c r="L331" s="179">
        <v>0</v>
      </c>
      <c r="M331" s="179">
        <v>17025731</v>
      </c>
      <c r="N331" s="179">
        <v>17025730.75</v>
      </c>
    </row>
    <row r="332" spans="1:14" s="156" customFormat="1" x14ac:dyDescent="0.25">
      <c r="A332" s="156" t="s">
        <v>546</v>
      </c>
      <c r="B332" s="156" t="s">
        <v>330</v>
      </c>
      <c r="C332" s="156" t="s">
        <v>604</v>
      </c>
      <c r="D332" s="156" t="s">
        <v>541</v>
      </c>
      <c r="E332" s="179">
        <v>106119000</v>
      </c>
      <c r="F332" s="179">
        <v>106119000</v>
      </c>
      <c r="G332" s="179">
        <v>53059500</v>
      </c>
      <c r="H332" s="179">
        <v>0</v>
      </c>
      <c r="I332" s="179">
        <v>25202663.219999999</v>
      </c>
      <c r="J332" s="179">
        <v>0</v>
      </c>
      <c r="K332" s="179">
        <v>4125000</v>
      </c>
      <c r="L332" s="179">
        <v>4125000</v>
      </c>
      <c r="M332" s="179">
        <v>76791336.780000001</v>
      </c>
      <c r="N332" s="179">
        <v>23731836.780000001</v>
      </c>
    </row>
    <row r="333" spans="1:14" s="156" customFormat="1" x14ac:dyDescent="0.25">
      <c r="A333" s="156" t="s">
        <v>546</v>
      </c>
      <c r="B333" s="156" t="s">
        <v>154</v>
      </c>
      <c r="C333" s="156" t="s">
        <v>155</v>
      </c>
      <c r="D333" s="156" t="s">
        <v>541</v>
      </c>
      <c r="E333" s="179">
        <v>126000000</v>
      </c>
      <c r="F333" s="179">
        <v>126000000</v>
      </c>
      <c r="G333" s="179">
        <v>57000000</v>
      </c>
      <c r="H333" s="179">
        <v>0</v>
      </c>
      <c r="I333" s="179">
        <v>10179288.83</v>
      </c>
      <c r="J333" s="179">
        <v>0</v>
      </c>
      <c r="K333" s="179">
        <v>16442191.359999999</v>
      </c>
      <c r="L333" s="179">
        <v>16442191.359999999</v>
      </c>
      <c r="M333" s="179">
        <v>99378519.810000002</v>
      </c>
      <c r="N333" s="179">
        <v>30378519.809999999</v>
      </c>
    </row>
    <row r="334" spans="1:14" s="156" customFormat="1" x14ac:dyDescent="0.25">
      <c r="A334" s="156" t="s">
        <v>546</v>
      </c>
      <c r="B334" s="156" t="s">
        <v>156</v>
      </c>
      <c r="C334" s="156" t="s">
        <v>157</v>
      </c>
      <c r="D334" s="156" t="s">
        <v>541</v>
      </c>
      <c r="E334" s="179">
        <v>56562860</v>
      </c>
      <c r="F334" s="179">
        <v>56562860</v>
      </c>
      <c r="G334" s="179">
        <v>34060850.93</v>
      </c>
      <c r="H334" s="179">
        <v>0</v>
      </c>
      <c r="I334" s="179">
        <v>3942800.08</v>
      </c>
      <c r="J334" s="179">
        <v>0</v>
      </c>
      <c r="K334" s="179">
        <v>8445163.9000000004</v>
      </c>
      <c r="L334" s="179">
        <v>8214693.9000000004</v>
      </c>
      <c r="M334" s="179">
        <v>44174896.020000003</v>
      </c>
      <c r="N334" s="179">
        <v>21672886.949999999</v>
      </c>
    </row>
    <row r="335" spans="1:14" s="156" customFormat="1" x14ac:dyDescent="0.25">
      <c r="A335" s="156" t="s">
        <v>546</v>
      </c>
      <c r="B335" s="156" t="s">
        <v>158</v>
      </c>
      <c r="C335" s="156" t="s">
        <v>159</v>
      </c>
      <c r="D335" s="156" t="s">
        <v>541</v>
      </c>
      <c r="E335" s="179">
        <v>128523280</v>
      </c>
      <c r="F335" s="179">
        <v>128523280</v>
      </c>
      <c r="G335" s="179">
        <v>71161343.019999996</v>
      </c>
      <c r="H335" s="179">
        <v>768400</v>
      </c>
      <c r="I335" s="179">
        <v>38671320</v>
      </c>
      <c r="J335" s="179">
        <v>0</v>
      </c>
      <c r="K335" s="179">
        <v>24379800</v>
      </c>
      <c r="L335" s="179">
        <v>23891210</v>
      </c>
      <c r="M335" s="179">
        <v>64703760</v>
      </c>
      <c r="N335" s="179">
        <v>7341823.0199999996</v>
      </c>
    </row>
    <row r="336" spans="1:14" s="156" customFormat="1" x14ac:dyDescent="0.25">
      <c r="A336" s="156" t="s">
        <v>546</v>
      </c>
      <c r="B336" s="156" t="s">
        <v>160</v>
      </c>
      <c r="C336" s="156" t="s">
        <v>161</v>
      </c>
      <c r="D336" s="156" t="s">
        <v>541</v>
      </c>
      <c r="E336" s="179">
        <v>4829000</v>
      </c>
      <c r="F336" s="179">
        <v>4829000</v>
      </c>
      <c r="G336" s="179">
        <v>3619140</v>
      </c>
      <c r="H336" s="179">
        <v>0</v>
      </c>
      <c r="I336" s="179">
        <v>888020</v>
      </c>
      <c r="J336" s="179">
        <v>0</v>
      </c>
      <c r="K336" s="179">
        <v>792500</v>
      </c>
      <c r="L336" s="179">
        <v>790610</v>
      </c>
      <c r="M336" s="179">
        <v>3148480</v>
      </c>
      <c r="N336" s="179">
        <v>1938620</v>
      </c>
    </row>
    <row r="337" spans="1:14" s="156" customFormat="1" x14ac:dyDescent="0.25">
      <c r="A337" s="156" t="s">
        <v>546</v>
      </c>
      <c r="B337" s="156" t="s">
        <v>162</v>
      </c>
      <c r="C337" s="156" t="s">
        <v>163</v>
      </c>
      <c r="D337" s="156" t="s">
        <v>541</v>
      </c>
      <c r="E337" s="179">
        <v>119154137</v>
      </c>
      <c r="F337" s="179">
        <v>119154137</v>
      </c>
      <c r="G337" s="179">
        <v>66407167.270000003</v>
      </c>
      <c r="H337" s="179">
        <v>768400</v>
      </c>
      <c r="I337" s="179">
        <v>37783300</v>
      </c>
      <c r="J337" s="179">
        <v>0</v>
      </c>
      <c r="K337" s="179">
        <v>23587300</v>
      </c>
      <c r="L337" s="179">
        <v>23100600</v>
      </c>
      <c r="M337" s="179">
        <v>57015137</v>
      </c>
      <c r="N337" s="179">
        <v>4268167.2699999996</v>
      </c>
    </row>
    <row r="338" spans="1:14" s="156" customFormat="1" x14ac:dyDescent="0.25">
      <c r="A338" s="156" t="s">
        <v>546</v>
      </c>
      <c r="B338" s="156" t="s">
        <v>164</v>
      </c>
      <c r="C338" s="156" t="s">
        <v>165</v>
      </c>
      <c r="D338" s="156" t="s">
        <v>541</v>
      </c>
      <c r="E338" s="179">
        <v>2851000</v>
      </c>
      <c r="F338" s="179">
        <v>2851000</v>
      </c>
      <c r="G338" s="179">
        <v>712750</v>
      </c>
      <c r="H338" s="179">
        <v>0</v>
      </c>
      <c r="I338" s="179">
        <v>0</v>
      </c>
      <c r="J338" s="179">
        <v>0</v>
      </c>
      <c r="K338" s="179">
        <v>0</v>
      </c>
      <c r="L338" s="179">
        <v>0</v>
      </c>
      <c r="M338" s="179">
        <v>2851000</v>
      </c>
      <c r="N338" s="179">
        <v>712750</v>
      </c>
    </row>
    <row r="339" spans="1:14" s="156" customFormat="1" x14ac:dyDescent="0.25">
      <c r="A339" s="156" t="s">
        <v>546</v>
      </c>
      <c r="B339" s="156" t="s">
        <v>166</v>
      </c>
      <c r="C339" s="156" t="s">
        <v>167</v>
      </c>
      <c r="D339" s="156" t="s">
        <v>541</v>
      </c>
      <c r="E339" s="179">
        <v>1689143</v>
      </c>
      <c r="F339" s="179">
        <v>1689143</v>
      </c>
      <c r="G339" s="179">
        <v>422285.75</v>
      </c>
      <c r="H339" s="179">
        <v>0</v>
      </c>
      <c r="I339" s="179">
        <v>0</v>
      </c>
      <c r="J339" s="179">
        <v>0</v>
      </c>
      <c r="K339" s="179">
        <v>0</v>
      </c>
      <c r="L339" s="179">
        <v>0</v>
      </c>
      <c r="M339" s="179">
        <v>1689143</v>
      </c>
      <c r="N339" s="179">
        <v>422285.75</v>
      </c>
    </row>
    <row r="340" spans="1:14" s="156" customFormat="1" x14ac:dyDescent="0.25">
      <c r="A340" s="156" t="s">
        <v>546</v>
      </c>
      <c r="B340" s="156" t="s">
        <v>168</v>
      </c>
      <c r="C340" s="156" t="s">
        <v>169</v>
      </c>
      <c r="D340" s="156" t="s">
        <v>541</v>
      </c>
      <c r="E340" s="179">
        <v>1290997262</v>
      </c>
      <c r="F340" s="179">
        <v>1244459372.29</v>
      </c>
      <c r="G340" s="179">
        <v>276054377.79000002</v>
      </c>
      <c r="H340" s="179">
        <v>0</v>
      </c>
      <c r="I340" s="179">
        <v>130403630.40000001</v>
      </c>
      <c r="J340" s="179">
        <v>0</v>
      </c>
      <c r="K340" s="179">
        <v>109156057.59999999</v>
      </c>
      <c r="L340" s="179">
        <v>107358787.59999999</v>
      </c>
      <c r="M340" s="179">
        <v>1004899684.29</v>
      </c>
      <c r="N340" s="179">
        <v>36494689.789999999</v>
      </c>
    </row>
    <row r="341" spans="1:14" s="156" customFormat="1" x14ac:dyDescent="0.25">
      <c r="A341" s="156" t="s">
        <v>546</v>
      </c>
      <c r="B341" s="156" t="s">
        <v>170</v>
      </c>
      <c r="C341" s="156" t="s">
        <v>171</v>
      </c>
      <c r="D341" s="156" t="s">
        <v>541</v>
      </c>
      <c r="E341" s="179">
        <v>1290997262</v>
      </c>
      <c r="F341" s="179">
        <v>1244459372.29</v>
      </c>
      <c r="G341" s="179">
        <v>276054377.79000002</v>
      </c>
      <c r="H341" s="179">
        <v>0</v>
      </c>
      <c r="I341" s="179">
        <v>130403630.40000001</v>
      </c>
      <c r="J341" s="179">
        <v>0</v>
      </c>
      <c r="K341" s="179">
        <v>109156057.59999999</v>
      </c>
      <c r="L341" s="179">
        <v>107358787.59999999</v>
      </c>
      <c r="M341" s="179">
        <v>1004899684.29</v>
      </c>
      <c r="N341" s="179">
        <v>36494689.789999999</v>
      </c>
    </row>
    <row r="342" spans="1:14" s="156" customFormat="1" x14ac:dyDescent="0.25">
      <c r="A342" s="156" t="s">
        <v>546</v>
      </c>
      <c r="B342" s="156" t="s">
        <v>172</v>
      </c>
      <c r="C342" s="156" t="s">
        <v>173</v>
      </c>
      <c r="D342" s="156" t="s">
        <v>541</v>
      </c>
      <c r="E342" s="179">
        <v>1413715</v>
      </c>
      <c r="F342" s="179">
        <v>1413715</v>
      </c>
      <c r="G342" s="179">
        <v>1413714.75</v>
      </c>
      <c r="H342" s="179">
        <v>0</v>
      </c>
      <c r="I342" s="179">
        <v>0</v>
      </c>
      <c r="J342" s="179">
        <v>0</v>
      </c>
      <c r="K342" s="179">
        <v>0</v>
      </c>
      <c r="L342" s="179">
        <v>0</v>
      </c>
      <c r="M342" s="179">
        <v>1413715</v>
      </c>
      <c r="N342" s="179">
        <v>1413714.75</v>
      </c>
    </row>
    <row r="343" spans="1:14" s="156" customFormat="1" x14ac:dyDescent="0.25">
      <c r="A343" s="156" t="s">
        <v>546</v>
      </c>
      <c r="B343" s="156" t="s">
        <v>309</v>
      </c>
      <c r="C343" s="156" t="s">
        <v>310</v>
      </c>
      <c r="D343" s="156" t="s">
        <v>541</v>
      </c>
      <c r="E343" s="179">
        <v>1413715</v>
      </c>
      <c r="F343" s="179">
        <v>1413715</v>
      </c>
      <c r="G343" s="179">
        <v>1413714.75</v>
      </c>
      <c r="H343" s="179">
        <v>0</v>
      </c>
      <c r="I343" s="179">
        <v>0</v>
      </c>
      <c r="J343" s="179">
        <v>0</v>
      </c>
      <c r="K343" s="179">
        <v>0</v>
      </c>
      <c r="L343" s="179">
        <v>0</v>
      </c>
      <c r="M343" s="179">
        <v>1413715</v>
      </c>
      <c r="N343" s="179">
        <v>1413714.75</v>
      </c>
    </row>
    <row r="344" spans="1:14" s="156" customFormat="1" x14ac:dyDescent="0.25">
      <c r="A344" s="156" t="s">
        <v>546</v>
      </c>
      <c r="B344" s="156" t="s">
        <v>178</v>
      </c>
      <c r="C344" s="156" t="s">
        <v>179</v>
      </c>
      <c r="D344" s="156" t="s">
        <v>541</v>
      </c>
      <c r="E344" s="179">
        <v>594069615</v>
      </c>
      <c r="F344" s="179">
        <v>594069615</v>
      </c>
      <c r="G344" s="179">
        <v>511724597.55000001</v>
      </c>
      <c r="H344" s="179">
        <v>0</v>
      </c>
      <c r="I344" s="179">
        <v>228732559.69</v>
      </c>
      <c r="J344" s="179">
        <v>2475000</v>
      </c>
      <c r="K344" s="179">
        <v>77382523.379999995</v>
      </c>
      <c r="L344" s="179">
        <v>77101523.379999995</v>
      </c>
      <c r="M344" s="179">
        <v>285479531.93000001</v>
      </c>
      <c r="N344" s="179">
        <v>203134514.47999999</v>
      </c>
    </row>
    <row r="345" spans="1:14" s="156" customFormat="1" x14ac:dyDescent="0.25">
      <c r="A345" s="156" t="s">
        <v>546</v>
      </c>
      <c r="B345" s="156" t="s">
        <v>180</v>
      </c>
      <c r="C345" s="156" t="s">
        <v>181</v>
      </c>
      <c r="D345" s="156" t="s">
        <v>541</v>
      </c>
      <c r="E345" s="179">
        <v>125656000</v>
      </c>
      <c r="F345" s="179">
        <v>125656000</v>
      </c>
      <c r="G345" s="179">
        <v>62828000</v>
      </c>
      <c r="H345" s="179">
        <v>0</v>
      </c>
      <c r="I345" s="179">
        <v>0</v>
      </c>
      <c r="J345" s="179">
        <v>0</v>
      </c>
      <c r="K345" s="179">
        <v>13349017</v>
      </c>
      <c r="L345" s="179">
        <v>13349017</v>
      </c>
      <c r="M345" s="179">
        <v>112306983</v>
      </c>
      <c r="N345" s="179">
        <v>49478983</v>
      </c>
    </row>
    <row r="346" spans="1:14" s="156" customFormat="1" x14ac:dyDescent="0.25">
      <c r="A346" s="156" t="s">
        <v>546</v>
      </c>
      <c r="B346" s="156" t="s">
        <v>332</v>
      </c>
      <c r="C346" s="156" t="s">
        <v>333</v>
      </c>
      <c r="D346" s="156" t="s">
        <v>541</v>
      </c>
      <c r="E346" s="179">
        <v>188229817</v>
      </c>
      <c r="F346" s="179">
        <v>188229817</v>
      </c>
      <c r="G346" s="179">
        <v>188229817</v>
      </c>
      <c r="H346" s="179">
        <v>0</v>
      </c>
      <c r="I346" s="179">
        <v>131180019.48999999</v>
      </c>
      <c r="J346" s="179">
        <v>0</v>
      </c>
      <c r="K346" s="179">
        <v>46922302.460000001</v>
      </c>
      <c r="L346" s="179">
        <v>46922302.460000001</v>
      </c>
      <c r="M346" s="179">
        <v>10127495.050000001</v>
      </c>
      <c r="N346" s="179">
        <v>10127495.050000001</v>
      </c>
    </row>
    <row r="347" spans="1:14" s="156" customFormat="1" x14ac:dyDescent="0.25">
      <c r="A347" s="156" t="s">
        <v>546</v>
      </c>
      <c r="B347" s="156" t="s">
        <v>182</v>
      </c>
      <c r="C347" s="156" t="s">
        <v>183</v>
      </c>
      <c r="D347" s="156" t="s">
        <v>541</v>
      </c>
      <c r="E347" s="179">
        <v>95028648</v>
      </c>
      <c r="F347" s="179">
        <v>95028648</v>
      </c>
      <c r="G347" s="179">
        <v>95028648</v>
      </c>
      <c r="H347" s="179">
        <v>0</v>
      </c>
      <c r="I347" s="179">
        <v>29156538.469999999</v>
      </c>
      <c r="J347" s="179">
        <v>2475000</v>
      </c>
      <c r="K347" s="179">
        <v>8828825.5399999991</v>
      </c>
      <c r="L347" s="179">
        <v>8822825.5399999991</v>
      </c>
      <c r="M347" s="179">
        <v>54568283.990000002</v>
      </c>
      <c r="N347" s="179">
        <v>54568283.990000002</v>
      </c>
    </row>
    <row r="348" spans="1:14" s="156" customFormat="1" x14ac:dyDescent="0.25">
      <c r="A348" s="156" t="s">
        <v>546</v>
      </c>
      <c r="B348" s="156" t="s">
        <v>184</v>
      </c>
      <c r="C348" s="156" t="s">
        <v>185</v>
      </c>
      <c r="D348" s="156" t="s">
        <v>541</v>
      </c>
      <c r="E348" s="179">
        <v>6300000</v>
      </c>
      <c r="F348" s="179">
        <v>6300000</v>
      </c>
      <c r="G348" s="179">
        <v>6300000</v>
      </c>
      <c r="H348" s="179">
        <v>0</v>
      </c>
      <c r="I348" s="179">
        <v>0</v>
      </c>
      <c r="J348" s="179">
        <v>0</v>
      </c>
      <c r="K348" s="179">
        <v>0</v>
      </c>
      <c r="L348" s="179">
        <v>0</v>
      </c>
      <c r="M348" s="179">
        <v>6300000</v>
      </c>
      <c r="N348" s="179">
        <v>6300000</v>
      </c>
    </row>
    <row r="349" spans="1:14" s="156" customFormat="1" x14ac:dyDescent="0.25">
      <c r="A349" s="156" t="s">
        <v>546</v>
      </c>
      <c r="B349" s="156" t="s">
        <v>186</v>
      </c>
      <c r="C349" s="156" t="s">
        <v>187</v>
      </c>
      <c r="D349" s="156" t="s">
        <v>541</v>
      </c>
      <c r="E349" s="179">
        <v>11141667</v>
      </c>
      <c r="F349" s="179">
        <v>11141667</v>
      </c>
      <c r="G349" s="179">
        <v>11141666.75</v>
      </c>
      <c r="H349" s="179">
        <v>0</v>
      </c>
      <c r="I349" s="179">
        <v>1239000</v>
      </c>
      <c r="J349" s="179">
        <v>0</v>
      </c>
      <c r="K349" s="179">
        <v>665000</v>
      </c>
      <c r="L349" s="179">
        <v>390000</v>
      </c>
      <c r="M349" s="179">
        <v>9237667</v>
      </c>
      <c r="N349" s="179">
        <v>9237666.75</v>
      </c>
    </row>
    <row r="350" spans="1:14" s="156" customFormat="1" x14ac:dyDescent="0.25">
      <c r="A350" s="156" t="s">
        <v>546</v>
      </c>
      <c r="B350" s="156" t="s">
        <v>188</v>
      </c>
      <c r="C350" s="156" t="s">
        <v>189</v>
      </c>
      <c r="D350" s="156" t="s">
        <v>541</v>
      </c>
      <c r="E350" s="179">
        <v>40562000</v>
      </c>
      <c r="F350" s="179">
        <v>40562000</v>
      </c>
      <c r="G350" s="179">
        <v>21044983</v>
      </c>
      <c r="H350" s="179">
        <v>0</v>
      </c>
      <c r="I350" s="179">
        <v>1130000</v>
      </c>
      <c r="J350" s="179">
        <v>0</v>
      </c>
      <c r="K350" s="179">
        <v>4354712.9800000004</v>
      </c>
      <c r="L350" s="179">
        <v>4354712.9800000004</v>
      </c>
      <c r="M350" s="179">
        <v>35077287.020000003</v>
      </c>
      <c r="N350" s="179">
        <v>15560270.02</v>
      </c>
    </row>
    <row r="351" spans="1:14" s="156" customFormat="1" x14ac:dyDescent="0.25">
      <c r="A351" s="156" t="s">
        <v>546</v>
      </c>
      <c r="B351" s="156" t="s">
        <v>190</v>
      </c>
      <c r="C351" s="156" t="s">
        <v>191</v>
      </c>
      <c r="D351" s="156" t="s">
        <v>541</v>
      </c>
      <c r="E351" s="179">
        <v>127151483</v>
      </c>
      <c r="F351" s="179">
        <v>127151483</v>
      </c>
      <c r="G351" s="179">
        <v>127151482.8</v>
      </c>
      <c r="H351" s="179">
        <v>0</v>
      </c>
      <c r="I351" s="179">
        <v>66027001.729999997</v>
      </c>
      <c r="J351" s="179">
        <v>0</v>
      </c>
      <c r="K351" s="179">
        <v>3262665.4</v>
      </c>
      <c r="L351" s="179">
        <v>3262665.4</v>
      </c>
      <c r="M351" s="179">
        <v>57861815.869999997</v>
      </c>
      <c r="N351" s="179">
        <v>57861815.670000002</v>
      </c>
    </row>
    <row r="352" spans="1:14" s="156" customFormat="1" x14ac:dyDescent="0.25">
      <c r="A352" s="156" t="s">
        <v>546</v>
      </c>
      <c r="B352" s="156" t="s">
        <v>192</v>
      </c>
      <c r="C352" s="156" t="s">
        <v>193</v>
      </c>
      <c r="D352" s="156" t="s">
        <v>541</v>
      </c>
      <c r="E352" s="179">
        <v>11126154</v>
      </c>
      <c r="F352" s="179">
        <v>11126154</v>
      </c>
      <c r="G352" s="179">
        <v>5563077.5</v>
      </c>
      <c r="H352" s="179">
        <v>0</v>
      </c>
      <c r="I352" s="179">
        <v>1732219</v>
      </c>
      <c r="J352" s="179">
        <v>0</v>
      </c>
      <c r="K352" s="179">
        <v>78882</v>
      </c>
      <c r="L352" s="179">
        <v>78882</v>
      </c>
      <c r="M352" s="179">
        <v>9315053</v>
      </c>
      <c r="N352" s="179">
        <v>3751976.5</v>
      </c>
    </row>
    <row r="353" spans="1:14" s="156" customFormat="1" x14ac:dyDescent="0.25">
      <c r="A353" s="156" t="s">
        <v>546</v>
      </c>
      <c r="B353" s="156" t="s">
        <v>194</v>
      </c>
      <c r="C353" s="156" t="s">
        <v>195</v>
      </c>
      <c r="D353" s="156" t="s">
        <v>541</v>
      </c>
      <c r="E353" s="179">
        <v>11126154</v>
      </c>
      <c r="F353" s="179">
        <v>11126154</v>
      </c>
      <c r="G353" s="179">
        <v>5563077.5</v>
      </c>
      <c r="H353" s="179">
        <v>0</v>
      </c>
      <c r="I353" s="179">
        <v>1732219</v>
      </c>
      <c r="J353" s="179">
        <v>0</v>
      </c>
      <c r="K353" s="179">
        <v>78882</v>
      </c>
      <c r="L353" s="179">
        <v>78882</v>
      </c>
      <c r="M353" s="179">
        <v>9315053</v>
      </c>
      <c r="N353" s="179">
        <v>3751976.5</v>
      </c>
    </row>
    <row r="354" spans="1:14" s="156" customFormat="1" x14ac:dyDescent="0.25">
      <c r="A354" s="156" t="s">
        <v>546</v>
      </c>
      <c r="B354" s="156" t="s">
        <v>196</v>
      </c>
      <c r="C354" s="156" t="s">
        <v>197</v>
      </c>
      <c r="D354" s="156" t="s">
        <v>541</v>
      </c>
      <c r="E354" s="179">
        <v>18666301</v>
      </c>
      <c r="F354" s="179">
        <v>65204190.710000001</v>
      </c>
      <c r="G354" s="179">
        <v>57371039.960000001</v>
      </c>
      <c r="H354" s="179">
        <v>0</v>
      </c>
      <c r="I354" s="179">
        <v>9753098.7899999991</v>
      </c>
      <c r="J354" s="179">
        <v>0</v>
      </c>
      <c r="K354" s="179">
        <v>3637166.17</v>
      </c>
      <c r="L354" s="179">
        <v>1827166.17</v>
      </c>
      <c r="M354" s="179">
        <v>51813925.75</v>
      </c>
      <c r="N354" s="179">
        <v>43980775</v>
      </c>
    </row>
    <row r="355" spans="1:14" s="156" customFormat="1" x14ac:dyDescent="0.25">
      <c r="A355" s="156" t="s">
        <v>546</v>
      </c>
      <c r="B355" s="156" t="s">
        <v>360</v>
      </c>
      <c r="C355" s="156" t="s">
        <v>361</v>
      </c>
      <c r="D355" s="156" t="s">
        <v>541</v>
      </c>
      <c r="E355" s="179">
        <v>3000000</v>
      </c>
      <c r="F355" s="179">
        <v>3000000</v>
      </c>
      <c r="G355" s="179">
        <v>3000000</v>
      </c>
      <c r="H355" s="179">
        <v>0</v>
      </c>
      <c r="I355" s="179">
        <v>966014.27</v>
      </c>
      <c r="J355" s="179">
        <v>0</v>
      </c>
      <c r="K355" s="179">
        <v>473411.17</v>
      </c>
      <c r="L355" s="179">
        <v>473411.17</v>
      </c>
      <c r="M355" s="179">
        <v>1560574.56</v>
      </c>
      <c r="N355" s="179">
        <v>1560574.56</v>
      </c>
    </row>
    <row r="356" spans="1:14" s="156" customFormat="1" x14ac:dyDescent="0.25">
      <c r="A356" s="156" t="s">
        <v>546</v>
      </c>
      <c r="B356" s="156" t="s">
        <v>334</v>
      </c>
      <c r="C356" s="156" t="s">
        <v>335</v>
      </c>
      <c r="D356" s="156" t="s">
        <v>541</v>
      </c>
      <c r="E356" s="179">
        <v>1275676</v>
      </c>
      <c r="F356" s="179">
        <v>47166460.710000001</v>
      </c>
      <c r="G356" s="179">
        <v>46528622.710000001</v>
      </c>
      <c r="H356" s="179">
        <v>0</v>
      </c>
      <c r="I356" s="179">
        <v>5845421.5199999996</v>
      </c>
      <c r="J356" s="179">
        <v>0</v>
      </c>
      <c r="K356" s="179">
        <v>0</v>
      </c>
      <c r="L356" s="179">
        <v>0</v>
      </c>
      <c r="M356" s="179">
        <v>41321039.189999998</v>
      </c>
      <c r="N356" s="179">
        <v>40683201.189999998</v>
      </c>
    </row>
    <row r="357" spans="1:14" s="156" customFormat="1" x14ac:dyDescent="0.25">
      <c r="A357" s="156" t="s">
        <v>546</v>
      </c>
      <c r="B357" s="156" t="s">
        <v>198</v>
      </c>
      <c r="C357" s="156" t="s">
        <v>199</v>
      </c>
      <c r="D357" s="156" t="s">
        <v>541</v>
      </c>
      <c r="E357" s="179">
        <v>14390625</v>
      </c>
      <c r="F357" s="179">
        <v>15037730</v>
      </c>
      <c r="G357" s="179">
        <v>7842417.25</v>
      </c>
      <c r="H357" s="179">
        <v>0</v>
      </c>
      <c r="I357" s="179">
        <v>2941663</v>
      </c>
      <c r="J357" s="179">
        <v>0</v>
      </c>
      <c r="K357" s="179">
        <v>3163755</v>
      </c>
      <c r="L357" s="179">
        <v>1353755</v>
      </c>
      <c r="M357" s="179">
        <v>8932312</v>
      </c>
      <c r="N357" s="179">
        <v>1736999.25</v>
      </c>
    </row>
    <row r="358" spans="1:14" s="156" customFormat="1" x14ac:dyDescent="0.25">
      <c r="A358" s="156" t="s">
        <v>546</v>
      </c>
      <c r="B358" s="156" t="s">
        <v>200</v>
      </c>
      <c r="C358" s="156" t="s">
        <v>201</v>
      </c>
      <c r="D358" s="156" t="s">
        <v>541</v>
      </c>
      <c r="E358" s="179">
        <v>14015826994</v>
      </c>
      <c r="F358" s="179">
        <v>14015826994</v>
      </c>
      <c r="G358" s="179">
        <v>7642003856.5</v>
      </c>
      <c r="H358" s="179">
        <v>0</v>
      </c>
      <c r="I358" s="179">
        <v>2320047085.29</v>
      </c>
      <c r="J358" s="179">
        <v>7021441.9100000001</v>
      </c>
      <c r="K358" s="179">
        <v>2543590843.5999999</v>
      </c>
      <c r="L358" s="179">
        <v>2480366772.0900002</v>
      </c>
      <c r="M358" s="179">
        <v>9145167623.2000008</v>
      </c>
      <c r="N358" s="179">
        <v>2771344485.6999998</v>
      </c>
    </row>
    <row r="359" spans="1:14" s="156" customFormat="1" x14ac:dyDescent="0.25">
      <c r="A359" s="156" t="s">
        <v>546</v>
      </c>
      <c r="B359" s="156" t="s">
        <v>202</v>
      </c>
      <c r="C359" s="156" t="s">
        <v>203</v>
      </c>
      <c r="D359" s="156" t="s">
        <v>541</v>
      </c>
      <c r="E359" s="179">
        <v>777682724</v>
      </c>
      <c r="F359" s="179">
        <v>777682724</v>
      </c>
      <c r="G359" s="179">
        <v>408027862</v>
      </c>
      <c r="H359" s="179">
        <v>0</v>
      </c>
      <c r="I359" s="179">
        <v>146714527.06</v>
      </c>
      <c r="J359" s="179">
        <v>0</v>
      </c>
      <c r="K359" s="179">
        <v>153815381.62</v>
      </c>
      <c r="L359" s="179">
        <v>148355024.28</v>
      </c>
      <c r="M359" s="179">
        <v>477152815.31999999</v>
      </c>
      <c r="N359" s="179">
        <v>107497953.31999999</v>
      </c>
    </row>
    <row r="360" spans="1:14" s="156" customFormat="1" x14ac:dyDescent="0.25">
      <c r="A360" s="156" t="s">
        <v>546</v>
      </c>
      <c r="B360" s="156" t="s">
        <v>204</v>
      </c>
      <c r="C360" s="156" t="s">
        <v>205</v>
      </c>
      <c r="D360" s="156" t="s">
        <v>541</v>
      </c>
      <c r="E360" s="179">
        <v>543016724</v>
      </c>
      <c r="F360" s="179">
        <v>543016724</v>
      </c>
      <c r="G360" s="179">
        <v>275508362</v>
      </c>
      <c r="H360" s="179">
        <v>0</v>
      </c>
      <c r="I360" s="179">
        <v>72422780.640000001</v>
      </c>
      <c r="J360" s="179">
        <v>0</v>
      </c>
      <c r="K360" s="179">
        <v>153709315.03999999</v>
      </c>
      <c r="L360" s="179">
        <v>148248957.69999999</v>
      </c>
      <c r="M360" s="179">
        <v>316884628.31999999</v>
      </c>
      <c r="N360" s="179">
        <v>49376266.32</v>
      </c>
    </row>
    <row r="361" spans="1:14" s="156" customFormat="1" x14ac:dyDescent="0.25">
      <c r="A361" s="156" t="s">
        <v>546</v>
      </c>
      <c r="B361" s="156" t="s">
        <v>206</v>
      </c>
      <c r="C361" s="156" t="s">
        <v>207</v>
      </c>
      <c r="D361" s="156" t="s">
        <v>541</v>
      </c>
      <c r="E361" s="179">
        <v>195656000</v>
      </c>
      <c r="F361" s="179">
        <v>195656000</v>
      </c>
      <c r="G361" s="179">
        <v>97828000</v>
      </c>
      <c r="H361" s="179">
        <v>0</v>
      </c>
      <c r="I361" s="179">
        <v>74248900</v>
      </c>
      <c r="J361" s="179">
        <v>0</v>
      </c>
      <c r="K361" s="179">
        <v>0</v>
      </c>
      <c r="L361" s="179">
        <v>0</v>
      </c>
      <c r="M361" s="179">
        <v>121407100</v>
      </c>
      <c r="N361" s="179">
        <v>23579100</v>
      </c>
    </row>
    <row r="362" spans="1:14" s="156" customFormat="1" x14ac:dyDescent="0.25">
      <c r="A362" s="156" t="s">
        <v>546</v>
      </c>
      <c r="B362" s="156" t="s">
        <v>362</v>
      </c>
      <c r="C362" s="156" t="s">
        <v>363</v>
      </c>
      <c r="D362" s="156" t="s">
        <v>541</v>
      </c>
      <c r="E362" s="179">
        <v>2674000</v>
      </c>
      <c r="F362" s="179">
        <v>2674000</v>
      </c>
      <c r="G362" s="179">
        <v>1337000</v>
      </c>
      <c r="H362" s="179">
        <v>0</v>
      </c>
      <c r="I362" s="179">
        <v>42846</v>
      </c>
      <c r="J362" s="179">
        <v>0</v>
      </c>
      <c r="K362" s="179">
        <v>77925</v>
      </c>
      <c r="L362" s="179">
        <v>77925</v>
      </c>
      <c r="M362" s="179">
        <v>2553229</v>
      </c>
      <c r="N362" s="179">
        <v>1216229</v>
      </c>
    </row>
    <row r="363" spans="1:14" s="156" customFormat="1" x14ac:dyDescent="0.25">
      <c r="A363" s="156" t="s">
        <v>546</v>
      </c>
      <c r="B363" s="156" t="s">
        <v>208</v>
      </c>
      <c r="C363" s="156" t="s">
        <v>209</v>
      </c>
      <c r="D363" s="156" t="s">
        <v>541</v>
      </c>
      <c r="E363" s="179">
        <v>30373000</v>
      </c>
      <c r="F363" s="179">
        <v>30373000</v>
      </c>
      <c r="G363" s="179">
        <v>30373000</v>
      </c>
      <c r="H363" s="179">
        <v>0</v>
      </c>
      <c r="I363" s="179">
        <v>0.42</v>
      </c>
      <c r="J363" s="179">
        <v>0</v>
      </c>
      <c r="K363" s="179">
        <v>28141.58</v>
      </c>
      <c r="L363" s="179">
        <v>28141.58</v>
      </c>
      <c r="M363" s="179">
        <v>30344858</v>
      </c>
      <c r="N363" s="179">
        <v>30344858</v>
      </c>
    </row>
    <row r="364" spans="1:14" s="156" customFormat="1" x14ac:dyDescent="0.25">
      <c r="A364" s="156" t="s">
        <v>546</v>
      </c>
      <c r="B364" s="156" t="s">
        <v>210</v>
      </c>
      <c r="C364" s="156" t="s">
        <v>211</v>
      </c>
      <c r="D364" s="156" t="s">
        <v>541</v>
      </c>
      <c r="E364" s="179">
        <v>5963000</v>
      </c>
      <c r="F364" s="179">
        <v>5963000</v>
      </c>
      <c r="G364" s="179">
        <v>2981500</v>
      </c>
      <c r="H364" s="179">
        <v>0</v>
      </c>
      <c r="I364" s="179">
        <v>0</v>
      </c>
      <c r="J364" s="179">
        <v>0</v>
      </c>
      <c r="K364" s="179">
        <v>0</v>
      </c>
      <c r="L364" s="179">
        <v>0</v>
      </c>
      <c r="M364" s="179">
        <v>5963000</v>
      </c>
      <c r="N364" s="179">
        <v>2981500</v>
      </c>
    </row>
    <row r="365" spans="1:14" s="156" customFormat="1" x14ac:dyDescent="0.25">
      <c r="A365" s="156" t="s">
        <v>546</v>
      </c>
      <c r="B365" s="156" t="s">
        <v>212</v>
      </c>
      <c r="C365" s="156" t="s">
        <v>213</v>
      </c>
      <c r="D365" s="156" t="s">
        <v>541</v>
      </c>
      <c r="E365" s="179">
        <v>10984366500</v>
      </c>
      <c r="F365" s="179">
        <v>10984366500</v>
      </c>
      <c r="G365" s="179">
        <v>5492183250</v>
      </c>
      <c r="H365" s="179">
        <v>0</v>
      </c>
      <c r="I365" s="179">
        <v>1824941026.3399999</v>
      </c>
      <c r="J365" s="179">
        <v>0</v>
      </c>
      <c r="K365" s="179">
        <v>2204406630.6999998</v>
      </c>
      <c r="L365" s="179">
        <v>2150774676.6999998</v>
      </c>
      <c r="M365" s="179">
        <v>6955018842.96</v>
      </c>
      <c r="N365" s="179">
        <v>1462835592.96</v>
      </c>
    </row>
    <row r="366" spans="1:14" s="156" customFormat="1" x14ac:dyDescent="0.25">
      <c r="A366" s="156" t="s">
        <v>546</v>
      </c>
      <c r="B366" s="156" t="s">
        <v>214</v>
      </c>
      <c r="C366" s="156" t="s">
        <v>215</v>
      </c>
      <c r="D366" s="156" t="s">
        <v>541</v>
      </c>
      <c r="E366" s="179">
        <v>10972726000</v>
      </c>
      <c r="F366" s="179">
        <v>10972726000</v>
      </c>
      <c r="G366" s="179">
        <v>5486363000</v>
      </c>
      <c r="H366" s="179">
        <v>0</v>
      </c>
      <c r="I366" s="179">
        <v>1824941026.3399999</v>
      </c>
      <c r="J366" s="179">
        <v>0</v>
      </c>
      <c r="K366" s="179">
        <v>2204406630.6999998</v>
      </c>
      <c r="L366" s="179">
        <v>2150774676.6999998</v>
      </c>
      <c r="M366" s="179">
        <v>6943378342.96</v>
      </c>
      <c r="N366" s="179">
        <v>1457015342.96</v>
      </c>
    </row>
    <row r="367" spans="1:14" s="156" customFormat="1" x14ac:dyDescent="0.25">
      <c r="A367" s="156" t="s">
        <v>546</v>
      </c>
      <c r="B367" s="156" t="s">
        <v>364</v>
      </c>
      <c r="C367" s="156" t="s">
        <v>365</v>
      </c>
      <c r="D367" s="156" t="s">
        <v>541</v>
      </c>
      <c r="E367" s="179">
        <v>11640500</v>
      </c>
      <c r="F367" s="179">
        <v>11640500</v>
      </c>
      <c r="G367" s="179">
        <v>5820250</v>
      </c>
      <c r="H367" s="179">
        <v>0</v>
      </c>
      <c r="I367" s="179">
        <v>0</v>
      </c>
      <c r="J367" s="179">
        <v>0</v>
      </c>
      <c r="K367" s="179">
        <v>0</v>
      </c>
      <c r="L367" s="179">
        <v>0</v>
      </c>
      <c r="M367" s="179">
        <v>11640500</v>
      </c>
      <c r="N367" s="179">
        <v>5820250</v>
      </c>
    </row>
    <row r="368" spans="1:14" s="156" customFormat="1" x14ac:dyDescent="0.25">
      <c r="A368" s="156" t="s">
        <v>546</v>
      </c>
      <c r="B368" s="156" t="s">
        <v>216</v>
      </c>
      <c r="C368" s="156" t="s">
        <v>217</v>
      </c>
      <c r="D368" s="156" t="s">
        <v>541</v>
      </c>
      <c r="E368" s="179">
        <v>446867786</v>
      </c>
      <c r="F368" s="179">
        <v>442289969</v>
      </c>
      <c r="G368" s="179">
        <v>284767836.5</v>
      </c>
      <c r="H368" s="179">
        <v>0</v>
      </c>
      <c r="I368" s="179">
        <v>9789497.8499999996</v>
      </c>
      <c r="J368" s="179">
        <v>6977441.9100000001</v>
      </c>
      <c r="K368" s="179">
        <v>38718427.170000002</v>
      </c>
      <c r="L368" s="179">
        <v>38718427.170000002</v>
      </c>
      <c r="M368" s="179">
        <v>386804602.06999999</v>
      </c>
      <c r="N368" s="179">
        <v>229282469.56999999</v>
      </c>
    </row>
    <row r="369" spans="1:14" s="156" customFormat="1" x14ac:dyDescent="0.25">
      <c r="A369" s="156" t="s">
        <v>546</v>
      </c>
      <c r="B369" s="156" t="s">
        <v>218</v>
      </c>
      <c r="C369" s="156" t="s">
        <v>219</v>
      </c>
      <c r="D369" s="156" t="s">
        <v>541</v>
      </c>
      <c r="E369" s="179">
        <v>122902000</v>
      </c>
      <c r="F369" s="179">
        <v>122902000</v>
      </c>
      <c r="G369" s="179">
        <v>62192860</v>
      </c>
      <c r="H369" s="179">
        <v>0</v>
      </c>
      <c r="I369" s="179">
        <v>8120620.8499999996</v>
      </c>
      <c r="J369" s="179">
        <v>0</v>
      </c>
      <c r="K369" s="179">
        <v>3727874.8</v>
      </c>
      <c r="L369" s="179">
        <v>3727874.8</v>
      </c>
      <c r="M369" s="179">
        <v>111053504.34999999</v>
      </c>
      <c r="N369" s="179">
        <v>50344364.350000001</v>
      </c>
    </row>
    <row r="370" spans="1:14" s="156" customFormat="1" x14ac:dyDescent="0.25">
      <c r="A370" s="156" t="s">
        <v>546</v>
      </c>
      <c r="B370" s="156" t="s">
        <v>336</v>
      </c>
      <c r="C370" s="156" t="s">
        <v>337</v>
      </c>
      <c r="D370" s="156" t="s">
        <v>541</v>
      </c>
      <c r="E370" s="179">
        <v>50168000</v>
      </c>
      <c r="F370" s="179">
        <v>50168000</v>
      </c>
      <c r="G370" s="179">
        <v>25084000</v>
      </c>
      <c r="H370" s="179">
        <v>0</v>
      </c>
      <c r="I370" s="179">
        <v>1440123</v>
      </c>
      <c r="J370" s="179">
        <v>0</v>
      </c>
      <c r="K370" s="179">
        <v>2495520</v>
      </c>
      <c r="L370" s="179">
        <v>2495520</v>
      </c>
      <c r="M370" s="179">
        <v>46232357</v>
      </c>
      <c r="N370" s="179">
        <v>21148357</v>
      </c>
    </row>
    <row r="371" spans="1:14" s="156" customFormat="1" x14ac:dyDescent="0.25">
      <c r="A371" s="156" t="s">
        <v>546</v>
      </c>
      <c r="B371" s="156" t="s">
        <v>338</v>
      </c>
      <c r="C371" s="156" t="s">
        <v>339</v>
      </c>
      <c r="D371" s="156" t="s">
        <v>541</v>
      </c>
      <c r="E371" s="179">
        <v>89195672</v>
      </c>
      <c r="F371" s="179">
        <v>89195672</v>
      </c>
      <c r="G371" s="179">
        <v>55845623</v>
      </c>
      <c r="H371" s="179">
        <v>0</v>
      </c>
      <c r="I371" s="179">
        <v>0</v>
      </c>
      <c r="J371" s="179">
        <v>6955000</v>
      </c>
      <c r="K371" s="179">
        <v>32215598</v>
      </c>
      <c r="L371" s="179">
        <v>32215598</v>
      </c>
      <c r="M371" s="179">
        <v>50025074</v>
      </c>
      <c r="N371" s="179">
        <v>16675025</v>
      </c>
    </row>
    <row r="372" spans="1:14" s="156" customFormat="1" x14ac:dyDescent="0.25">
      <c r="A372" s="156" t="s">
        <v>546</v>
      </c>
      <c r="B372" s="156" t="s">
        <v>220</v>
      </c>
      <c r="C372" s="156" t="s">
        <v>221</v>
      </c>
      <c r="D372" s="156" t="s">
        <v>541</v>
      </c>
      <c r="E372" s="179">
        <v>90316000</v>
      </c>
      <c r="F372" s="179">
        <v>90316000</v>
      </c>
      <c r="G372" s="179">
        <v>90316000</v>
      </c>
      <c r="H372" s="179">
        <v>0</v>
      </c>
      <c r="I372" s="179">
        <v>118754</v>
      </c>
      <c r="J372" s="179">
        <v>0</v>
      </c>
      <c r="K372" s="179">
        <v>279434.37</v>
      </c>
      <c r="L372" s="179">
        <v>279434.37</v>
      </c>
      <c r="M372" s="179">
        <v>89917811.629999995</v>
      </c>
      <c r="N372" s="179">
        <v>89917811.629999995</v>
      </c>
    </row>
    <row r="373" spans="1:14" s="156" customFormat="1" x14ac:dyDescent="0.25">
      <c r="A373" s="156" t="s">
        <v>546</v>
      </c>
      <c r="B373" s="156" t="s">
        <v>222</v>
      </c>
      <c r="C373" s="156" t="s">
        <v>223</v>
      </c>
      <c r="D373" s="156" t="s">
        <v>541</v>
      </c>
      <c r="E373" s="179">
        <v>7059000</v>
      </c>
      <c r="F373" s="179">
        <v>2481183</v>
      </c>
      <c r="G373" s="179">
        <v>2481183</v>
      </c>
      <c r="H373" s="179">
        <v>0</v>
      </c>
      <c r="I373" s="179">
        <v>110000</v>
      </c>
      <c r="J373" s="179">
        <v>0</v>
      </c>
      <c r="K373" s="179">
        <v>0</v>
      </c>
      <c r="L373" s="179">
        <v>0</v>
      </c>
      <c r="M373" s="179">
        <v>2371183</v>
      </c>
      <c r="N373" s="179">
        <v>2371183</v>
      </c>
    </row>
    <row r="374" spans="1:14" s="156" customFormat="1" x14ac:dyDescent="0.25">
      <c r="A374" s="156" t="s">
        <v>546</v>
      </c>
      <c r="B374" s="156" t="s">
        <v>224</v>
      </c>
      <c r="C374" s="156" t="s">
        <v>225</v>
      </c>
      <c r="D374" s="156" t="s">
        <v>541</v>
      </c>
      <c r="E374" s="179">
        <v>61279000</v>
      </c>
      <c r="F374" s="179">
        <v>61279000</v>
      </c>
      <c r="G374" s="179">
        <v>22900057</v>
      </c>
      <c r="H374" s="179">
        <v>0</v>
      </c>
      <c r="I374" s="179">
        <v>0</v>
      </c>
      <c r="J374" s="179">
        <v>22441.91</v>
      </c>
      <c r="K374" s="179">
        <v>0</v>
      </c>
      <c r="L374" s="179">
        <v>0</v>
      </c>
      <c r="M374" s="179">
        <v>61256558.090000004</v>
      </c>
      <c r="N374" s="179">
        <v>22877615.09</v>
      </c>
    </row>
    <row r="375" spans="1:14" s="156" customFormat="1" x14ac:dyDescent="0.25">
      <c r="A375" s="156" t="s">
        <v>546</v>
      </c>
      <c r="B375" s="156" t="s">
        <v>226</v>
      </c>
      <c r="C375" s="156" t="s">
        <v>227</v>
      </c>
      <c r="D375" s="156" t="s">
        <v>541</v>
      </c>
      <c r="E375" s="179">
        <v>25948114</v>
      </c>
      <c r="F375" s="179">
        <v>25948114</v>
      </c>
      <c r="G375" s="179">
        <v>25948113.5</v>
      </c>
      <c r="H375" s="179">
        <v>0</v>
      </c>
      <c r="I375" s="179">
        <v>0</v>
      </c>
      <c r="J375" s="179">
        <v>0</v>
      </c>
      <c r="K375" s="179">
        <v>0</v>
      </c>
      <c r="L375" s="179">
        <v>0</v>
      </c>
      <c r="M375" s="179">
        <v>25948114</v>
      </c>
      <c r="N375" s="179">
        <v>25948113.5</v>
      </c>
    </row>
    <row r="376" spans="1:14" s="156" customFormat="1" x14ac:dyDescent="0.25">
      <c r="A376" s="156" t="s">
        <v>546</v>
      </c>
      <c r="B376" s="156" t="s">
        <v>228</v>
      </c>
      <c r="C376" s="156" t="s">
        <v>229</v>
      </c>
      <c r="D376" s="156" t="s">
        <v>541</v>
      </c>
      <c r="E376" s="179">
        <v>150560000</v>
      </c>
      <c r="F376" s="179">
        <v>150560000</v>
      </c>
      <c r="G376" s="179">
        <v>126053720</v>
      </c>
      <c r="H376" s="179">
        <v>0</v>
      </c>
      <c r="I376" s="179">
        <v>13313389.58</v>
      </c>
      <c r="J376" s="179">
        <v>44000</v>
      </c>
      <c r="K376" s="179">
        <v>27762581.57</v>
      </c>
      <c r="L376" s="179">
        <v>27557195.899999999</v>
      </c>
      <c r="M376" s="179">
        <v>109440028.84999999</v>
      </c>
      <c r="N376" s="179">
        <v>84933748.849999994</v>
      </c>
    </row>
    <row r="377" spans="1:14" s="156" customFormat="1" x14ac:dyDescent="0.25">
      <c r="A377" s="156" t="s">
        <v>546</v>
      </c>
      <c r="B377" s="156" t="s">
        <v>230</v>
      </c>
      <c r="C377" s="156" t="s">
        <v>231</v>
      </c>
      <c r="D377" s="156" t="s">
        <v>541</v>
      </c>
      <c r="E377" s="179">
        <v>53615000</v>
      </c>
      <c r="F377" s="179">
        <v>53615000</v>
      </c>
      <c r="G377" s="179">
        <v>29108720</v>
      </c>
      <c r="H377" s="179">
        <v>0</v>
      </c>
      <c r="I377" s="179">
        <v>7242000</v>
      </c>
      <c r="J377" s="179">
        <v>44000</v>
      </c>
      <c r="K377" s="179">
        <v>9569580</v>
      </c>
      <c r="L377" s="179">
        <v>9569580</v>
      </c>
      <c r="M377" s="179">
        <v>36759420</v>
      </c>
      <c r="N377" s="179">
        <v>12253140</v>
      </c>
    </row>
    <row r="378" spans="1:14" s="156" customFormat="1" x14ac:dyDescent="0.25">
      <c r="A378" s="156" t="s">
        <v>546</v>
      </c>
      <c r="B378" s="156" t="s">
        <v>232</v>
      </c>
      <c r="C378" s="156" t="s">
        <v>233</v>
      </c>
      <c r="D378" s="156" t="s">
        <v>541</v>
      </c>
      <c r="E378" s="179">
        <v>96945000</v>
      </c>
      <c r="F378" s="179">
        <v>96945000</v>
      </c>
      <c r="G378" s="179">
        <v>96945000</v>
      </c>
      <c r="H378" s="179">
        <v>0</v>
      </c>
      <c r="I378" s="179">
        <v>6071389.5800000001</v>
      </c>
      <c r="J378" s="179">
        <v>0</v>
      </c>
      <c r="K378" s="179">
        <v>18193001.57</v>
      </c>
      <c r="L378" s="179">
        <v>17987615.899999999</v>
      </c>
      <c r="M378" s="179">
        <v>72680608.849999994</v>
      </c>
      <c r="N378" s="179">
        <v>72680608.849999994</v>
      </c>
    </row>
    <row r="379" spans="1:14" s="156" customFormat="1" x14ac:dyDescent="0.25">
      <c r="A379" s="156" t="s">
        <v>546</v>
      </c>
      <c r="B379" s="156" t="s">
        <v>609</v>
      </c>
      <c r="C379" s="156" t="s">
        <v>610</v>
      </c>
      <c r="D379" s="156" t="s">
        <v>541</v>
      </c>
      <c r="E379" s="179">
        <v>0</v>
      </c>
      <c r="F379" s="179">
        <v>4577817</v>
      </c>
      <c r="G379" s="179">
        <v>4577817</v>
      </c>
      <c r="H379" s="179">
        <v>0</v>
      </c>
      <c r="I379" s="179">
        <v>0</v>
      </c>
      <c r="J379" s="179">
        <v>0</v>
      </c>
      <c r="K379" s="179">
        <v>0</v>
      </c>
      <c r="L379" s="179">
        <v>0</v>
      </c>
      <c r="M379" s="179">
        <v>4577817</v>
      </c>
      <c r="N379" s="179">
        <v>4577817</v>
      </c>
    </row>
    <row r="380" spans="1:14" s="156" customFormat="1" x14ac:dyDescent="0.25">
      <c r="A380" s="156" t="s">
        <v>546</v>
      </c>
      <c r="B380" s="156" t="s">
        <v>611</v>
      </c>
      <c r="C380" s="156" t="s">
        <v>612</v>
      </c>
      <c r="D380" s="156" t="s">
        <v>541</v>
      </c>
      <c r="E380" s="179">
        <v>0</v>
      </c>
      <c r="F380" s="179">
        <v>4577817</v>
      </c>
      <c r="G380" s="179">
        <v>4577817</v>
      </c>
      <c r="H380" s="179">
        <v>0</v>
      </c>
      <c r="I380" s="179">
        <v>0</v>
      </c>
      <c r="J380" s="179">
        <v>0</v>
      </c>
      <c r="K380" s="179">
        <v>0</v>
      </c>
      <c r="L380" s="179">
        <v>0</v>
      </c>
      <c r="M380" s="179">
        <v>4577817</v>
      </c>
      <c r="N380" s="179">
        <v>4577817</v>
      </c>
    </row>
    <row r="381" spans="1:14" s="156" customFormat="1" x14ac:dyDescent="0.25">
      <c r="A381" s="156" t="s">
        <v>546</v>
      </c>
      <c r="B381" s="156" t="s">
        <v>234</v>
      </c>
      <c r="C381" s="156" t="s">
        <v>601</v>
      </c>
      <c r="D381" s="156" t="s">
        <v>541</v>
      </c>
      <c r="E381" s="179">
        <v>1656349984</v>
      </c>
      <c r="F381" s="179">
        <v>1656349984</v>
      </c>
      <c r="G381" s="179">
        <v>1326393371</v>
      </c>
      <c r="H381" s="179">
        <v>0</v>
      </c>
      <c r="I381" s="179">
        <v>325288644.45999998</v>
      </c>
      <c r="J381" s="179">
        <v>0</v>
      </c>
      <c r="K381" s="179">
        <v>118887822.54000001</v>
      </c>
      <c r="L381" s="179">
        <v>114961448.04000001</v>
      </c>
      <c r="M381" s="179">
        <v>1212173517</v>
      </c>
      <c r="N381" s="179">
        <v>882216904</v>
      </c>
    </row>
    <row r="382" spans="1:14" s="156" customFormat="1" x14ac:dyDescent="0.25">
      <c r="A382" s="156" t="s">
        <v>546</v>
      </c>
      <c r="B382" s="156" t="s">
        <v>235</v>
      </c>
      <c r="C382" s="156" t="s">
        <v>236</v>
      </c>
      <c r="D382" s="156" t="s">
        <v>541</v>
      </c>
      <c r="E382" s="179">
        <v>34070136</v>
      </c>
      <c r="F382" s="179">
        <v>34070136</v>
      </c>
      <c r="G382" s="179">
        <v>17035068</v>
      </c>
      <c r="H382" s="179">
        <v>0</v>
      </c>
      <c r="I382" s="179">
        <v>0</v>
      </c>
      <c r="J382" s="179">
        <v>0</v>
      </c>
      <c r="K382" s="179">
        <v>0</v>
      </c>
      <c r="L382" s="179">
        <v>0</v>
      </c>
      <c r="M382" s="179">
        <v>34070136</v>
      </c>
      <c r="N382" s="179">
        <v>17035068</v>
      </c>
    </row>
    <row r="383" spans="1:14" s="156" customFormat="1" x14ac:dyDescent="0.25">
      <c r="A383" s="156" t="s">
        <v>546</v>
      </c>
      <c r="B383" s="156" t="s">
        <v>237</v>
      </c>
      <c r="C383" s="156" t="s">
        <v>238</v>
      </c>
      <c r="D383" s="156" t="s">
        <v>541</v>
      </c>
      <c r="E383" s="179">
        <v>65363019</v>
      </c>
      <c r="F383" s="179">
        <v>65363019</v>
      </c>
      <c r="G383" s="179">
        <v>32681509.75</v>
      </c>
      <c r="H383" s="179">
        <v>0</v>
      </c>
      <c r="I383" s="179">
        <v>388524.54</v>
      </c>
      <c r="J383" s="179">
        <v>0</v>
      </c>
      <c r="K383" s="179">
        <v>5068757.07</v>
      </c>
      <c r="L383" s="179">
        <v>5068757.07</v>
      </c>
      <c r="M383" s="179">
        <v>59905737.390000001</v>
      </c>
      <c r="N383" s="179">
        <v>27224228.140000001</v>
      </c>
    </row>
    <row r="384" spans="1:14" s="156" customFormat="1" x14ac:dyDescent="0.25">
      <c r="A384" s="156" t="s">
        <v>546</v>
      </c>
      <c r="B384" s="156" t="s">
        <v>239</v>
      </c>
      <c r="C384" s="156" t="s">
        <v>240</v>
      </c>
      <c r="D384" s="156" t="s">
        <v>541</v>
      </c>
      <c r="E384" s="179">
        <v>146259000</v>
      </c>
      <c r="F384" s="179">
        <v>146259000</v>
      </c>
      <c r="G384" s="179">
        <v>146259000</v>
      </c>
      <c r="H384" s="179">
        <v>0</v>
      </c>
      <c r="I384" s="179">
        <v>53327216</v>
      </c>
      <c r="J384" s="179">
        <v>0</v>
      </c>
      <c r="K384" s="179">
        <v>9545144.6999999993</v>
      </c>
      <c r="L384" s="179">
        <v>9545144.6999999993</v>
      </c>
      <c r="M384" s="179">
        <v>83386639.299999997</v>
      </c>
      <c r="N384" s="179">
        <v>83386639.299999997</v>
      </c>
    </row>
    <row r="385" spans="1:14" s="156" customFormat="1" x14ac:dyDescent="0.25">
      <c r="A385" s="156" t="s">
        <v>546</v>
      </c>
      <c r="B385" s="156" t="s">
        <v>241</v>
      </c>
      <c r="C385" s="156" t="s">
        <v>242</v>
      </c>
      <c r="D385" s="156" t="s">
        <v>541</v>
      </c>
      <c r="E385" s="179">
        <v>643150000</v>
      </c>
      <c r="F385" s="179">
        <v>643150000</v>
      </c>
      <c r="G385" s="179">
        <v>410325211</v>
      </c>
      <c r="H385" s="179">
        <v>0</v>
      </c>
      <c r="I385" s="179">
        <v>1271562</v>
      </c>
      <c r="J385" s="179">
        <v>0</v>
      </c>
      <c r="K385" s="179">
        <v>4284920</v>
      </c>
      <c r="L385" s="179">
        <v>4031120</v>
      </c>
      <c r="M385" s="179">
        <v>637593518</v>
      </c>
      <c r="N385" s="179">
        <v>404768729</v>
      </c>
    </row>
    <row r="386" spans="1:14" s="156" customFormat="1" x14ac:dyDescent="0.25">
      <c r="A386" s="156" t="s">
        <v>546</v>
      </c>
      <c r="B386" s="156" t="s">
        <v>243</v>
      </c>
      <c r="C386" s="156" t="s">
        <v>244</v>
      </c>
      <c r="D386" s="156" t="s">
        <v>541</v>
      </c>
      <c r="E386" s="179">
        <v>302355000</v>
      </c>
      <c r="F386" s="179">
        <v>302355000</v>
      </c>
      <c r="G386" s="179">
        <v>302355000</v>
      </c>
      <c r="H386" s="179">
        <v>0</v>
      </c>
      <c r="I386" s="179">
        <v>189032546.22</v>
      </c>
      <c r="J386" s="179">
        <v>0</v>
      </c>
      <c r="K386" s="179">
        <v>35108199.090000004</v>
      </c>
      <c r="L386" s="179">
        <v>35108199.090000004</v>
      </c>
      <c r="M386" s="179">
        <v>78214254.689999998</v>
      </c>
      <c r="N386" s="179">
        <v>78214254.689999998</v>
      </c>
    </row>
    <row r="387" spans="1:14" s="156" customFormat="1" x14ac:dyDescent="0.25">
      <c r="A387" s="156" t="s">
        <v>546</v>
      </c>
      <c r="B387" s="156" t="s">
        <v>245</v>
      </c>
      <c r="C387" s="156" t="s">
        <v>246</v>
      </c>
      <c r="D387" s="156" t="s">
        <v>541</v>
      </c>
      <c r="E387" s="179">
        <v>182921000</v>
      </c>
      <c r="F387" s="179">
        <v>182921000</v>
      </c>
      <c r="G387" s="179">
        <v>182921000</v>
      </c>
      <c r="H387" s="179">
        <v>0</v>
      </c>
      <c r="I387" s="179">
        <v>35970</v>
      </c>
      <c r="J387" s="179">
        <v>0</v>
      </c>
      <c r="K387" s="179">
        <v>420493.25</v>
      </c>
      <c r="L387" s="179">
        <v>420493.25</v>
      </c>
      <c r="M387" s="179">
        <v>182464536.75</v>
      </c>
      <c r="N387" s="179">
        <v>182464536.75</v>
      </c>
    </row>
    <row r="388" spans="1:14" s="156" customFormat="1" x14ac:dyDescent="0.25">
      <c r="A388" s="156" t="s">
        <v>546</v>
      </c>
      <c r="B388" s="156" t="s">
        <v>247</v>
      </c>
      <c r="C388" s="156" t="s">
        <v>248</v>
      </c>
      <c r="D388" s="156" t="s">
        <v>541</v>
      </c>
      <c r="E388" s="179">
        <v>92727347</v>
      </c>
      <c r="F388" s="179">
        <v>92727347</v>
      </c>
      <c r="G388" s="179">
        <v>46363673.75</v>
      </c>
      <c r="H388" s="179">
        <v>0</v>
      </c>
      <c r="I388" s="179">
        <v>19174617.219999999</v>
      </c>
      <c r="J388" s="179">
        <v>0</v>
      </c>
      <c r="K388" s="179">
        <v>14830959.550000001</v>
      </c>
      <c r="L388" s="179">
        <v>14830959.550000001</v>
      </c>
      <c r="M388" s="179">
        <v>58721770.229999997</v>
      </c>
      <c r="N388" s="179">
        <v>12358096.98</v>
      </c>
    </row>
    <row r="389" spans="1:14" s="156" customFormat="1" x14ac:dyDescent="0.25">
      <c r="A389" s="156" t="s">
        <v>546</v>
      </c>
      <c r="B389" s="156" t="s">
        <v>249</v>
      </c>
      <c r="C389" s="156" t="s">
        <v>250</v>
      </c>
      <c r="D389" s="156" t="s">
        <v>541</v>
      </c>
      <c r="E389" s="179">
        <v>189504482</v>
      </c>
      <c r="F389" s="179">
        <v>189504482</v>
      </c>
      <c r="G389" s="179">
        <v>188452908.5</v>
      </c>
      <c r="H389" s="179">
        <v>0</v>
      </c>
      <c r="I389" s="179">
        <v>62058208.479999997</v>
      </c>
      <c r="J389" s="179">
        <v>0</v>
      </c>
      <c r="K389" s="179">
        <v>49629348.880000003</v>
      </c>
      <c r="L389" s="179">
        <v>45956774.380000003</v>
      </c>
      <c r="M389" s="179">
        <v>77816924.640000001</v>
      </c>
      <c r="N389" s="179">
        <v>76765351.140000001</v>
      </c>
    </row>
    <row r="390" spans="1:14" s="156" customFormat="1" x14ac:dyDescent="0.25">
      <c r="A390" s="156" t="s">
        <v>546</v>
      </c>
      <c r="B390" s="156" t="s">
        <v>279</v>
      </c>
      <c r="C390" s="156" t="s">
        <v>280</v>
      </c>
      <c r="D390" s="156" t="s">
        <v>541</v>
      </c>
      <c r="E390" s="179">
        <v>883769579</v>
      </c>
      <c r="F390" s="179">
        <v>2629734727</v>
      </c>
      <c r="G390" s="179">
        <v>2427152161.75</v>
      </c>
      <c r="H390" s="179">
        <v>124031888</v>
      </c>
      <c r="I390" s="179">
        <v>357100685.77999997</v>
      </c>
      <c r="J390" s="179">
        <v>164571974.58000001</v>
      </c>
      <c r="K390" s="179">
        <v>251021524.15000001</v>
      </c>
      <c r="L390" s="179">
        <v>122167139.12</v>
      </c>
      <c r="M390" s="179">
        <v>1733008654.49</v>
      </c>
      <c r="N390" s="179">
        <v>1530426089.24</v>
      </c>
    </row>
    <row r="391" spans="1:14" s="156" customFormat="1" x14ac:dyDescent="0.25">
      <c r="A391" s="156" t="s">
        <v>546</v>
      </c>
      <c r="B391" s="156" t="s">
        <v>281</v>
      </c>
      <c r="C391" s="156" t="s">
        <v>282</v>
      </c>
      <c r="D391" s="156" t="s">
        <v>541</v>
      </c>
      <c r="E391" s="179">
        <v>667187579</v>
      </c>
      <c r="F391" s="179">
        <v>667187579</v>
      </c>
      <c r="G391" s="179">
        <v>661462578.75</v>
      </c>
      <c r="H391" s="179">
        <v>124031888</v>
      </c>
      <c r="I391" s="179">
        <v>22987704.280000001</v>
      </c>
      <c r="J391" s="179">
        <v>3981450</v>
      </c>
      <c r="K391" s="179">
        <v>105090531.86</v>
      </c>
      <c r="L391" s="179">
        <v>85776446.459999993</v>
      </c>
      <c r="M391" s="179">
        <v>411096004.86000001</v>
      </c>
      <c r="N391" s="179">
        <v>405371004.61000001</v>
      </c>
    </row>
    <row r="392" spans="1:14" s="156" customFormat="1" x14ac:dyDescent="0.25">
      <c r="A392" s="156" t="s">
        <v>546</v>
      </c>
      <c r="B392" s="156" t="s">
        <v>285</v>
      </c>
      <c r="C392" s="156" t="s">
        <v>286</v>
      </c>
      <c r="D392" s="156" t="s">
        <v>541</v>
      </c>
      <c r="E392" s="179">
        <v>0</v>
      </c>
      <c r="F392" s="179">
        <v>0</v>
      </c>
      <c r="G392" s="179">
        <v>0</v>
      </c>
      <c r="H392" s="179">
        <v>0</v>
      </c>
      <c r="I392" s="179">
        <v>0</v>
      </c>
      <c r="J392" s="179">
        <v>0</v>
      </c>
      <c r="K392" s="179">
        <v>0</v>
      </c>
      <c r="L392" s="179">
        <v>0</v>
      </c>
      <c r="M392" s="179">
        <v>0</v>
      </c>
      <c r="N392" s="179">
        <v>0</v>
      </c>
    </row>
    <row r="393" spans="1:14" s="156" customFormat="1" x14ac:dyDescent="0.25">
      <c r="A393" s="156" t="s">
        <v>546</v>
      </c>
      <c r="B393" s="156" t="s">
        <v>287</v>
      </c>
      <c r="C393" s="156" t="s">
        <v>288</v>
      </c>
      <c r="D393" s="156" t="s">
        <v>541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9">
        <v>0</v>
      </c>
      <c r="K393" s="179">
        <v>0</v>
      </c>
      <c r="L393" s="179">
        <v>0</v>
      </c>
      <c r="M393" s="179">
        <v>0</v>
      </c>
      <c r="N393" s="179">
        <v>0</v>
      </c>
    </row>
    <row r="394" spans="1:14" s="156" customFormat="1" x14ac:dyDescent="0.25">
      <c r="A394" s="156" t="s">
        <v>546</v>
      </c>
      <c r="B394" s="156" t="s">
        <v>283</v>
      </c>
      <c r="C394" s="156" t="s">
        <v>284</v>
      </c>
      <c r="D394" s="156" t="s">
        <v>543</v>
      </c>
      <c r="E394" s="179">
        <v>33062000</v>
      </c>
      <c r="F394" s="179">
        <v>19951724</v>
      </c>
      <c r="G394" s="179">
        <v>19951724</v>
      </c>
      <c r="H394" s="179">
        <v>0</v>
      </c>
      <c r="I394" s="179">
        <v>0</v>
      </c>
      <c r="J394" s="179">
        <v>0</v>
      </c>
      <c r="K394" s="179">
        <v>0</v>
      </c>
      <c r="L394" s="179">
        <v>0</v>
      </c>
      <c r="M394" s="179">
        <v>19951724</v>
      </c>
      <c r="N394" s="179">
        <v>19951724</v>
      </c>
    </row>
    <row r="395" spans="1:14" s="156" customFormat="1" x14ac:dyDescent="0.25">
      <c r="A395" s="156" t="s">
        <v>546</v>
      </c>
      <c r="B395" s="156" t="s">
        <v>398</v>
      </c>
      <c r="C395" s="156" t="s">
        <v>501</v>
      </c>
      <c r="D395" s="156" t="s">
        <v>543</v>
      </c>
      <c r="E395" s="179">
        <v>72100000</v>
      </c>
      <c r="F395" s="179">
        <v>72100000</v>
      </c>
      <c r="G395" s="179">
        <v>72100000</v>
      </c>
      <c r="H395" s="179">
        <v>0</v>
      </c>
      <c r="I395" s="179">
        <v>0</v>
      </c>
      <c r="J395" s="179">
        <v>0</v>
      </c>
      <c r="K395" s="179">
        <v>16883370</v>
      </c>
      <c r="L395" s="179">
        <v>16883370</v>
      </c>
      <c r="M395" s="179">
        <v>55216630</v>
      </c>
      <c r="N395" s="179">
        <v>55216630</v>
      </c>
    </row>
    <row r="396" spans="1:14" s="156" customFormat="1" x14ac:dyDescent="0.25">
      <c r="A396" s="156" t="s">
        <v>546</v>
      </c>
      <c r="B396" s="156" t="s">
        <v>285</v>
      </c>
      <c r="C396" s="156" t="s">
        <v>286</v>
      </c>
      <c r="D396" s="156" t="s">
        <v>543</v>
      </c>
      <c r="E396" s="179">
        <v>147248000</v>
      </c>
      <c r="F396" s="179">
        <v>147248000</v>
      </c>
      <c r="G396" s="179">
        <v>141523000</v>
      </c>
      <c r="H396" s="179">
        <v>0</v>
      </c>
      <c r="I396" s="179">
        <v>7661297.3300000001</v>
      </c>
      <c r="J396" s="179">
        <v>0</v>
      </c>
      <c r="K396" s="179">
        <v>0</v>
      </c>
      <c r="L396" s="179">
        <v>0</v>
      </c>
      <c r="M396" s="179">
        <v>139586702.66999999</v>
      </c>
      <c r="N396" s="179">
        <v>133861702.67</v>
      </c>
    </row>
    <row r="397" spans="1:14" s="156" customFormat="1" x14ac:dyDescent="0.25">
      <c r="A397" s="156" t="s">
        <v>546</v>
      </c>
      <c r="B397" s="156" t="s">
        <v>287</v>
      </c>
      <c r="C397" s="156" t="s">
        <v>288</v>
      </c>
      <c r="D397" s="156" t="s">
        <v>543</v>
      </c>
      <c r="E397" s="179">
        <v>69415579</v>
      </c>
      <c r="F397" s="179">
        <v>82525855</v>
      </c>
      <c r="G397" s="179">
        <v>82525854.75</v>
      </c>
      <c r="H397" s="179">
        <v>0</v>
      </c>
      <c r="I397" s="179">
        <v>12989650</v>
      </c>
      <c r="J397" s="179">
        <v>0</v>
      </c>
      <c r="K397" s="179">
        <v>2306404</v>
      </c>
      <c r="L397" s="179">
        <v>2306404</v>
      </c>
      <c r="M397" s="179">
        <v>67229801</v>
      </c>
      <c r="N397" s="179">
        <v>67229800.75</v>
      </c>
    </row>
    <row r="398" spans="1:14" s="156" customFormat="1" x14ac:dyDescent="0.25">
      <c r="A398" s="156" t="s">
        <v>546</v>
      </c>
      <c r="B398" s="156" t="s">
        <v>289</v>
      </c>
      <c r="C398" s="156" t="s">
        <v>290</v>
      </c>
      <c r="D398" s="156" t="s">
        <v>543</v>
      </c>
      <c r="E398" s="179">
        <v>21137000</v>
      </c>
      <c r="F398" s="179">
        <v>21137000</v>
      </c>
      <c r="G398" s="179">
        <v>21137000</v>
      </c>
      <c r="H398" s="179">
        <v>0</v>
      </c>
      <c r="I398" s="179">
        <v>0</v>
      </c>
      <c r="J398" s="179">
        <v>0</v>
      </c>
      <c r="K398" s="179">
        <v>13982594.789999999</v>
      </c>
      <c r="L398" s="179">
        <v>13982594.789999999</v>
      </c>
      <c r="M398" s="179">
        <v>7154405.21</v>
      </c>
      <c r="N398" s="179">
        <v>7154405.21</v>
      </c>
    </row>
    <row r="399" spans="1:14" s="156" customFormat="1" x14ac:dyDescent="0.25">
      <c r="A399" s="156" t="s">
        <v>546</v>
      </c>
      <c r="B399" s="156" t="s">
        <v>291</v>
      </c>
      <c r="C399" s="156" t="s">
        <v>292</v>
      </c>
      <c r="D399" s="156" t="s">
        <v>543</v>
      </c>
      <c r="E399" s="179">
        <v>29458000</v>
      </c>
      <c r="F399" s="179">
        <v>29458000</v>
      </c>
      <c r="G399" s="179">
        <v>29458000</v>
      </c>
      <c r="H399" s="179">
        <v>0</v>
      </c>
      <c r="I399" s="179">
        <v>0</v>
      </c>
      <c r="J399" s="179">
        <v>0</v>
      </c>
      <c r="K399" s="179">
        <v>16265225.01</v>
      </c>
      <c r="L399" s="179">
        <v>7117265.5599999996</v>
      </c>
      <c r="M399" s="179">
        <v>13192774.99</v>
      </c>
      <c r="N399" s="179">
        <v>13192774.99</v>
      </c>
    </row>
    <row r="400" spans="1:14" s="156" customFormat="1" x14ac:dyDescent="0.25">
      <c r="A400" s="156" t="s">
        <v>546</v>
      </c>
      <c r="B400" s="156" t="s">
        <v>293</v>
      </c>
      <c r="C400" s="156" t="s">
        <v>294</v>
      </c>
      <c r="D400" s="156" t="s">
        <v>543</v>
      </c>
      <c r="E400" s="179">
        <v>5405000</v>
      </c>
      <c r="F400" s="179">
        <v>5405000</v>
      </c>
      <c r="G400" s="179">
        <v>5405000</v>
      </c>
      <c r="H400" s="179">
        <v>0</v>
      </c>
      <c r="I400" s="179">
        <v>0</v>
      </c>
      <c r="J400" s="179">
        <v>3981450</v>
      </c>
      <c r="K400" s="179">
        <v>0</v>
      </c>
      <c r="L400" s="179">
        <v>0</v>
      </c>
      <c r="M400" s="179">
        <v>1423550</v>
      </c>
      <c r="N400" s="179">
        <v>1423550</v>
      </c>
    </row>
    <row r="401" spans="1:14" s="156" customFormat="1" x14ac:dyDescent="0.25">
      <c r="A401" s="156" t="s">
        <v>546</v>
      </c>
      <c r="B401" s="156" t="s">
        <v>295</v>
      </c>
      <c r="C401" s="156" t="s">
        <v>296</v>
      </c>
      <c r="D401" s="156" t="s">
        <v>543</v>
      </c>
      <c r="E401" s="179">
        <v>289362000</v>
      </c>
      <c r="F401" s="179">
        <v>289362000</v>
      </c>
      <c r="G401" s="179">
        <v>289362000</v>
      </c>
      <c r="H401" s="179">
        <v>124031888</v>
      </c>
      <c r="I401" s="179">
        <v>2336756.9500000002</v>
      </c>
      <c r="J401" s="179">
        <v>0</v>
      </c>
      <c r="K401" s="179">
        <v>55652938.060000002</v>
      </c>
      <c r="L401" s="179">
        <v>45486812.109999999</v>
      </c>
      <c r="M401" s="179">
        <v>107340416.98999999</v>
      </c>
      <c r="N401" s="179">
        <v>107340416.98999999</v>
      </c>
    </row>
    <row r="402" spans="1:14" s="156" customFormat="1" x14ac:dyDescent="0.25">
      <c r="A402" s="156" t="s">
        <v>546</v>
      </c>
      <c r="B402" s="156" t="s">
        <v>297</v>
      </c>
      <c r="C402" s="156" t="s">
        <v>298</v>
      </c>
      <c r="D402" s="156" t="s">
        <v>543</v>
      </c>
      <c r="E402" s="179">
        <v>8088000</v>
      </c>
      <c r="F402" s="179">
        <v>1754053148</v>
      </c>
      <c r="G402" s="179">
        <v>1661442583</v>
      </c>
      <c r="H402" s="179">
        <v>0</v>
      </c>
      <c r="I402" s="179">
        <v>333112981.5</v>
      </c>
      <c r="J402" s="179">
        <v>160590524.58000001</v>
      </c>
      <c r="K402" s="179">
        <v>143458853.09</v>
      </c>
      <c r="L402" s="179">
        <v>33918553.460000001</v>
      </c>
      <c r="M402" s="179">
        <v>1116890788.8299999</v>
      </c>
      <c r="N402" s="179">
        <v>1024280223.83</v>
      </c>
    </row>
    <row r="403" spans="1:14" s="156" customFormat="1" x14ac:dyDescent="0.25">
      <c r="A403" s="156" t="s">
        <v>546</v>
      </c>
      <c r="B403" s="156" t="s">
        <v>299</v>
      </c>
      <c r="C403" s="156" t="s">
        <v>300</v>
      </c>
      <c r="D403" s="156" t="s">
        <v>543</v>
      </c>
      <c r="E403" s="179">
        <v>0</v>
      </c>
      <c r="F403" s="179">
        <v>1745965148</v>
      </c>
      <c r="G403" s="179">
        <v>1653354583</v>
      </c>
      <c r="H403" s="179">
        <v>0</v>
      </c>
      <c r="I403" s="179">
        <v>333112981.5</v>
      </c>
      <c r="J403" s="179">
        <v>160590524.58000001</v>
      </c>
      <c r="K403" s="179">
        <v>141436854.09</v>
      </c>
      <c r="L403" s="179">
        <v>31896554.460000001</v>
      </c>
      <c r="M403" s="179">
        <v>1110824787.8299999</v>
      </c>
      <c r="N403" s="179">
        <v>1018214222.83</v>
      </c>
    </row>
    <row r="404" spans="1:14" s="156" customFormat="1" x14ac:dyDescent="0.25">
      <c r="A404" s="156" t="s">
        <v>546</v>
      </c>
      <c r="B404" s="156" t="s">
        <v>366</v>
      </c>
      <c r="C404" s="156" t="s">
        <v>367</v>
      </c>
      <c r="D404" s="156" t="s">
        <v>543</v>
      </c>
      <c r="E404" s="179">
        <v>8088000</v>
      </c>
      <c r="F404" s="179">
        <v>8088000</v>
      </c>
      <c r="G404" s="179">
        <v>8088000</v>
      </c>
      <c r="H404" s="179">
        <v>0</v>
      </c>
      <c r="I404" s="179">
        <v>0</v>
      </c>
      <c r="J404" s="179">
        <v>0</v>
      </c>
      <c r="K404" s="179">
        <v>2021999</v>
      </c>
      <c r="L404" s="179">
        <v>2021999</v>
      </c>
      <c r="M404" s="179">
        <v>6066001</v>
      </c>
      <c r="N404" s="179">
        <v>6066001</v>
      </c>
    </row>
    <row r="405" spans="1:14" s="156" customFormat="1" x14ac:dyDescent="0.25">
      <c r="A405" s="156" t="s">
        <v>546</v>
      </c>
      <c r="B405" s="156" t="s">
        <v>340</v>
      </c>
      <c r="C405" s="156" t="s">
        <v>341</v>
      </c>
      <c r="D405" s="156" t="s">
        <v>543</v>
      </c>
      <c r="E405" s="179">
        <v>208494000</v>
      </c>
      <c r="F405" s="179">
        <v>208494000</v>
      </c>
      <c r="G405" s="179">
        <v>104247000</v>
      </c>
      <c r="H405" s="179">
        <v>0</v>
      </c>
      <c r="I405" s="179">
        <v>1000000</v>
      </c>
      <c r="J405" s="179">
        <v>0</v>
      </c>
      <c r="K405" s="179">
        <v>2472139.2000000002</v>
      </c>
      <c r="L405" s="179">
        <v>2472139.2000000002</v>
      </c>
      <c r="M405" s="179">
        <v>205021860.80000001</v>
      </c>
      <c r="N405" s="179">
        <v>100774860.8</v>
      </c>
    </row>
    <row r="406" spans="1:14" s="156" customFormat="1" x14ac:dyDescent="0.25">
      <c r="A406" s="156" t="s">
        <v>546</v>
      </c>
      <c r="B406" s="156" t="s">
        <v>342</v>
      </c>
      <c r="C406" s="156" t="s">
        <v>343</v>
      </c>
      <c r="D406" s="156" t="s">
        <v>543</v>
      </c>
      <c r="E406" s="179">
        <v>208494000</v>
      </c>
      <c r="F406" s="179">
        <v>208494000</v>
      </c>
      <c r="G406" s="179">
        <v>104247000</v>
      </c>
      <c r="H406" s="179">
        <v>0</v>
      </c>
      <c r="I406" s="179">
        <v>1000000</v>
      </c>
      <c r="J406" s="179">
        <v>0</v>
      </c>
      <c r="K406" s="179">
        <v>2472139.2000000002</v>
      </c>
      <c r="L406" s="179">
        <v>2472139.2000000002</v>
      </c>
      <c r="M406" s="179">
        <v>205021860.80000001</v>
      </c>
      <c r="N406" s="179">
        <v>100774860.8</v>
      </c>
    </row>
    <row r="407" spans="1:14" s="156" customFormat="1" x14ac:dyDescent="0.25">
      <c r="A407" s="156" t="s">
        <v>546</v>
      </c>
      <c r="B407" s="156" t="s">
        <v>251</v>
      </c>
      <c r="C407" s="156" t="s">
        <v>252</v>
      </c>
      <c r="D407" s="156" t="s">
        <v>541</v>
      </c>
      <c r="E407" s="179">
        <v>11597046000</v>
      </c>
      <c r="F407" s="179">
        <v>11597046000</v>
      </c>
      <c r="G407" s="179">
        <v>4725509206.25</v>
      </c>
      <c r="H407" s="179">
        <v>0</v>
      </c>
      <c r="I407" s="179">
        <v>3770805557.6599998</v>
      </c>
      <c r="J407" s="179">
        <v>0</v>
      </c>
      <c r="K407" s="179">
        <v>822016418.03999996</v>
      </c>
      <c r="L407" s="179">
        <v>821878748.75999999</v>
      </c>
      <c r="M407" s="179">
        <v>7004224024.3000002</v>
      </c>
      <c r="N407" s="179">
        <v>132687230.55</v>
      </c>
    </row>
    <row r="408" spans="1:14" s="156" customFormat="1" x14ac:dyDescent="0.25">
      <c r="A408" s="156" t="s">
        <v>546</v>
      </c>
      <c r="B408" s="156" t="s">
        <v>253</v>
      </c>
      <c r="C408" s="156" t="s">
        <v>254</v>
      </c>
      <c r="D408" s="156" t="s">
        <v>541</v>
      </c>
      <c r="E408" s="179">
        <v>9955805000</v>
      </c>
      <c r="F408" s="179">
        <v>9935805000</v>
      </c>
      <c r="G408" s="179">
        <v>3875805000</v>
      </c>
      <c r="H408" s="179">
        <v>0</v>
      </c>
      <c r="I408" s="179">
        <v>3584765764</v>
      </c>
      <c r="J408" s="179">
        <v>0</v>
      </c>
      <c r="K408" s="179">
        <v>291039236</v>
      </c>
      <c r="L408" s="179">
        <v>291039236</v>
      </c>
      <c r="M408" s="179">
        <v>6060000000</v>
      </c>
      <c r="N408" s="179">
        <v>0</v>
      </c>
    </row>
    <row r="409" spans="1:14" s="156" customFormat="1" x14ac:dyDescent="0.25">
      <c r="A409" s="156" t="s">
        <v>546</v>
      </c>
      <c r="B409" s="156" t="s">
        <v>368</v>
      </c>
      <c r="C409" s="156" t="s">
        <v>369</v>
      </c>
      <c r="D409" s="156" t="s">
        <v>541</v>
      </c>
      <c r="E409" s="179">
        <v>80000000</v>
      </c>
      <c r="F409" s="179">
        <v>60000000</v>
      </c>
      <c r="G409" s="179">
        <v>0</v>
      </c>
      <c r="H409" s="179">
        <v>0</v>
      </c>
      <c r="I409" s="179">
        <v>0</v>
      </c>
      <c r="J409" s="179">
        <v>0</v>
      </c>
      <c r="K409" s="179">
        <v>0</v>
      </c>
      <c r="L409" s="179">
        <v>0</v>
      </c>
      <c r="M409" s="179">
        <v>60000000</v>
      </c>
      <c r="N409" s="179">
        <v>0</v>
      </c>
    </row>
    <row r="410" spans="1:14" s="156" customFormat="1" x14ac:dyDescent="0.25">
      <c r="A410" s="156" t="s">
        <v>546</v>
      </c>
      <c r="B410" s="156" t="s">
        <v>370</v>
      </c>
      <c r="C410" s="156" t="s">
        <v>602</v>
      </c>
      <c r="D410" s="156" t="s">
        <v>541</v>
      </c>
      <c r="E410" s="179">
        <v>673849000</v>
      </c>
      <c r="F410" s="179">
        <v>673849000</v>
      </c>
      <c r="G410" s="179">
        <v>673849000</v>
      </c>
      <c r="H410" s="179">
        <v>0</v>
      </c>
      <c r="I410" s="179">
        <v>431641850</v>
      </c>
      <c r="J410" s="179">
        <v>0</v>
      </c>
      <c r="K410" s="179">
        <v>242207150</v>
      </c>
      <c r="L410" s="179">
        <v>242207150</v>
      </c>
      <c r="M410" s="179">
        <v>0</v>
      </c>
      <c r="N410" s="179">
        <v>0</v>
      </c>
    </row>
    <row r="411" spans="1:14" s="156" customFormat="1" x14ac:dyDescent="0.25">
      <c r="A411" s="156" t="s">
        <v>546</v>
      </c>
      <c r="B411" s="156" t="s">
        <v>371</v>
      </c>
      <c r="C411" s="156" t="s">
        <v>603</v>
      </c>
      <c r="D411" s="156" t="s">
        <v>541</v>
      </c>
      <c r="E411" s="179">
        <v>135856000</v>
      </c>
      <c r="F411" s="179">
        <v>135856000</v>
      </c>
      <c r="G411" s="179">
        <v>135856000</v>
      </c>
      <c r="H411" s="179">
        <v>0</v>
      </c>
      <c r="I411" s="179">
        <v>87023914</v>
      </c>
      <c r="J411" s="179">
        <v>0</v>
      </c>
      <c r="K411" s="179">
        <v>48832086</v>
      </c>
      <c r="L411" s="179">
        <v>48832086</v>
      </c>
      <c r="M411" s="179">
        <v>0</v>
      </c>
      <c r="N411" s="179">
        <v>0</v>
      </c>
    </row>
    <row r="412" spans="1:14" s="156" customFormat="1" x14ac:dyDescent="0.25">
      <c r="A412" s="156" t="s">
        <v>546</v>
      </c>
      <c r="B412" s="156" t="s">
        <v>606</v>
      </c>
      <c r="C412" s="156" t="s">
        <v>608</v>
      </c>
      <c r="D412" s="156" t="s">
        <v>543</v>
      </c>
      <c r="E412" s="179">
        <v>9066100000</v>
      </c>
      <c r="F412" s="179">
        <v>9066100000</v>
      </c>
      <c r="G412" s="179">
        <v>3066100000</v>
      </c>
      <c r="H412" s="179">
        <v>0</v>
      </c>
      <c r="I412" s="179">
        <v>3066100000</v>
      </c>
      <c r="J412" s="179">
        <v>0</v>
      </c>
      <c r="K412" s="179">
        <v>0</v>
      </c>
      <c r="L412" s="179">
        <v>0</v>
      </c>
      <c r="M412" s="179">
        <v>6000000000</v>
      </c>
      <c r="N412" s="179">
        <v>0</v>
      </c>
    </row>
    <row r="413" spans="1:14" s="156" customFormat="1" x14ac:dyDescent="0.25">
      <c r="A413" s="156" t="s">
        <v>546</v>
      </c>
      <c r="B413" s="156" t="s">
        <v>372</v>
      </c>
      <c r="C413" s="156" t="s">
        <v>373</v>
      </c>
      <c r="D413" s="156" t="s">
        <v>541</v>
      </c>
      <c r="E413" s="179">
        <v>550000000</v>
      </c>
      <c r="F413" s="179">
        <v>550000000</v>
      </c>
      <c r="G413" s="179">
        <v>275000000</v>
      </c>
      <c r="H413" s="179">
        <v>0</v>
      </c>
      <c r="I413" s="179">
        <v>140000000</v>
      </c>
      <c r="J413" s="179">
        <v>0</v>
      </c>
      <c r="K413" s="179">
        <v>135000000</v>
      </c>
      <c r="L413" s="179">
        <v>135000000</v>
      </c>
      <c r="M413" s="179">
        <v>275000000</v>
      </c>
      <c r="N413" s="179">
        <v>0</v>
      </c>
    </row>
    <row r="414" spans="1:14" s="156" customFormat="1" x14ac:dyDescent="0.25">
      <c r="A414" s="156" t="s">
        <v>546</v>
      </c>
      <c r="B414" s="156" t="s">
        <v>374</v>
      </c>
      <c r="C414" s="156" t="s">
        <v>375</v>
      </c>
      <c r="D414" s="156" t="s">
        <v>541</v>
      </c>
      <c r="E414" s="179">
        <v>550000000</v>
      </c>
      <c r="F414" s="179">
        <v>550000000</v>
      </c>
      <c r="G414" s="179">
        <v>275000000</v>
      </c>
      <c r="H414" s="179">
        <v>0</v>
      </c>
      <c r="I414" s="179">
        <v>140000000</v>
      </c>
      <c r="J414" s="179">
        <v>0</v>
      </c>
      <c r="K414" s="179">
        <v>135000000</v>
      </c>
      <c r="L414" s="179">
        <v>135000000</v>
      </c>
      <c r="M414" s="179">
        <v>275000000</v>
      </c>
      <c r="N414" s="179">
        <v>0</v>
      </c>
    </row>
    <row r="415" spans="1:14" s="156" customFormat="1" x14ac:dyDescent="0.25">
      <c r="A415" s="156" t="s">
        <v>546</v>
      </c>
      <c r="B415" s="156" t="s">
        <v>261</v>
      </c>
      <c r="C415" s="156" t="s">
        <v>262</v>
      </c>
      <c r="D415" s="156" t="s">
        <v>541</v>
      </c>
      <c r="E415" s="179">
        <v>1002889000</v>
      </c>
      <c r="F415" s="179">
        <v>1002889000</v>
      </c>
      <c r="G415" s="179">
        <v>478028206.25</v>
      </c>
      <c r="H415" s="179">
        <v>0</v>
      </c>
      <c r="I415" s="179">
        <v>42883473.439999998</v>
      </c>
      <c r="J415" s="179">
        <v>0</v>
      </c>
      <c r="K415" s="179">
        <v>334133502.25999999</v>
      </c>
      <c r="L415" s="179">
        <v>333995832.98000002</v>
      </c>
      <c r="M415" s="179">
        <v>625872024.29999995</v>
      </c>
      <c r="N415" s="179">
        <v>101011230.55</v>
      </c>
    </row>
    <row r="416" spans="1:14" s="156" customFormat="1" x14ac:dyDescent="0.25">
      <c r="A416" s="156" t="s">
        <v>546</v>
      </c>
      <c r="B416" s="156" t="s">
        <v>263</v>
      </c>
      <c r="C416" s="156" t="s">
        <v>264</v>
      </c>
      <c r="D416" s="156" t="s">
        <v>541</v>
      </c>
      <c r="E416" s="179">
        <v>657462000</v>
      </c>
      <c r="F416" s="179">
        <v>657462000</v>
      </c>
      <c r="G416" s="179">
        <v>259216115</v>
      </c>
      <c r="H416" s="179">
        <v>0</v>
      </c>
      <c r="I416" s="179">
        <v>42883473.439999998</v>
      </c>
      <c r="J416" s="179">
        <v>0</v>
      </c>
      <c r="K416" s="179">
        <v>216332641.56</v>
      </c>
      <c r="L416" s="179">
        <v>216194972.28</v>
      </c>
      <c r="M416" s="179">
        <v>398245885</v>
      </c>
      <c r="N416" s="179">
        <v>0</v>
      </c>
    </row>
    <row r="417" spans="1:14" s="156" customFormat="1" x14ac:dyDescent="0.25">
      <c r="A417" s="156" t="s">
        <v>546</v>
      </c>
      <c r="B417" s="156" t="s">
        <v>265</v>
      </c>
      <c r="C417" s="156" t="s">
        <v>266</v>
      </c>
      <c r="D417" s="156" t="s">
        <v>541</v>
      </c>
      <c r="E417" s="179">
        <v>345427000</v>
      </c>
      <c r="F417" s="179">
        <v>345427000</v>
      </c>
      <c r="G417" s="179">
        <v>218812091.25</v>
      </c>
      <c r="H417" s="179">
        <v>0</v>
      </c>
      <c r="I417" s="179">
        <v>0</v>
      </c>
      <c r="J417" s="179">
        <v>0</v>
      </c>
      <c r="K417" s="179">
        <v>117800860.7</v>
      </c>
      <c r="L417" s="179">
        <v>117800860.7</v>
      </c>
      <c r="M417" s="179">
        <v>227626139.30000001</v>
      </c>
      <c r="N417" s="179">
        <v>101011230.55</v>
      </c>
    </row>
    <row r="418" spans="1:14" s="156" customFormat="1" x14ac:dyDescent="0.25">
      <c r="A418" s="156" t="s">
        <v>546</v>
      </c>
      <c r="B418" s="156" t="s">
        <v>267</v>
      </c>
      <c r="C418" s="156" t="s">
        <v>268</v>
      </c>
      <c r="D418" s="156" t="s">
        <v>541</v>
      </c>
      <c r="E418" s="179">
        <v>88352000</v>
      </c>
      <c r="F418" s="179">
        <v>108352000</v>
      </c>
      <c r="G418" s="179">
        <v>96676000</v>
      </c>
      <c r="H418" s="179">
        <v>0</v>
      </c>
      <c r="I418" s="179">
        <v>3156320.22</v>
      </c>
      <c r="J418" s="179">
        <v>0</v>
      </c>
      <c r="K418" s="179">
        <v>61843679.780000001</v>
      </c>
      <c r="L418" s="179">
        <v>61843679.780000001</v>
      </c>
      <c r="M418" s="179">
        <v>43352000</v>
      </c>
      <c r="N418" s="179">
        <v>31676000</v>
      </c>
    </row>
    <row r="419" spans="1:14" s="156" customFormat="1" x14ac:dyDescent="0.25">
      <c r="A419" s="156" t="s">
        <v>546</v>
      </c>
      <c r="B419" s="156" t="s">
        <v>269</v>
      </c>
      <c r="C419" s="156" t="s">
        <v>270</v>
      </c>
      <c r="D419" s="156" t="s">
        <v>541</v>
      </c>
      <c r="E419" s="179">
        <v>65000000</v>
      </c>
      <c r="F419" s="179">
        <v>85000000</v>
      </c>
      <c r="G419" s="179">
        <v>85000000</v>
      </c>
      <c r="H419" s="179">
        <v>0</v>
      </c>
      <c r="I419" s="179">
        <v>3156320.22</v>
      </c>
      <c r="J419" s="179">
        <v>0</v>
      </c>
      <c r="K419" s="179">
        <v>61843679.780000001</v>
      </c>
      <c r="L419" s="179">
        <v>61843679.780000001</v>
      </c>
      <c r="M419" s="179">
        <v>20000000</v>
      </c>
      <c r="N419" s="179">
        <v>20000000</v>
      </c>
    </row>
    <row r="420" spans="1:14" s="156" customFormat="1" x14ac:dyDescent="0.25">
      <c r="A420" s="156" t="s">
        <v>546</v>
      </c>
      <c r="B420" s="156" t="s">
        <v>271</v>
      </c>
      <c r="C420" s="156" t="s">
        <v>272</v>
      </c>
      <c r="D420" s="156" t="s">
        <v>541</v>
      </c>
      <c r="E420" s="179">
        <v>23352000</v>
      </c>
      <c r="F420" s="179">
        <v>23352000</v>
      </c>
      <c r="G420" s="179">
        <v>11676000</v>
      </c>
      <c r="H420" s="179">
        <v>0</v>
      </c>
      <c r="I420" s="179">
        <v>0</v>
      </c>
      <c r="J420" s="179">
        <v>0</v>
      </c>
      <c r="K420" s="179">
        <v>0</v>
      </c>
      <c r="L420" s="179">
        <v>0</v>
      </c>
      <c r="M420" s="179">
        <v>23352000</v>
      </c>
      <c r="N420" s="179">
        <v>11676000</v>
      </c>
    </row>
    <row r="421" spans="1:14" s="156" customFormat="1" x14ac:dyDescent="0.25">
      <c r="A421" s="156" t="s">
        <v>546</v>
      </c>
      <c r="B421" s="156" t="s">
        <v>376</v>
      </c>
      <c r="C421" s="156" t="s">
        <v>377</v>
      </c>
      <c r="D421" s="156" t="s">
        <v>543</v>
      </c>
      <c r="E421" s="179">
        <v>573100000</v>
      </c>
      <c r="F421" s="179">
        <v>827134852</v>
      </c>
      <c r="G421" s="179">
        <v>258931852</v>
      </c>
      <c r="H421" s="179">
        <v>0</v>
      </c>
      <c r="I421" s="179">
        <v>0</v>
      </c>
      <c r="J421" s="179">
        <v>0</v>
      </c>
      <c r="K421" s="179">
        <v>0</v>
      </c>
      <c r="L421" s="179">
        <v>0</v>
      </c>
      <c r="M421" s="179">
        <v>827134852</v>
      </c>
      <c r="N421" s="179">
        <v>258931852</v>
      </c>
    </row>
    <row r="422" spans="1:14" s="156" customFormat="1" x14ac:dyDescent="0.25">
      <c r="A422" s="156" t="s">
        <v>546</v>
      </c>
      <c r="B422" s="156" t="s">
        <v>378</v>
      </c>
      <c r="C422" s="156" t="s">
        <v>379</v>
      </c>
      <c r="D422" s="156" t="s">
        <v>543</v>
      </c>
      <c r="E422" s="179">
        <v>573100000</v>
      </c>
      <c r="F422" s="179">
        <v>827134852</v>
      </c>
      <c r="G422" s="179">
        <v>258931852</v>
      </c>
      <c r="H422" s="179">
        <v>0</v>
      </c>
      <c r="I422" s="179">
        <v>0</v>
      </c>
      <c r="J422" s="179">
        <v>0</v>
      </c>
      <c r="K422" s="179">
        <v>0</v>
      </c>
      <c r="L422" s="179">
        <v>0</v>
      </c>
      <c r="M422" s="179">
        <v>827134852</v>
      </c>
      <c r="N422" s="179">
        <v>258931852</v>
      </c>
    </row>
    <row r="423" spans="1:14" s="156" customFormat="1" x14ac:dyDescent="0.25">
      <c r="A423" s="156" t="s">
        <v>546</v>
      </c>
      <c r="B423" s="156" t="s">
        <v>380</v>
      </c>
      <c r="C423" s="156" t="s">
        <v>381</v>
      </c>
      <c r="D423" s="156" t="s">
        <v>543</v>
      </c>
      <c r="E423" s="179">
        <v>573100000</v>
      </c>
      <c r="F423" s="179">
        <v>827134852</v>
      </c>
      <c r="G423" s="179">
        <v>258931852</v>
      </c>
      <c r="H423" s="179">
        <v>0</v>
      </c>
      <c r="I423" s="179">
        <v>0</v>
      </c>
      <c r="J423" s="179">
        <v>0</v>
      </c>
      <c r="K423" s="179">
        <v>0</v>
      </c>
      <c r="L423" s="179">
        <v>0</v>
      </c>
      <c r="M423" s="179">
        <v>827134852</v>
      </c>
      <c r="N423" s="179">
        <v>258931852</v>
      </c>
    </row>
    <row r="424" spans="1:14" s="156" customFormat="1" x14ac:dyDescent="0.25">
      <c r="A424" s="156">
        <v>214784</v>
      </c>
      <c r="B424" s="156" t="s">
        <v>587</v>
      </c>
      <c r="C424" s="156" t="s">
        <v>587</v>
      </c>
      <c r="D424" s="156" t="s">
        <v>541</v>
      </c>
      <c r="E424" s="179">
        <v>13837611334</v>
      </c>
      <c r="F424" s="179">
        <v>13837611334</v>
      </c>
      <c r="G424" s="179">
        <v>13677929203</v>
      </c>
      <c r="H424" s="179">
        <v>0</v>
      </c>
      <c r="I424" s="179">
        <v>1596930644.75</v>
      </c>
      <c r="J424" s="179">
        <v>0</v>
      </c>
      <c r="K424" s="179">
        <v>4477235505.5200005</v>
      </c>
      <c r="L424" s="179">
        <v>4477235505.5200005</v>
      </c>
      <c r="M424" s="179">
        <v>7763445183.7299995</v>
      </c>
      <c r="N424" s="179">
        <v>7603763052.7299995</v>
      </c>
    </row>
    <row r="425" spans="1:14" s="156" customFormat="1" x14ac:dyDescent="0.25">
      <c r="A425" s="156" t="s">
        <v>547</v>
      </c>
      <c r="B425" s="156" t="s">
        <v>92</v>
      </c>
      <c r="C425" s="156" t="s">
        <v>93</v>
      </c>
      <c r="D425" s="156" t="s">
        <v>541</v>
      </c>
      <c r="E425" s="179">
        <v>13313316000</v>
      </c>
      <c r="F425" s="179">
        <v>13313316000</v>
      </c>
      <c r="G425" s="179">
        <v>13313316000</v>
      </c>
      <c r="H425" s="179">
        <v>0</v>
      </c>
      <c r="I425" s="179">
        <v>1376722936.23</v>
      </c>
      <c r="J425" s="179">
        <v>0</v>
      </c>
      <c r="K425" s="179">
        <v>4385319385.6400003</v>
      </c>
      <c r="L425" s="179">
        <v>4385319385.6400003</v>
      </c>
      <c r="M425" s="179">
        <v>7551273678.1300001</v>
      </c>
      <c r="N425" s="179">
        <v>7551273678.1300001</v>
      </c>
    </row>
    <row r="426" spans="1:14" s="156" customFormat="1" x14ac:dyDescent="0.25">
      <c r="A426" s="156" t="s">
        <v>547</v>
      </c>
      <c r="B426" s="156" t="s">
        <v>94</v>
      </c>
      <c r="C426" s="156" t="s">
        <v>95</v>
      </c>
      <c r="D426" s="156" t="s">
        <v>541</v>
      </c>
      <c r="E426" s="179">
        <v>4473382000</v>
      </c>
      <c r="F426" s="179">
        <v>4473382000</v>
      </c>
      <c r="G426" s="179">
        <v>4473382000</v>
      </c>
      <c r="H426" s="179">
        <v>0</v>
      </c>
      <c r="I426" s="179">
        <v>180140</v>
      </c>
      <c r="J426" s="179">
        <v>0</v>
      </c>
      <c r="K426" s="179">
        <v>1336102166.1800001</v>
      </c>
      <c r="L426" s="179">
        <v>1336102166.1800001</v>
      </c>
      <c r="M426" s="179">
        <v>3137099693.8200002</v>
      </c>
      <c r="N426" s="179">
        <v>3137099693.8200002</v>
      </c>
    </row>
    <row r="427" spans="1:14" s="156" customFormat="1" x14ac:dyDescent="0.25">
      <c r="A427" s="156" t="s">
        <v>547</v>
      </c>
      <c r="B427" s="156" t="s">
        <v>96</v>
      </c>
      <c r="C427" s="156" t="s">
        <v>97</v>
      </c>
      <c r="D427" s="156" t="s">
        <v>541</v>
      </c>
      <c r="E427" s="179">
        <v>4473382000</v>
      </c>
      <c r="F427" s="179">
        <v>4473382000</v>
      </c>
      <c r="G427" s="179">
        <v>4473382000</v>
      </c>
      <c r="H427" s="179">
        <v>0</v>
      </c>
      <c r="I427" s="179">
        <v>180140</v>
      </c>
      <c r="J427" s="179">
        <v>0</v>
      </c>
      <c r="K427" s="179">
        <v>1336102166.1800001</v>
      </c>
      <c r="L427" s="179">
        <v>1336102166.1800001</v>
      </c>
      <c r="M427" s="179">
        <v>3137099693.8200002</v>
      </c>
      <c r="N427" s="179">
        <v>3137099693.8200002</v>
      </c>
    </row>
    <row r="428" spans="1:14" s="156" customFormat="1" x14ac:dyDescent="0.25">
      <c r="A428" s="156" t="s">
        <v>547</v>
      </c>
      <c r="B428" s="156" t="s">
        <v>102</v>
      </c>
      <c r="C428" s="156" t="s">
        <v>103</v>
      </c>
      <c r="D428" s="156" t="s">
        <v>541</v>
      </c>
      <c r="E428" s="179">
        <v>6745487000</v>
      </c>
      <c r="F428" s="179">
        <v>6745487000</v>
      </c>
      <c r="G428" s="179">
        <v>6745487000</v>
      </c>
      <c r="H428" s="179">
        <v>0</v>
      </c>
      <c r="I428" s="179">
        <v>220373</v>
      </c>
      <c r="J428" s="179">
        <v>0</v>
      </c>
      <c r="K428" s="179">
        <v>2331092642.6900001</v>
      </c>
      <c r="L428" s="179">
        <v>2331092642.6900001</v>
      </c>
      <c r="M428" s="179">
        <v>4414173984.3100004</v>
      </c>
      <c r="N428" s="179">
        <v>4414173984.3100004</v>
      </c>
    </row>
    <row r="429" spans="1:14" s="156" customFormat="1" x14ac:dyDescent="0.25">
      <c r="A429" s="156" t="s">
        <v>547</v>
      </c>
      <c r="B429" s="156" t="s">
        <v>104</v>
      </c>
      <c r="C429" s="156" t="s">
        <v>105</v>
      </c>
      <c r="D429" s="156" t="s">
        <v>541</v>
      </c>
      <c r="E429" s="179">
        <v>1460185000</v>
      </c>
      <c r="F429" s="179">
        <v>1460185000</v>
      </c>
      <c r="G429" s="179">
        <v>1460185000</v>
      </c>
      <c r="H429" s="179">
        <v>0</v>
      </c>
      <c r="I429" s="179">
        <v>121296</v>
      </c>
      <c r="J429" s="179">
        <v>0</v>
      </c>
      <c r="K429" s="179">
        <v>438563846.56</v>
      </c>
      <c r="L429" s="179">
        <v>438563846.56</v>
      </c>
      <c r="M429" s="179">
        <v>1021499857.4400001</v>
      </c>
      <c r="N429" s="179">
        <v>1021499857.4400001</v>
      </c>
    </row>
    <row r="430" spans="1:14" s="156" customFormat="1" x14ac:dyDescent="0.25">
      <c r="A430" s="156" t="s">
        <v>547</v>
      </c>
      <c r="B430" s="156" t="s">
        <v>106</v>
      </c>
      <c r="C430" s="156" t="s">
        <v>107</v>
      </c>
      <c r="D430" s="156" t="s">
        <v>541</v>
      </c>
      <c r="E430" s="179">
        <v>2519609000</v>
      </c>
      <c r="F430" s="179">
        <v>2519609000</v>
      </c>
      <c r="G430" s="179">
        <v>2519609000</v>
      </c>
      <c r="H430" s="179">
        <v>0</v>
      </c>
      <c r="I430" s="179">
        <v>54042</v>
      </c>
      <c r="J430" s="179">
        <v>0</v>
      </c>
      <c r="K430" s="179">
        <v>781400576.51999998</v>
      </c>
      <c r="L430" s="179">
        <v>781400576.51999998</v>
      </c>
      <c r="M430" s="179">
        <v>1738154381.48</v>
      </c>
      <c r="N430" s="179">
        <v>1738154381.48</v>
      </c>
    </row>
    <row r="431" spans="1:14" s="156" customFormat="1" x14ac:dyDescent="0.25">
      <c r="A431" s="156" t="s">
        <v>547</v>
      </c>
      <c r="B431" s="156" t="s">
        <v>108</v>
      </c>
      <c r="C431" s="156" t="s">
        <v>109</v>
      </c>
      <c r="D431" s="156" t="s">
        <v>541</v>
      </c>
      <c r="E431" s="179">
        <v>738904000</v>
      </c>
      <c r="F431" s="179">
        <v>738904000</v>
      </c>
      <c r="G431" s="179">
        <v>738904000</v>
      </c>
      <c r="H431" s="179">
        <v>0</v>
      </c>
      <c r="I431" s="179">
        <v>0</v>
      </c>
      <c r="J431" s="179">
        <v>0</v>
      </c>
      <c r="K431" s="179">
        <v>737016521.14999998</v>
      </c>
      <c r="L431" s="179">
        <v>737016521.14999998</v>
      </c>
      <c r="M431" s="179">
        <v>1887478.85</v>
      </c>
      <c r="N431" s="179">
        <v>1887478.85</v>
      </c>
    </row>
    <row r="432" spans="1:14" s="156" customFormat="1" x14ac:dyDescent="0.25">
      <c r="A432" s="156" t="s">
        <v>547</v>
      </c>
      <c r="B432" s="156" t="s">
        <v>110</v>
      </c>
      <c r="C432" s="156" t="s">
        <v>111</v>
      </c>
      <c r="D432" s="156" t="s">
        <v>541</v>
      </c>
      <c r="E432" s="179">
        <v>1196454000</v>
      </c>
      <c r="F432" s="179">
        <v>1196454000</v>
      </c>
      <c r="G432" s="179">
        <v>1196454000</v>
      </c>
      <c r="H432" s="179">
        <v>0</v>
      </c>
      <c r="I432" s="179">
        <v>45035</v>
      </c>
      <c r="J432" s="179">
        <v>0</v>
      </c>
      <c r="K432" s="179">
        <v>374111698.45999998</v>
      </c>
      <c r="L432" s="179">
        <v>374111698.45999998</v>
      </c>
      <c r="M432" s="179">
        <v>822297266.53999996</v>
      </c>
      <c r="N432" s="179">
        <v>822297266.53999996</v>
      </c>
    </row>
    <row r="433" spans="1:14" s="156" customFormat="1" x14ac:dyDescent="0.25">
      <c r="A433" s="156" t="s">
        <v>547</v>
      </c>
      <c r="B433" s="156" t="s">
        <v>112</v>
      </c>
      <c r="C433" s="156" t="s">
        <v>113</v>
      </c>
      <c r="D433" s="156" t="s">
        <v>543</v>
      </c>
      <c r="E433" s="179">
        <v>830335000</v>
      </c>
      <c r="F433" s="179">
        <v>830335000</v>
      </c>
      <c r="G433" s="179">
        <v>830335000</v>
      </c>
      <c r="H433" s="179">
        <v>0</v>
      </c>
      <c r="I433" s="179">
        <v>0</v>
      </c>
      <c r="J433" s="179">
        <v>0</v>
      </c>
      <c r="K433" s="179">
        <v>0</v>
      </c>
      <c r="L433" s="179">
        <v>0</v>
      </c>
      <c r="M433" s="179">
        <v>830335000</v>
      </c>
      <c r="N433" s="179">
        <v>830335000</v>
      </c>
    </row>
    <row r="434" spans="1:14" s="156" customFormat="1" x14ac:dyDescent="0.25">
      <c r="A434" s="156" t="s">
        <v>547</v>
      </c>
      <c r="B434" s="156" t="s">
        <v>114</v>
      </c>
      <c r="C434" s="156" t="s">
        <v>115</v>
      </c>
      <c r="D434" s="156" t="s">
        <v>541</v>
      </c>
      <c r="E434" s="179">
        <v>1012881000</v>
      </c>
      <c r="F434" s="179">
        <v>1012881000</v>
      </c>
      <c r="G434" s="179">
        <v>1012881000</v>
      </c>
      <c r="H434" s="179">
        <v>0</v>
      </c>
      <c r="I434" s="179">
        <v>653351846</v>
      </c>
      <c r="J434" s="179">
        <v>0</v>
      </c>
      <c r="K434" s="179">
        <v>359529154</v>
      </c>
      <c r="L434" s="179">
        <v>359529154</v>
      </c>
      <c r="M434" s="179">
        <v>0</v>
      </c>
      <c r="N434" s="179">
        <v>0</v>
      </c>
    </row>
    <row r="435" spans="1:14" s="156" customFormat="1" x14ac:dyDescent="0.25">
      <c r="A435" s="156" t="s">
        <v>547</v>
      </c>
      <c r="B435" s="156" t="s">
        <v>382</v>
      </c>
      <c r="C435" s="156" t="s">
        <v>597</v>
      </c>
      <c r="D435" s="156" t="s">
        <v>541</v>
      </c>
      <c r="E435" s="179">
        <v>960939000</v>
      </c>
      <c r="F435" s="179">
        <v>960939000</v>
      </c>
      <c r="G435" s="179">
        <v>960939000</v>
      </c>
      <c r="H435" s="179">
        <v>0</v>
      </c>
      <c r="I435" s="179">
        <v>619846389</v>
      </c>
      <c r="J435" s="179">
        <v>0</v>
      </c>
      <c r="K435" s="179">
        <v>341092611</v>
      </c>
      <c r="L435" s="179">
        <v>341092611</v>
      </c>
      <c r="M435" s="179">
        <v>0</v>
      </c>
      <c r="N435" s="179">
        <v>0</v>
      </c>
    </row>
    <row r="436" spans="1:14" s="156" customFormat="1" x14ac:dyDescent="0.25">
      <c r="A436" s="156" t="s">
        <v>547</v>
      </c>
      <c r="B436" s="156" t="s">
        <v>383</v>
      </c>
      <c r="C436" s="156" t="s">
        <v>583</v>
      </c>
      <c r="D436" s="156" t="s">
        <v>541</v>
      </c>
      <c r="E436" s="179">
        <v>51942000</v>
      </c>
      <c r="F436" s="179">
        <v>51942000</v>
      </c>
      <c r="G436" s="179">
        <v>51942000</v>
      </c>
      <c r="H436" s="179">
        <v>0</v>
      </c>
      <c r="I436" s="179">
        <v>33505457</v>
      </c>
      <c r="J436" s="179">
        <v>0</v>
      </c>
      <c r="K436" s="179">
        <v>18436543</v>
      </c>
      <c r="L436" s="179">
        <v>18436543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118</v>
      </c>
      <c r="C437" s="156" t="s">
        <v>119</v>
      </c>
      <c r="D437" s="156" t="s">
        <v>541</v>
      </c>
      <c r="E437" s="179">
        <v>1081566000</v>
      </c>
      <c r="F437" s="179">
        <v>1081566000</v>
      </c>
      <c r="G437" s="179">
        <v>1081566000</v>
      </c>
      <c r="H437" s="179">
        <v>0</v>
      </c>
      <c r="I437" s="179">
        <v>722970577.23000002</v>
      </c>
      <c r="J437" s="179">
        <v>0</v>
      </c>
      <c r="K437" s="179">
        <v>358595422.76999998</v>
      </c>
      <c r="L437" s="179">
        <v>358595422.76999998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384</v>
      </c>
      <c r="C438" s="156" t="s">
        <v>598</v>
      </c>
      <c r="D438" s="156" t="s">
        <v>541</v>
      </c>
      <c r="E438" s="179">
        <v>527737000</v>
      </c>
      <c r="F438" s="179">
        <v>527737000</v>
      </c>
      <c r="G438" s="179">
        <v>527737000</v>
      </c>
      <c r="H438" s="179">
        <v>0</v>
      </c>
      <c r="I438" s="179">
        <v>367749467</v>
      </c>
      <c r="J438" s="179">
        <v>0</v>
      </c>
      <c r="K438" s="179">
        <v>159987533</v>
      </c>
      <c r="L438" s="179">
        <v>159987533</v>
      </c>
      <c r="M438" s="179">
        <v>0</v>
      </c>
      <c r="N438" s="179">
        <v>0</v>
      </c>
    </row>
    <row r="439" spans="1:14" s="156" customFormat="1" x14ac:dyDescent="0.25">
      <c r="A439" s="156" t="s">
        <v>547</v>
      </c>
      <c r="B439" s="156" t="s">
        <v>385</v>
      </c>
      <c r="C439" s="156" t="s">
        <v>599</v>
      </c>
      <c r="D439" s="156" t="s">
        <v>541</v>
      </c>
      <c r="E439" s="179">
        <v>155828000</v>
      </c>
      <c r="F439" s="179">
        <v>155828000</v>
      </c>
      <c r="G439" s="179">
        <v>155828000</v>
      </c>
      <c r="H439" s="179">
        <v>0</v>
      </c>
      <c r="I439" s="179">
        <v>100518313</v>
      </c>
      <c r="J439" s="179">
        <v>0</v>
      </c>
      <c r="K439" s="179">
        <v>55309687</v>
      </c>
      <c r="L439" s="179">
        <v>55309687</v>
      </c>
      <c r="M439" s="179">
        <v>0</v>
      </c>
      <c r="N439" s="179">
        <v>0</v>
      </c>
    </row>
    <row r="440" spans="1:14" s="156" customFormat="1" x14ac:dyDescent="0.25">
      <c r="A440" s="156" t="s">
        <v>547</v>
      </c>
      <c r="B440" s="156" t="s">
        <v>386</v>
      </c>
      <c r="C440" s="156" t="s">
        <v>600</v>
      </c>
      <c r="D440" s="156" t="s">
        <v>541</v>
      </c>
      <c r="E440" s="179">
        <v>311656000</v>
      </c>
      <c r="F440" s="179">
        <v>311656000</v>
      </c>
      <c r="G440" s="179">
        <v>311656000</v>
      </c>
      <c r="H440" s="179">
        <v>0</v>
      </c>
      <c r="I440" s="179">
        <v>201036705</v>
      </c>
      <c r="J440" s="179">
        <v>0</v>
      </c>
      <c r="K440" s="179">
        <v>110619295</v>
      </c>
      <c r="L440" s="179">
        <v>110619295</v>
      </c>
      <c r="M440" s="179">
        <v>0</v>
      </c>
      <c r="N440" s="179">
        <v>0</v>
      </c>
    </row>
    <row r="441" spans="1:14" s="156" customFormat="1" x14ac:dyDescent="0.25">
      <c r="A441" s="156" t="s">
        <v>547</v>
      </c>
      <c r="B441" s="156" t="s">
        <v>387</v>
      </c>
      <c r="C441" s="156" t="s">
        <v>388</v>
      </c>
      <c r="D441" s="156" t="s">
        <v>541</v>
      </c>
      <c r="E441" s="179">
        <v>86345000</v>
      </c>
      <c r="F441" s="179">
        <v>86345000</v>
      </c>
      <c r="G441" s="179">
        <v>86345000</v>
      </c>
      <c r="H441" s="179">
        <v>0</v>
      </c>
      <c r="I441" s="179">
        <v>53666092.229999997</v>
      </c>
      <c r="J441" s="179">
        <v>0</v>
      </c>
      <c r="K441" s="179">
        <v>32678907.77</v>
      </c>
      <c r="L441" s="179">
        <v>32678907.77</v>
      </c>
      <c r="M441" s="179">
        <v>0</v>
      </c>
      <c r="N441" s="179">
        <v>0</v>
      </c>
    </row>
    <row r="442" spans="1:14" s="156" customFormat="1" x14ac:dyDescent="0.25">
      <c r="A442" s="156" t="s">
        <v>547</v>
      </c>
      <c r="B442" s="156" t="s">
        <v>123</v>
      </c>
      <c r="C442" s="156" t="s">
        <v>124</v>
      </c>
      <c r="D442" s="156" t="s">
        <v>541</v>
      </c>
      <c r="E442" s="179">
        <v>31730334</v>
      </c>
      <c r="F442" s="179">
        <v>31730334</v>
      </c>
      <c r="G442" s="179">
        <v>31730334</v>
      </c>
      <c r="H442" s="179">
        <v>0</v>
      </c>
      <c r="I442" s="179">
        <v>31730334</v>
      </c>
      <c r="J442" s="179">
        <v>0</v>
      </c>
      <c r="K442" s="179">
        <v>0</v>
      </c>
      <c r="L442" s="179">
        <v>0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168</v>
      </c>
      <c r="C443" s="156" t="s">
        <v>169</v>
      </c>
      <c r="D443" s="156" t="s">
        <v>541</v>
      </c>
      <c r="E443" s="179">
        <v>31730334</v>
      </c>
      <c r="F443" s="179">
        <v>31730334</v>
      </c>
      <c r="G443" s="179">
        <v>31730334</v>
      </c>
      <c r="H443" s="179">
        <v>0</v>
      </c>
      <c r="I443" s="179">
        <v>31730334</v>
      </c>
      <c r="J443" s="179">
        <v>0</v>
      </c>
      <c r="K443" s="179">
        <v>0</v>
      </c>
      <c r="L443" s="179">
        <v>0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170</v>
      </c>
      <c r="C444" s="156" t="s">
        <v>171</v>
      </c>
      <c r="D444" s="156" t="s">
        <v>541</v>
      </c>
      <c r="E444" s="179">
        <v>31730334</v>
      </c>
      <c r="F444" s="179">
        <v>31730334</v>
      </c>
      <c r="G444" s="179">
        <v>31730334</v>
      </c>
      <c r="H444" s="179">
        <v>0</v>
      </c>
      <c r="I444" s="179">
        <v>31730334</v>
      </c>
      <c r="J444" s="179">
        <v>0</v>
      </c>
      <c r="K444" s="179">
        <v>0</v>
      </c>
      <c r="L444" s="179">
        <v>0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251</v>
      </c>
      <c r="C445" s="156" t="s">
        <v>252</v>
      </c>
      <c r="D445" s="156" t="s">
        <v>541</v>
      </c>
      <c r="E445" s="179">
        <v>492565000</v>
      </c>
      <c r="F445" s="179">
        <v>492565000</v>
      </c>
      <c r="G445" s="179">
        <v>332882869</v>
      </c>
      <c r="H445" s="179">
        <v>0</v>
      </c>
      <c r="I445" s="179">
        <v>188477374.52000001</v>
      </c>
      <c r="J445" s="179">
        <v>0</v>
      </c>
      <c r="K445" s="179">
        <v>91916119.879999995</v>
      </c>
      <c r="L445" s="179">
        <v>91916119.879999995</v>
      </c>
      <c r="M445" s="179">
        <v>212171505.59999999</v>
      </c>
      <c r="N445" s="179">
        <v>52489374.600000001</v>
      </c>
    </row>
    <row r="446" spans="1:14" s="156" customFormat="1" x14ac:dyDescent="0.25">
      <c r="A446" s="156" t="s">
        <v>547</v>
      </c>
      <c r="B446" s="156" t="s">
        <v>253</v>
      </c>
      <c r="C446" s="156" t="s">
        <v>254</v>
      </c>
      <c r="D446" s="156" t="s">
        <v>541</v>
      </c>
      <c r="E446" s="179">
        <v>154788000</v>
      </c>
      <c r="F446" s="179">
        <v>154788000</v>
      </c>
      <c r="G446" s="179">
        <v>154788000</v>
      </c>
      <c r="H446" s="179">
        <v>0</v>
      </c>
      <c r="I446" s="179">
        <v>109639409.23</v>
      </c>
      <c r="J446" s="179">
        <v>0</v>
      </c>
      <c r="K446" s="179">
        <v>45148590.770000003</v>
      </c>
      <c r="L446" s="179">
        <v>45148590.770000003</v>
      </c>
      <c r="M446" s="179">
        <v>0</v>
      </c>
      <c r="N446" s="179">
        <v>0</v>
      </c>
    </row>
    <row r="447" spans="1:14" s="156" customFormat="1" x14ac:dyDescent="0.25">
      <c r="A447" s="156" t="s">
        <v>547</v>
      </c>
      <c r="B447" s="156" t="s">
        <v>389</v>
      </c>
      <c r="C447" s="156" t="s">
        <v>602</v>
      </c>
      <c r="D447" s="156" t="s">
        <v>541</v>
      </c>
      <c r="E447" s="179">
        <v>128817000</v>
      </c>
      <c r="F447" s="179">
        <v>128817000</v>
      </c>
      <c r="G447" s="179">
        <v>128817000</v>
      </c>
      <c r="H447" s="179">
        <v>0</v>
      </c>
      <c r="I447" s="179">
        <v>92886753.810000002</v>
      </c>
      <c r="J447" s="179">
        <v>0</v>
      </c>
      <c r="K447" s="179">
        <v>35930246.189999998</v>
      </c>
      <c r="L447" s="179">
        <v>35930246.189999998</v>
      </c>
      <c r="M447" s="179">
        <v>0</v>
      </c>
      <c r="N447" s="179">
        <v>0</v>
      </c>
    </row>
    <row r="448" spans="1:14" s="156" customFormat="1" x14ac:dyDescent="0.25">
      <c r="A448" s="156" t="s">
        <v>547</v>
      </c>
      <c r="B448" s="156" t="s">
        <v>390</v>
      </c>
      <c r="C448" s="156" t="s">
        <v>603</v>
      </c>
      <c r="D448" s="156" t="s">
        <v>541</v>
      </c>
      <c r="E448" s="179">
        <v>25971000</v>
      </c>
      <c r="F448" s="179">
        <v>25971000</v>
      </c>
      <c r="G448" s="179">
        <v>25971000</v>
      </c>
      <c r="H448" s="179">
        <v>0</v>
      </c>
      <c r="I448" s="179">
        <v>16752655.42</v>
      </c>
      <c r="J448" s="179">
        <v>0</v>
      </c>
      <c r="K448" s="179">
        <v>9218344.5800000001</v>
      </c>
      <c r="L448" s="179">
        <v>9218344.5800000001</v>
      </c>
      <c r="M448" s="179">
        <v>0</v>
      </c>
      <c r="N448" s="179">
        <v>0</v>
      </c>
    </row>
    <row r="449" spans="1:14" s="156" customFormat="1" x14ac:dyDescent="0.25">
      <c r="A449" s="156" t="s">
        <v>547</v>
      </c>
      <c r="B449" s="156" t="s">
        <v>261</v>
      </c>
      <c r="C449" s="156" t="s">
        <v>262</v>
      </c>
      <c r="D449" s="156" t="s">
        <v>541</v>
      </c>
      <c r="E449" s="179">
        <v>312777000</v>
      </c>
      <c r="F449" s="179">
        <v>307777000</v>
      </c>
      <c r="G449" s="179">
        <v>155594869</v>
      </c>
      <c r="H449" s="179">
        <v>0</v>
      </c>
      <c r="I449" s="179">
        <v>69185544.829999998</v>
      </c>
      <c r="J449" s="179">
        <v>0</v>
      </c>
      <c r="K449" s="179">
        <v>42919949.57</v>
      </c>
      <c r="L449" s="179">
        <v>42919949.57</v>
      </c>
      <c r="M449" s="179">
        <v>195671505.59999999</v>
      </c>
      <c r="N449" s="179">
        <v>43489374.600000001</v>
      </c>
    </row>
    <row r="450" spans="1:14" s="156" customFormat="1" x14ac:dyDescent="0.25">
      <c r="A450" s="156" t="s">
        <v>547</v>
      </c>
      <c r="B450" s="156" t="s">
        <v>263</v>
      </c>
      <c r="C450" s="156" t="s">
        <v>264</v>
      </c>
      <c r="D450" s="156" t="s">
        <v>541</v>
      </c>
      <c r="E450" s="179">
        <v>239389000</v>
      </c>
      <c r="F450" s="179">
        <v>239389000</v>
      </c>
      <c r="G450" s="179">
        <v>98829334</v>
      </c>
      <c r="H450" s="179">
        <v>0</v>
      </c>
      <c r="I450" s="179">
        <v>69085416.829999998</v>
      </c>
      <c r="J450" s="179">
        <v>0</v>
      </c>
      <c r="K450" s="179">
        <v>29743915.170000002</v>
      </c>
      <c r="L450" s="179">
        <v>29743915.170000002</v>
      </c>
      <c r="M450" s="179">
        <v>140559668</v>
      </c>
      <c r="N450" s="179">
        <v>2</v>
      </c>
    </row>
    <row r="451" spans="1:14" s="156" customFormat="1" x14ac:dyDescent="0.25">
      <c r="A451" s="156" t="s">
        <v>547</v>
      </c>
      <c r="B451" s="156" t="s">
        <v>265</v>
      </c>
      <c r="C451" s="156" t="s">
        <v>266</v>
      </c>
      <c r="D451" s="156" t="s">
        <v>541</v>
      </c>
      <c r="E451" s="179">
        <v>73388000</v>
      </c>
      <c r="F451" s="179">
        <v>68388000</v>
      </c>
      <c r="G451" s="179">
        <v>56765535</v>
      </c>
      <c r="H451" s="179">
        <v>0</v>
      </c>
      <c r="I451" s="179">
        <v>100128</v>
      </c>
      <c r="J451" s="179">
        <v>0</v>
      </c>
      <c r="K451" s="179">
        <v>13176034.4</v>
      </c>
      <c r="L451" s="179">
        <v>13176034.4</v>
      </c>
      <c r="M451" s="179">
        <v>55111837.600000001</v>
      </c>
      <c r="N451" s="179">
        <v>43489372.600000001</v>
      </c>
    </row>
    <row r="452" spans="1:14" x14ac:dyDescent="0.25">
      <c r="A452" s="156" t="s">
        <v>547</v>
      </c>
      <c r="B452" s="156" t="s">
        <v>267</v>
      </c>
      <c r="C452" s="156" t="s">
        <v>268</v>
      </c>
      <c r="D452" s="156" t="s">
        <v>541</v>
      </c>
      <c r="E452" s="179">
        <v>25000000</v>
      </c>
      <c r="F452" s="179">
        <v>30000000</v>
      </c>
      <c r="G452" s="179">
        <v>22500000</v>
      </c>
      <c r="H452" s="179">
        <v>0</v>
      </c>
      <c r="I452" s="179">
        <v>9652420.4600000009</v>
      </c>
      <c r="J452" s="179">
        <v>0</v>
      </c>
      <c r="K452" s="179">
        <v>3847579.54</v>
      </c>
      <c r="L452" s="179">
        <v>3847579.54</v>
      </c>
      <c r="M452" s="179">
        <v>16500000</v>
      </c>
      <c r="N452" s="179">
        <v>9000000</v>
      </c>
    </row>
    <row r="453" spans="1:14" x14ac:dyDescent="0.25">
      <c r="A453" s="156" t="s">
        <v>547</v>
      </c>
      <c r="B453" s="156" t="s">
        <v>269</v>
      </c>
      <c r="C453" s="156" t="s">
        <v>270</v>
      </c>
      <c r="D453" s="156" t="s">
        <v>541</v>
      </c>
      <c r="E453" s="179">
        <v>10000000</v>
      </c>
      <c r="F453" s="179">
        <v>10000000</v>
      </c>
      <c r="G453" s="179">
        <v>6500000</v>
      </c>
      <c r="H453" s="179">
        <v>0</v>
      </c>
      <c r="I453" s="179">
        <v>1879851.99</v>
      </c>
      <c r="J453" s="179">
        <v>0</v>
      </c>
      <c r="K453" s="179">
        <v>620148.01</v>
      </c>
      <c r="L453" s="179">
        <v>620148.01</v>
      </c>
      <c r="M453" s="179">
        <v>7500000</v>
      </c>
      <c r="N453" s="179">
        <v>4000000</v>
      </c>
    </row>
    <row r="454" spans="1:14" x14ac:dyDescent="0.25">
      <c r="A454" s="156" t="s">
        <v>547</v>
      </c>
      <c r="B454" s="156" t="s">
        <v>271</v>
      </c>
      <c r="C454" s="156" t="s">
        <v>272</v>
      </c>
      <c r="D454" s="156" t="s">
        <v>541</v>
      </c>
      <c r="E454" s="179">
        <v>15000000</v>
      </c>
      <c r="F454" s="179">
        <v>20000000</v>
      </c>
      <c r="G454" s="179">
        <v>16000000</v>
      </c>
      <c r="H454" s="179">
        <v>0</v>
      </c>
      <c r="I454" s="179">
        <v>7772568.4699999997</v>
      </c>
      <c r="J454" s="179">
        <v>0</v>
      </c>
      <c r="K454" s="179">
        <v>3227431.53</v>
      </c>
      <c r="L454" s="179">
        <v>3227431.53</v>
      </c>
      <c r="M454" s="179">
        <v>9000000</v>
      </c>
      <c r="N454" s="179">
        <v>5000000</v>
      </c>
    </row>
    <row r="455" spans="1:14" x14ac:dyDescent="0.25">
      <c r="A455" s="180" t="s">
        <v>587</v>
      </c>
      <c r="B455" s="180" t="s">
        <v>587</v>
      </c>
      <c r="C455" s="180" t="s">
        <v>587</v>
      </c>
      <c r="D455" s="180" t="s">
        <v>587</v>
      </c>
      <c r="E455" s="181">
        <v>675435665000</v>
      </c>
      <c r="F455" s="181">
        <v>705435665000</v>
      </c>
      <c r="G455" s="181">
        <v>599595369708.75</v>
      </c>
      <c r="H455" s="181">
        <v>774020544.54999995</v>
      </c>
      <c r="I455" s="181">
        <v>93041662954.25</v>
      </c>
      <c r="J455" s="181">
        <v>1061612358.85</v>
      </c>
      <c r="K455" s="181">
        <v>189272600810.39999</v>
      </c>
      <c r="L455" s="181">
        <v>186207337349.54999</v>
      </c>
      <c r="M455" s="181">
        <v>421285768331.95001</v>
      </c>
      <c r="N455" s="181">
        <v>315445473040.70001</v>
      </c>
    </row>
  </sheetData>
  <conditionalFormatting sqref="K2:K451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6A28-EF22-4B6D-B858-3CE0758DCEFE}">
  <dimension ref="A1:N455"/>
  <sheetViews>
    <sheetView workbookViewId="0">
      <pane ySplit="600" topLeftCell="A400" activePane="bottomLeft"/>
      <selection pane="bottomLeft" activeCell="I3" sqref="I3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6" width="18.5703125" bestFit="1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141087133000</v>
      </c>
      <c r="G2" s="179">
        <v>119940620966.75</v>
      </c>
      <c r="H2" s="179">
        <v>9756862.6600000001</v>
      </c>
      <c r="I2" s="179">
        <v>16453974726.459999</v>
      </c>
      <c r="J2" s="179">
        <v>263853991.16</v>
      </c>
      <c r="K2" s="179">
        <v>29774751636.669998</v>
      </c>
      <c r="L2" s="179">
        <v>29646745038.5</v>
      </c>
      <c r="M2" s="179">
        <v>94584795783.050003</v>
      </c>
      <c r="N2" s="179">
        <v>73438283749.800003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1953591114</v>
      </c>
      <c r="H3" s="179">
        <v>4460746.99</v>
      </c>
      <c r="I3" s="179">
        <v>237329201.5</v>
      </c>
      <c r="J3" s="179">
        <v>1118813.8500000001</v>
      </c>
      <c r="K3" s="182">
        <v>527378127.72000003</v>
      </c>
      <c r="L3" s="179">
        <v>525203558.16000003</v>
      </c>
      <c r="M3" s="179">
        <v>1749162336.9400001</v>
      </c>
      <c r="N3" s="179">
        <v>1183304223.9400001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1386097000</v>
      </c>
      <c r="G4" s="179">
        <v>1372097000</v>
      </c>
      <c r="H4" s="179">
        <v>0</v>
      </c>
      <c r="I4" s="179">
        <v>156735505</v>
      </c>
      <c r="J4" s="179">
        <v>0</v>
      </c>
      <c r="K4" s="179">
        <v>318482510.06</v>
      </c>
      <c r="L4" s="179">
        <v>318482510.06</v>
      </c>
      <c r="M4" s="179">
        <v>910878984.94000006</v>
      </c>
      <c r="N4" s="179">
        <v>896878984.94000006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526394000</v>
      </c>
      <c r="G5" s="179">
        <v>513555100</v>
      </c>
      <c r="H5" s="179">
        <v>0</v>
      </c>
      <c r="I5" s="179">
        <v>0</v>
      </c>
      <c r="J5" s="179">
        <v>0</v>
      </c>
      <c r="K5" s="179">
        <v>109521823.34999999</v>
      </c>
      <c r="L5" s="179">
        <v>109521823.34999999</v>
      </c>
      <c r="M5" s="179">
        <v>416872176.64999998</v>
      </c>
      <c r="N5" s="179">
        <v>404033276.64999998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526394000</v>
      </c>
      <c r="G6" s="179">
        <v>513555100</v>
      </c>
      <c r="H6" s="179">
        <v>0</v>
      </c>
      <c r="I6" s="179">
        <v>0</v>
      </c>
      <c r="J6" s="179">
        <v>0</v>
      </c>
      <c r="K6" s="179">
        <v>109521823.34999999</v>
      </c>
      <c r="L6" s="179">
        <v>109521823.34999999</v>
      </c>
      <c r="M6" s="179">
        <v>416872176.64999998</v>
      </c>
      <c r="N6" s="179">
        <v>404033276.64999998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649722000</v>
      </c>
      <c r="G7" s="179">
        <v>648560900</v>
      </c>
      <c r="H7" s="179">
        <v>0</v>
      </c>
      <c r="I7" s="179">
        <v>0</v>
      </c>
      <c r="J7" s="179">
        <v>0</v>
      </c>
      <c r="K7" s="179">
        <v>155715191.71000001</v>
      </c>
      <c r="L7" s="179">
        <v>155715191.71000001</v>
      </c>
      <c r="M7" s="179">
        <v>494006808.29000002</v>
      </c>
      <c r="N7" s="179">
        <v>492845708.29000002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138872000</v>
      </c>
      <c r="G8" s="179">
        <v>137710900</v>
      </c>
      <c r="H8" s="179">
        <v>0</v>
      </c>
      <c r="I8" s="179">
        <v>0</v>
      </c>
      <c r="J8" s="179">
        <v>0</v>
      </c>
      <c r="K8" s="179">
        <v>22759721.609999999</v>
      </c>
      <c r="L8" s="179">
        <v>22759721.609999999</v>
      </c>
      <c r="M8" s="179">
        <v>116112278.39</v>
      </c>
      <c r="N8" s="179">
        <v>114951178.39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289755000</v>
      </c>
      <c r="G9" s="179">
        <v>289755000</v>
      </c>
      <c r="H9" s="179">
        <v>0</v>
      </c>
      <c r="I9" s="179">
        <v>0</v>
      </c>
      <c r="J9" s="179">
        <v>0</v>
      </c>
      <c r="K9" s="179">
        <v>49439597.270000003</v>
      </c>
      <c r="L9" s="179">
        <v>49439597.270000003</v>
      </c>
      <c r="M9" s="179">
        <v>240315402.72999999</v>
      </c>
      <c r="N9" s="179">
        <v>240315402.72999999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74682002.099999994</v>
      </c>
      <c r="L10" s="179">
        <v>74682002.099999994</v>
      </c>
      <c r="M10" s="179">
        <v>9198997.9000000004</v>
      </c>
      <c r="N10" s="179">
        <v>9198997.9000000004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8833870.7300000004</v>
      </c>
      <c r="L11" s="179">
        <v>8833870.7300000004</v>
      </c>
      <c r="M11" s="179">
        <v>38573129.270000003</v>
      </c>
      <c r="N11" s="179">
        <v>38573129.270000003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0</v>
      </c>
      <c r="L12" s="179">
        <v>0</v>
      </c>
      <c r="M12" s="179">
        <v>89807000</v>
      </c>
      <c r="N12" s="179">
        <v>89807000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79057112</v>
      </c>
      <c r="J13" s="179">
        <v>0</v>
      </c>
      <c r="K13" s="179">
        <v>26856888</v>
      </c>
      <c r="L13" s="179">
        <v>26856888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75003397</v>
      </c>
      <c r="J14" s="179">
        <v>0</v>
      </c>
      <c r="K14" s="179">
        <v>25479603</v>
      </c>
      <c r="L14" s="179">
        <v>25479603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4053715</v>
      </c>
      <c r="J15" s="179">
        <v>0</v>
      </c>
      <c r="K15" s="179">
        <v>1377285</v>
      </c>
      <c r="L15" s="179">
        <v>1377285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77678393</v>
      </c>
      <c r="J16" s="179">
        <v>0</v>
      </c>
      <c r="K16" s="179">
        <v>26388607</v>
      </c>
      <c r="L16" s="179">
        <v>26388607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41190877</v>
      </c>
      <c r="J17" s="179">
        <v>0</v>
      </c>
      <c r="K17" s="179">
        <v>13993123</v>
      </c>
      <c r="L17" s="179">
        <v>13993123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12162174</v>
      </c>
      <c r="J18" s="179">
        <v>0</v>
      </c>
      <c r="K18" s="179">
        <v>4131826</v>
      </c>
      <c r="L18" s="179">
        <v>4131826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24325342</v>
      </c>
      <c r="J19" s="179">
        <v>0</v>
      </c>
      <c r="K19" s="179">
        <v>8263658</v>
      </c>
      <c r="L19" s="179">
        <v>8263658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145798290</v>
      </c>
      <c r="H20" s="179">
        <v>58450</v>
      </c>
      <c r="I20" s="179">
        <v>50249258.509999998</v>
      </c>
      <c r="J20" s="179">
        <v>282009</v>
      </c>
      <c r="K20" s="179">
        <v>28768300.199999999</v>
      </c>
      <c r="L20" s="179">
        <v>26607690.850000001</v>
      </c>
      <c r="M20" s="179">
        <v>263383561.28999999</v>
      </c>
      <c r="N20" s="179">
        <v>66440272.289999999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61653661.030000001</v>
      </c>
      <c r="H21" s="179">
        <v>0</v>
      </c>
      <c r="I21" s="179">
        <v>25444022.559999999</v>
      </c>
      <c r="J21" s="179">
        <v>0</v>
      </c>
      <c r="K21" s="179">
        <v>5251898.07</v>
      </c>
      <c r="L21" s="179">
        <v>5221636.57</v>
      </c>
      <c r="M21" s="179">
        <v>95149525.370000005</v>
      </c>
      <c r="N21" s="179">
        <v>30957740.399999999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61573661.030000001</v>
      </c>
      <c r="H22" s="179">
        <v>0</v>
      </c>
      <c r="I22" s="179">
        <v>25444022.559999999</v>
      </c>
      <c r="J22" s="179">
        <v>0</v>
      </c>
      <c r="K22" s="179">
        <v>5251898.07</v>
      </c>
      <c r="L22" s="179">
        <v>5221636.57</v>
      </c>
      <c r="M22" s="179">
        <v>95069525.370000005</v>
      </c>
      <c r="N22" s="179">
        <v>30877740.399999999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80000</v>
      </c>
      <c r="N23" s="179">
        <v>80000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58600000</v>
      </c>
      <c r="H24" s="179">
        <v>0</v>
      </c>
      <c r="I24" s="179">
        <v>12060012.15</v>
      </c>
      <c r="J24" s="179">
        <v>0</v>
      </c>
      <c r="K24" s="179">
        <v>18249987.649999999</v>
      </c>
      <c r="L24" s="179">
        <v>16299939.800000001</v>
      </c>
      <c r="M24" s="179">
        <v>101118353.2</v>
      </c>
      <c r="N24" s="179">
        <v>28290000.199999999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4971429</v>
      </c>
      <c r="G25" s="179">
        <v>2400000</v>
      </c>
      <c r="H25" s="179">
        <v>0</v>
      </c>
      <c r="I25" s="179">
        <v>251494</v>
      </c>
      <c r="J25" s="179">
        <v>0</v>
      </c>
      <c r="K25" s="179">
        <v>948506</v>
      </c>
      <c r="L25" s="179">
        <v>948506</v>
      </c>
      <c r="M25" s="179">
        <v>3771429</v>
      </c>
      <c r="N25" s="179">
        <v>1200000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27000000</v>
      </c>
      <c r="H26" s="179">
        <v>0</v>
      </c>
      <c r="I26" s="179">
        <v>2340600</v>
      </c>
      <c r="J26" s="179">
        <v>0</v>
      </c>
      <c r="K26" s="179">
        <v>11659400</v>
      </c>
      <c r="L26" s="179">
        <v>11659400</v>
      </c>
      <c r="M26" s="179">
        <v>42000000</v>
      </c>
      <c r="N26" s="179">
        <v>13000000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3600</v>
      </c>
      <c r="J27" s="179">
        <v>0</v>
      </c>
      <c r="K27" s="179">
        <v>16400</v>
      </c>
      <c r="L27" s="179">
        <v>16400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70076924</v>
      </c>
      <c r="G28" s="179">
        <v>29000000</v>
      </c>
      <c r="H28" s="179">
        <v>0</v>
      </c>
      <c r="I28" s="179">
        <v>9374318.1500000004</v>
      </c>
      <c r="J28" s="179">
        <v>0</v>
      </c>
      <c r="K28" s="179">
        <v>5625681.6500000004</v>
      </c>
      <c r="L28" s="179">
        <v>3675633.8</v>
      </c>
      <c r="M28" s="179">
        <v>55076924.200000003</v>
      </c>
      <c r="N28" s="179">
        <v>14000000.199999999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180000</v>
      </c>
      <c r="H29" s="179">
        <v>0</v>
      </c>
      <c r="I29" s="179">
        <v>90000</v>
      </c>
      <c r="J29" s="179">
        <v>0</v>
      </c>
      <c r="K29" s="179">
        <v>0</v>
      </c>
      <c r="L29" s="179">
        <v>0</v>
      </c>
      <c r="M29" s="179">
        <v>270000</v>
      </c>
      <c r="N29" s="179">
        <v>90000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8700000</v>
      </c>
      <c r="G30" s="179">
        <v>4381000</v>
      </c>
      <c r="H30" s="179">
        <v>0</v>
      </c>
      <c r="I30" s="179">
        <v>2200431</v>
      </c>
      <c r="J30" s="179">
        <v>0</v>
      </c>
      <c r="K30" s="179">
        <v>11830</v>
      </c>
      <c r="L30" s="179">
        <v>11830</v>
      </c>
      <c r="M30" s="179">
        <v>6487739</v>
      </c>
      <c r="N30" s="179">
        <v>2168739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3500000</v>
      </c>
      <c r="H31" s="179">
        <v>0</v>
      </c>
      <c r="I31" s="179">
        <v>1737931</v>
      </c>
      <c r="J31" s="179">
        <v>0</v>
      </c>
      <c r="K31" s="179">
        <v>11830</v>
      </c>
      <c r="L31" s="179">
        <v>11830</v>
      </c>
      <c r="M31" s="179">
        <v>5250239</v>
      </c>
      <c r="N31" s="179">
        <v>1750239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831000</v>
      </c>
      <c r="H32" s="179">
        <v>0</v>
      </c>
      <c r="I32" s="179">
        <v>412500</v>
      </c>
      <c r="J32" s="179">
        <v>0</v>
      </c>
      <c r="K32" s="179">
        <v>0</v>
      </c>
      <c r="L32" s="179">
        <v>0</v>
      </c>
      <c r="M32" s="179">
        <v>1237500</v>
      </c>
      <c r="N32" s="179">
        <v>418500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326</v>
      </c>
      <c r="C34" s="156" t="s">
        <v>327</v>
      </c>
      <c r="D34" s="156" t="s">
        <v>541</v>
      </c>
      <c r="E34" s="179">
        <v>0</v>
      </c>
      <c r="F34" s="179">
        <v>0</v>
      </c>
      <c r="G34" s="179">
        <v>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0</v>
      </c>
      <c r="N34" s="179">
        <v>0</v>
      </c>
    </row>
    <row r="35" spans="1:14" s="156" customFormat="1" x14ac:dyDescent="0.25">
      <c r="A35" s="156" t="s">
        <v>542</v>
      </c>
      <c r="B35" s="156" t="s">
        <v>151</v>
      </c>
      <c r="C35" s="156" t="s">
        <v>152</v>
      </c>
      <c r="D35" s="156" t="s">
        <v>541</v>
      </c>
      <c r="E35" s="179">
        <v>5851429</v>
      </c>
      <c r="F35" s="179">
        <v>5851429</v>
      </c>
      <c r="G35" s="179">
        <v>3100045</v>
      </c>
      <c r="H35" s="179">
        <v>0</v>
      </c>
      <c r="I35" s="179">
        <v>1378842</v>
      </c>
      <c r="J35" s="179">
        <v>282009</v>
      </c>
      <c r="K35" s="179">
        <v>41235</v>
      </c>
      <c r="L35" s="179">
        <v>41235</v>
      </c>
      <c r="M35" s="179">
        <v>4149343</v>
      </c>
      <c r="N35" s="179">
        <v>1397959</v>
      </c>
    </row>
    <row r="36" spans="1:14" s="156" customFormat="1" x14ac:dyDescent="0.25">
      <c r="A36" s="156" t="s">
        <v>542</v>
      </c>
      <c r="B36" s="156" t="s">
        <v>154</v>
      </c>
      <c r="C36" s="156" t="s">
        <v>155</v>
      </c>
      <c r="D36" s="156" t="s">
        <v>541</v>
      </c>
      <c r="E36" s="179">
        <v>3080000</v>
      </c>
      <c r="F36" s="179">
        <v>3080000</v>
      </c>
      <c r="G36" s="179">
        <v>990000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3080000</v>
      </c>
      <c r="N36" s="179">
        <v>990000</v>
      </c>
    </row>
    <row r="37" spans="1:14" s="156" customFormat="1" x14ac:dyDescent="0.25">
      <c r="A37" s="156" t="s">
        <v>542</v>
      </c>
      <c r="B37" s="156" t="s">
        <v>156</v>
      </c>
      <c r="C37" s="156" t="s">
        <v>157</v>
      </c>
      <c r="D37" s="156" t="s">
        <v>541</v>
      </c>
      <c r="E37" s="179">
        <v>2771429</v>
      </c>
      <c r="F37" s="179">
        <v>2771429</v>
      </c>
      <c r="G37" s="179">
        <v>2110045</v>
      </c>
      <c r="H37" s="179">
        <v>0</v>
      </c>
      <c r="I37" s="179">
        <v>1378842</v>
      </c>
      <c r="J37" s="179">
        <v>282009</v>
      </c>
      <c r="K37" s="179">
        <v>41235</v>
      </c>
      <c r="L37" s="179">
        <v>41235</v>
      </c>
      <c r="M37" s="179">
        <v>1069343</v>
      </c>
      <c r="N37" s="179">
        <v>407959</v>
      </c>
    </row>
    <row r="38" spans="1:14" s="156" customFormat="1" x14ac:dyDescent="0.25">
      <c r="A38" s="156" t="s">
        <v>542</v>
      </c>
      <c r="B38" s="156" t="s">
        <v>158</v>
      </c>
      <c r="C38" s="156" t="s">
        <v>159</v>
      </c>
      <c r="D38" s="156" t="s">
        <v>541</v>
      </c>
      <c r="E38" s="179">
        <v>17774865</v>
      </c>
      <c r="F38" s="179">
        <v>17774865</v>
      </c>
      <c r="G38" s="179">
        <v>8952504.75</v>
      </c>
      <c r="H38" s="179">
        <v>58450</v>
      </c>
      <c r="I38" s="179">
        <v>2534238</v>
      </c>
      <c r="J38" s="179">
        <v>0</v>
      </c>
      <c r="K38" s="179">
        <v>2052476.48</v>
      </c>
      <c r="L38" s="179">
        <v>2042176.48</v>
      </c>
      <c r="M38" s="179">
        <v>13129700.52</v>
      </c>
      <c r="N38" s="179">
        <v>4307340.2699999996</v>
      </c>
    </row>
    <row r="39" spans="1:14" s="156" customFormat="1" x14ac:dyDescent="0.25">
      <c r="A39" s="156" t="s">
        <v>542</v>
      </c>
      <c r="B39" s="156" t="s">
        <v>160</v>
      </c>
      <c r="C39" s="156" t="s">
        <v>161</v>
      </c>
      <c r="D39" s="156" t="s">
        <v>541</v>
      </c>
      <c r="E39" s="179">
        <v>100000</v>
      </c>
      <c r="F39" s="179">
        <v>100000</v>
      </c>
      <c r="G39" s="179">
        <v>100000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100000</v>
      </c>
      <c r="N39" s="179">
        <v>100000</v>
      </c>
    </row>
    <row r="40" spans="1:14" s="156" customFormat="1" x14ac:dyDescent="0.25">
      <c r="A40" s="156" t="s">
        <v>542</v>
      </c>
      <c r="B40" s="156" t="s">
        <v>162</v>
      </c>
      <c r="C40" s="156" t="s">
        <v>163</v>
      </c>
      <c r="D40" s="156" t="s">
        <v>541</v>
      </c>
      <c r="E40" s="179">
        <v>6685715</v>
      </c>
      <c r="F40" s="179">
        <v>6685715</v>
      </c>
      <c r="G40" s="179">
        <v>4200000</v>
      </c>
      <c r="H40" s="179">
        <v>58450</v>
      </c>
      <c r="I40" s="179">
        <v>1281750</v>
      </c>
      <c r="J40" s="179">
        <v>0</v>
      </c>
      <c r="K40" s="179">
        <v>1139900</v>
      </c>
      <c r="L40" s="179">
        <v>1129600</v>
      </c>
      <c r="M40" s="179">
        <v>4205615</v>
      </c>
      <c r="N40" s="179">
        <v>1719900</v>
      </c>
    </row>
    <row r="41" spans="1:14" s="156" customFormat="1" x14ac:dyDescent="0.25">
      <c r="A41" s="156" t="s">
        <v>542</v>
      </c>
      <c r="B41" s="156" t="s">
        <v>164</v>
      </c>
      <c r="C41" s="156" t="s">
        <v>165</v>
      </c>
      <c r="D41" s="156" t="s">
        <v>541</v>
      </c>
      <c r="E41" s="179">
        <v>5170968</v>
      </c>
      <c r="F41" s="179">
        <v>5170968</v>
      </c>
      <c r="G41" s="179">
        <v>1900000</v>
      </c>
      <c r="H41" s="179">
        <v>0</v>
      </c>
      <c r="I41" s="179">
        <v>252488</v>
      </c>
      <c r="J41" s="179">
        <v>0</v>
      </c>
      <c r="K41" s="179">
        <v>912576.48</v>
      </c>
      <c r="L41" s="179">
        <v>912576.48</v>
      </c>
      <c r="M41" s="179">
        <v>4005903.52</v>
      </c>
      <c r="N41" s="179">
        <v>734935.52</v>
      </c>
    </row>
    <row r="42" spans="1:14" s="156" customFormat="1" x14ac:dyDescent="0.25">
      <c r="A42" s="156" t="s">
        <v>542</v>
      </c>
      <c r="B42" s="156" t="s">
        <v>166</v>
      </c>
      <c r="C42" s="156" t="s">
        <v>167</v>
      </c>
      <c r="D42" s="156" t="s">
        <v>541</v>
      </c>
      <c r="E42" s="179">
        <v>5818182</v>
      </c>
      <c r="F42" s="179">
        <v>5818182</v>
      </c>
      <c r="G42" s="179">
        <v>2752504.75</v>
      </c>
      <c r="H42" s="179">
        <v>0</v>
      </c>
      <c r="I42" s="179">
        <v>1000000</v>
      </c>
      <c r="J42" s="179">
        <v>0</v>
      </c>
      <c r="K42" s="179">
        <v>0</v>
      </c>
      <c r="L42" s="179">
        <v>0</v>
      </c>
      <c r="M42" s="179">
        <v>4818182</v>
      </c>
      <c r="N42" s="179">
        <v>1752504.75</v>
      </c>
    </row>
    <row r="43" spans="1:14" s="156" customFormat="1" x14ac:dyDescent="0.25">
      <c r="A43" s="156" t="s">
        <v>542</v>
      </c>
      <c r="B43" s="156" t="s">
        <v>168</v>
      </c>
      <c r="C43" s="156" t="s">
        <v>169</v>
      </c>
      <c r="D43" s="156" t="s">
        <v>541</v>
      </c>
      <c r="E43" s="179">
        <v>32290000</v>
      </c>
      <c r="F43" s="179">
        <v>32290000</v>
      </c>
      <c r="G43" s="179">
        <v>3683014.22</v>
      </c>
      <c r="H43" s="179">
        <v>0</v>
      </c>
      <c r="I43" s="179">
        <v>612040</v>
      </c>
      <c r="J43" s="179">
        <v>0</v>
      </c>
      <c r="K43" s="179">
        <v>2990873</v>
      </c>
      <c r="L43" s="179">
        <v>2990873</v>
      </c>
      <c r="M43" s="179">
        <v>28687087</v>
      </c>
      <c r="N43" s="179">
        <v>80101.22</v>
      </c>
    </row>
    <row r="44" spans="1:14" s="156" customFormat="1" x14ac:dyDescent="0.25">
      <c r="A44" s="156" t="s">
        <v>542</v>
      </c>
      <c r="B44" s="156" t="s">
        <v>170</v>
      </c>
      <c r="C44" s="156" t="s">
        <v>171</v>
      </c>
      <c r="D44" s="156" t="s">
        <v>541</v>
      </c>
      <c r="E44" s="179">
        <v>32290000</v>
      </c>
      <c r="F44" s="179">
        <v>32290000</v>
      </c>
      <c r="G44" s="179">
        <v>3683014.22</v>
      </c>
      <c r="H44" s="179">
        <v>0</v>
      </c>
      <c r="I44" s="179">
        <v>612040</v>
      </c>
      <c r="J44" s="179">
        <v>0</v>
      </c>
      <c r="K44" s="179">
        <v>2990873</v>
      </c>
      <c r="L44" s="179">
        <v>2990873</v>
      </c>
      <c r="M44" s="179">
        <v>28687087</v>
      </c>
      <c r="N44" s="179">
        <v>80101.22</v>
      </c>
    </row>
    <row r="45" spans="1:14" s="156" customFormat="1" x14ac:dyDescent="0.25">
      <c r="A45" s="156" t="s">
        <v>542</v>
      </c>
      <c r="B45" s="156" t="s">
        <v>172</v>
      </c>
      <c r="C45" s="156" t="s">
        <v>173</v>
      </c>
      <c r="D45" s="156" t="s">
        <v>541</v>
      </c>
      <c r="E45" s="179">
        <v>2150000</v>
      </c>
      <c r="F45" s="179">
        <v>1581135</v>
      </c>
      <c r="G45" s="179">
        <v>600000</v>
      </c>
      <c r="H45" s="179">
        <v>0</v>
      </c>
      <c r="I45" s="179">
        <v>500000</v>
      </c>
      <c r="J45" s="179">
        <v>0</v>
      </c>
      <c r="K45" s="179">
        <v>0</v>
      </c>
      <c r="L45" s="179">
        <v>0</v>
      </c>
      <c r="M45" s="179">
        <v>1081135</v>
      </c>
      <c r="N45" s="179">
        <v>100000</v>
      </c>
    </row>
    <row r="46" spans="1:14" s="156" customFormat="1" x14ac:dyDescent="0.25">
      <c r="A46" s="156" t="s">
        <v>542</v>
      </c>
      <c r="B46" s="156" t="s">
        <v>309</v>
      </c>
      <c r="C46" s="156" t="s">
        <v>310</v>
      </c>
      <c r="D46" s="156" t="s">
        <v>541</v>
      </c>
      <c r="E46" s="179">
        <v>0</v>
      </c>
      <c r="F46" s="179">
        <v>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</row>
    <row r="47" spans="1:14" s="156" customFormat="1" x14ac:dyDescent="0.25">
      <c r="A47" s="156" t="s">
        <v>542</v>
      </c>
      <c r="B47" s="156" t="s">
        <v>174</v>
      </c>
      <c r="C47" s="156" t="s">
        <v>175</v>
      </c>
      <c r="D47" s="156" t="s">
        <v>541</v>
      </c>
      <c r="E47" s="179">
        <v>1550000</v>
      </c>
      <c r="F47" s="179">
        <v>981135</v>
      </c>
      <c r="G47" s="179">
        <v>0</v>
      </c>
      <c r="H47" s="179">
        <v>0</v>
      </c>
      <c r="I47" s="179">
        <v>0</v>
      </c>
      <c r="J47" s="179">
        <v>0</v>
      </c>
      <c r="K47" s="179">
        <v>0</v>
      </c>
      <c r="L47" s="179">
        <v>0</v>
      </c>
      <c r="M47" s="179">
        <v>981135</v>
      </c>
      <c r="N47" s="179">
        <v>0</v>
      </c>
    </row>
    <row r="48" spans="1:14" s="156" customFormat="1" x14ac:dyDescent="0.25">
      <c r="A48" s="156" t="s">
        <v>542</v>
      </c>
      <c r="B48" s="156" t="s">
        <v>176</v>
      </c>
      <c r="C48" s="156" t="s">
        <v>177</v>
      </c>
      <c r="D48" s="156" t="s">
        <v>541</v>
      </c>
      <c r="E48" s="179">
        <v>600000</v>
      </c>
      <c r="F48" s="179">
        <v>600000</v>
      </c>
      <c r="G48" s="179">
        <v>600000</v>
      </c>
      <c r="H48" s="179">
        <v>0</v>
      </c>
      <c r="I48" s="179">
        <v>500000</v>
      </c>
      <c r="J48" s="179">
        <v>0</v>
      </c>
      <c r="K48" s="179">
        <v>0</v>
      </c>
      <c r="L48" s="179">
        <v>0</v>
      </c>
      <c r="M48" s="179">
        <v>100000</v>
      </c>
      <c r="N48" s="179">
        <v>100000</v>
      </c>
    </row>
    <row r="49" spans="1:14" s="156" customFormat="1" x14ac:dyDescent="0.25">
      <c r="A49" s="156" t="s">
        <v>542</v>
      </c>
      <c r="B49" s="156" t="s">
        <v>178</v>
      </c>
      <c r="C49" s="156" t="s">
        <v>179</v>
      </c>
      <c r="D49" s="156" t="s">
        <v>541</v>
      </c>
      <c r="E49" s="179">
        <v>17019667</v>
      </c>
      <c r="F49" s="179">
        <v>17019667</v>
      </c>
      <c r="G49" s="179">
        <v>4259200</v>
      </c>
      <c r="H49" s="179">
        <v>0</v>
      </c>
      <c r="I49" s="179">
        <v>3468988.8</v>
      </c>
      <c r="J49" s="179">
        <v>0</v>
      </c>
      <c r="K49" s="179">
        <v>170000</v>
      </c>
      <c r="L49" s="179">
        <v>0</v>
      </c>
      <c r="M49" s="179">
        <v>13380678.199999999</v>
      </c>
      <c r="N49" s="179">
        <v>620211.19999999995</v>
      </c>
    </row>
    <row r="50" spans="1:14" s="156" customFormat="1" x14ac:dyDescent="0.25">
      <c r="A50" s="156" t="s">
        <v>542</v>
      </c>
      <c r="B50" s="156" t="s">
        <v>332</v>
      </c>
      <c r="C50" s="156" t="s">
        <v>333</v>
      </c>
      <c r="D50" s="156" t="s">
        <v>541</v>
      </c>
      <c r="E50" s="179">
        <v>300000</v>
      </c>
      <c r="F50" s="179">
        <v>300000</v>
      </c>
      <c r="G50" s="179">
        <v>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300000</v>
      </c>
      <c r="N50" s="179">
        <v>0</v>
      </c>
    </row>
    <row r="51" spans="1:14" s="156" customFormat="1" x14ac:dyDescent="0.25">
      <c r="A51" s="156" t="s">
        <v>542</v>
      </c>
      <c r="B51" s="156" t="s">
        <v>182</v>
      </c>
      <c r="C51" s="156" t="s">
        <v>183</v>
      </c>
      <c r="D51" s="156" t="s">
        <v>541</v>
      </c>
      <c r="E51" s="179">
        <v>9066667</v>
      </c>
      <c r="F51" s="179">
        <v>9066667</v>
      </c>
      <c r="G51" s="179">
        <v>1600000</v>
      </c>
      <c r="H51" s="179">
        <v>0</v>
      </c>
      <c r="I51" s="179">
        <v>1600000</v>
      </c>
      <c r="J51" s="179">
        <v>0</v>
      </c>
      <c r="K51" s="179">
        <v>0</v>
      </c>
      <c r="L51" s="179">
        <v>0</v>
      </c>
      <c r="M51" s="179">
        <v>7466667</v>
      </c>
      <c r="N51" s="179">
        <v>0</v>
      </c>
    </row>
    <row r="52" spans="1:14" s="156" customFormat="1" x14ac:dyDescent="0.25">
      <c r="A52" s="156" t="s">
        <v>542</v>
      </c>
      <c r="B52" s="156" t="s">
        <v>186</v>
      </c>
      <c r="C52" s="156" t="s">
        <v>187</v>
      </c>
      <c r="D52" s="156" t="s">
        <v>541</v>
      </c>
      <c r="E52" s="179">
        <v>2900000</v>
      </c>
      <c r="F52" s="179">
        <v>2900000</v>
      </c>
      <c r="G52" s="179">
        <v>2127200</v>
      </c>
      <c r="H52" s="179">
        <v>0</v>
      </c>
      <c r="I52" s="179">
        <v>1341200</v>
      </c>
      <c r="J52" s="179">
        <v>0</v>
      </c>
      <c r="K52" s="179">
        <v>170000</v>
      </c>
      <c r="L52" s="179">
        <v>0</v>
      </c>
      <c r="M52" s="179">
        <v>1388800</v>
      </c>
      <c r="N52" s="179">
        <v>616000</v>
      </c>
    </row>
    <row r="53" spans="1:14" s="156" customFormat="1" x14ac:dyDescent="0.25">
      <c r="A53" s="156" t="s">
        <v>542</v>
      </c>
      <c r="B53" s="156" t="s">
        <v>188</v>
      </c>
      <c r="C53" s="156" t="s">
        <v>189</v>
      </c>
      <c r="D53" s="156" t="s">
        <v>541</v>
      </c>
      <c r="E53" s="179">
        <v>393000</v>
      </c>
      <c r="F53" s="179">
        <v>393000</v>
      </c>
      <c r="G53" s="179">
        <v>0</v>
      </c>
      <c r="H53" s="179">
        <v>0</v>
      </c>
      <c r="I53" s="179">
        <v>0</v>
      </c>
      <c r="J53" s="179">
        <v>0</v>
      </c>
      <c r="K53" s="179">
        <v>0</v>
      </c>
      <c r="L53" s="179">
        <v>0</v>
      </c>
      <c r="M53" s="179">
        <v>393000</v>
      </c>
      <c r="N53" s="179">
        <v>0</v>
      </c>
    </row>
    <row r="54" spans="1:14" s="156" customFormat="1" x14ac:dyDescent="0.25">
      <c r="A54" s="156" t="s">
        <v>542</v>
      </c>
      <c r="B54" s="156" t="s">
        <v>190</v>
      </c>
      <c r="C54" s="156" t="s">
        <v>191</v>
      </c>
      <c r="D54" s="156" t="s">
        <v>541</v>
      </c>
      <c r="E54" s="179">
        <v>4360000</v>
      </c>
      <c r="F54" s="179">
        <v>4360000</v>
      </c>
      <c r="G54" s="179">
        <v>532000</v>
      </c>
      <c r="H54" s="179">
        <v>0</v>
      </c>
      <c r="I54" s="179">
        <v>527788.80000000005</v>
      </c>
      <c r="J54" s="179">
        <v>0</v>
      </c>
      <c r="K54" s="179">
        <v>0</v>
      </c>
      <c r="L54" s="179">
        <v>0</v>
      </c>
      <c r="M54" s="179">
        <v>3832211.2</v>
      </c>
      <c r="N54" s="179">
        <v>4211.2</v>
      </c>
    </row>
    <row r="55" spans="1:14" s="156" customFormat="1" x14ac:dyDescent="0.25">
      <c r="A55" s="156" t="s">
        <v>542</v>
      </c>
      <c r="B55" s="156" t="s">
        <v>192</v>
      </c>
      <c r="C55" s="156" t="s">
        <v>193</v>
      </c>
      <c r="D55" s="156" t="s">
        <v>541</v>
      </c>
      <c r="E55" s="179">
        <v>681819</v>
      </c>
      <c r="F55" s="179">
        <v>1250684</v>
      </c>
      <c r="G55" s="179">
        <v>568865</v>
      </c>
      <c r="H55" s="179">
        <v>0</v>
      </c>
      <c r="I55" s="179">
        <v>1250684</v>
      </c>
      <c r="J55" s="179">
        <v>0</v>
      </c>
      <c r="K55" s="179">
        <v>0</v>
      </c>
      <c r="L55" s="179">
        <v>0</v>
      </c>
      <c r="M55" s="179">
        <v>0</v>
      </c>
      <c r="N55" s="183">
        <v>-681819</v>
      </c>
    </row>
    <row r="56" spans="1:14" s="156" customFormat="1" x14ac:dyDescent="0.25">
      <c r="A56" s="156" t="s">
        <v>542</v>
      </c>
      <c r="B56" s="156" t="s">
        <v>194</v>
      </c>
      <c r="C56" s="156" t="s">
        <v>195</v>
      </c>
      <c r="D56" s="156" t="s">
        <v>541</v>
      </c>
      <c r="E56" s="179">
        <v>681819</v>
      </c>
      <c r="F56" s="179">
        <v>1250684</v>
      </c>
      <c r="G56" s="179">
        <v>568865</v>
      </c>
      <c r="H56" s="179">
        <v>0</v>
      </c>
      <c r="I56" s="179">
        <v>1250684</v>
      </c>
      <c r="J56" s="179">
        <v>0</v>
      </c>
      <c r="K56" s="179">
        <v>0</v>
      </c>
      <c r="L56" s="179">
        <v>0</v>
      </c>
      <c r="M56" s="179">
        <v>0</v>
      </c>
      <c r="N56" s="183">
        <v>-681819</v>
      </c>
    </row>
    <row r="57" spans="1:14" s="156" customFormat="1" x14ac:dyDescent="0.25">
      <c r="A57" s="156" t="s">
        <v>542</v>
      </c>
      <c r="B57" s="156" t="s">
        <v>196</v>
      </c>
      <c r="C57" s="156" t="s">
        <v>197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800000</v>
      </c>
      <c r="J57" s="179">
        <v>0</v>
      </c>
      <c r="K57" s="179">
        <v>0</v>
      </c>
      <c r="L57" s="179">
        <v>0</v>
      </c>
      <c r="M57" s="179">
        <v>200000</v>
      </c>
      <c r="N57" s="183">
        <v>-800000</v>
      </c>
    </row>
    <row r="58" spans="1:14" s="156" customFormat="1" x14ac:dyDescent="0.25">
      <c r="A58" s="156" t="s">
        <v>542</v>
      </c>
      <c r="B58" s="156" t="s">
        <v>198</v>
      </c>
      <c r="C58" s="156" t="s">
        <v>199</v>
      </c>
      <c r="D58" s="156" t="s">
        <v>541</v>
      </c>
      <c r="E58" s="179">
        <v>1000000</v>
      </c>
      <c r="F58" s="179">
        <v>1000000</v>
      </c>
      <c r="G58" s="179">
        <v>0</v>
      </c>
      <c r="H58" s="179">
        <v>0</v>
      </c>
      <c r="I58" s="179">
        <v>800000</v>
      </c>
      <c r="J58" s="179">
        <v>0</v>
      </c>
      <c r="K58" s="179">
        <v>0</v>
      </c>
      <c r="L58" s="179">
        <v>0</v>
      </c>
      <c r="M58" s="179">
        <v>200000</v>
      </c>
      <c r="N58" s="183">
        <v>-800000</v>
      </c>
    </row>
    <row r="59" spans="1:14" s="156" customFormat="1" x14ac:dyDescent="0.25">
      <c r="A59" s="156" t="s">
        <v>542</v>
      </c>
      <c r="B59" s="156" t="s">
        <v>200</v>
      </c>
      <c r="C59" s="156" t="s">
        <v>201</v>
      </c>
      <c r="D59" s="156" t="s">
        <v>541</v>
      </c>
      <c r="E59" s="179">
        <v>42229000</v>
      </c>
      <c r="F59" s="179">
        <v>42229000</v>
      </c>
      <c r="G59" s="179">
        <v>33534000</v>
      </c>
      <c r="H59" s="179">
        <v>4402296.99</v>
      </c>
      <c r="I59" s="179">
        <v>1938709.24</v>
      </c>
      <c r="J59" s="179">
        <v>836804.85</v>
      </c>
      <c r="K59" s="179">
        <v>2942675.21</v>
      </c>
      <c r="L59" s="179">
        <v>2928715</v>
      </c>
      <c r="M59" s="179">
        <v>32108513.710000001</v>
      </c>
      <c r="N59" s="179">
        <v>23413513.710000001</v>
      </c>
    </row>
    <row r="60" spans="1:14" s="156" customFormat="1" x14ac:dyDescent="0.25">
      <c r="A60" s="156" t="s">
        <v>542</v>
      </c>
      <c r="B60" s="156" t="s">
        <v>202</v>
      </c>
      <c r="C60" s="156" t="s">
        <v>203</v>
      </c>
      <c r="D60" s="156" t="s">
        <v>541</v>
      </c>
      <c r="E60" s="179">
        <v>17137000</v>
      </c>
      <c r="F60" s="179">
        <v>17137000</v>
      </c>
      <c r="G60" s="179">
        <v>8919000</v>
      </c>
      <c r="H60" s="179">
        <v>0</v>
      </c>
      <c r="I60" s="179">
        <v>349267</v>
      </c>
      <c r="J60" s="179">
        <v>0</v>
      </c>
      <c r="K60" s="179">
        <v>1374131</v>
      </c>
      <c r="L60" s="179">
        <v>1374131</v>
      </c>
      <c r="M60" s="179">
        <v>15413602</v>
      </c>
      <c r="N60" s="179">
        <v>7195602</v>
      </c>
    </row>
    <row r="61" spans="1:14" s="156" customFormat="1" x14ac:dyDescent="0.25">
      <c r="A61" s="156" t="s">
        <v>542</v>
      </c>
      <c r="B61" s="156" t="s">
        <v>204</v>
      </c>
      <c r="C61" s="156" t="s">
        <v>205</v>
      </c>
      <c r="D61" s="156" t="s">
        <v>541</v>
      </c>
      <c r="E61" s="179">
        <v>11100000</v>
      </c>
      <c r="F61" s="179">
        <v>11100000</v>
      </c>
      <c r="G61" s="179">
        <v>3800000</v>
      </c>
      <c r="H61" s="179">
        <v>0</v>
      </c>
      <c r="I61" s="179">
        <v>349267</v>
      </c>
      <c r="J61" s="179">
        <v>0</v>
      </c>
      <c r="K61" s="179">
        <v>1326131</v>
      </c>
      <c r="L61" s="179">
        <v>1326131</v>
      </c>
      <c r="M61" s="179">
        <v>9424602</v>
      </c>
      <c r="N61" s="179">
        <v>2124602</v>
      </c>
    </row>
    <row r="62" spans="1:14" s="156" customFormat="1" x14ac:dyDescent="0.25">
      <c r="A62" s="156" t="s">
        <v>542</v>
      </c>
      <c r="B62" s="156" t="s">
        <v>206</v>
      </c>
      <c r="C62" s="156" t="s">
        <v>207</v>
      </c>
      <c r="D62" s="156" t="s">
        <v>541</v>
      </c>
      <c r="E62" s="179">
        <v>5000000</v>
      </c>
      <c r="F62" s="179">
        <v>5000000</v>
      </c>
      <c r="G62" s="179">
        <v>5000000</v>
      </c>
      <c r="H62" s="179">
        <v>0</v>
      </c>
      <c r="I62" s="179">
        <v>0</v>
      </c>
      <c r="J62" s="179">
        <v>0</v>
      </c>
      <c r="K62" s="179">
        <v>0</v>
      </c>
      <c r="L62" s="179">
        <v>0</v>
      </c>
      <c r="M62" s="179">
        <v>5000000</v>
      </c>
      <c r="N62" s="179">
        <v>5000000</v>
      </c>
    </row>
    <row r="63" spans="1:14" s="156" customFormat="1" x14ac:dyDescent="0.25">
      <c r="A63" s="156" t="s">
        <v>542</v>
      </c>
      <c r="B63" s="156" t="s">
        <v>208</v>
      </c>
      <c r="C63" s="156" t="s">
        <v>209</v>
      </c>
      <c r="D63" s="156" t="s">
        <v>541</v>
      </c>
      <c r="E63" s="179">
        <v>126000</v>
      </c>
      <c r="F63" s="179">
        <v>126000</v>
      </c>
      <c r="G63" s="179">
        <v>119000</v>
      </c>
      <c r="H63" s="179">
        <v>0</v>
      </c>
      <c r="I63" s="179">
        <v>0</v>
      </c>
      <c r="J63" s="179">
        <v>0</v>
      </c>
      <c r="K63" s="179">
        <v>48000</v>
      </c>
      <c r="L63" s="179">
        <v>48000</v>
      </c>
      <c r="M63" s="179">
        <v>78000</v>
      </c>
      <c r="N63" s="179">
        <v>71000</v>
      </c>
    </row>
    <row r="64" spans="1:14" s="156" customFormat="1" x14ac:dyDescent="0.25">
      <c r="A64" s="156" t="s">
        <v>542</v>
      </c>
      <c r="B64" s="156" t="s">
        <v>210</v>
      </c>
      <c r="C64" s="156" t="s">
        <v>211</v>
      </c>
      <c r="D64" s="156" t="s">
        <v>541</v>
      </c>
      <c r="E64" s="179">
        <v>911000</v>
      </c>
      <c r="F64" s="179">
        <v>911000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911000</v>
      </c>
      <c r="N64" s="179">
        <v>0</v>
      </c>
    </row>
    <row r="65" spans="1:14" s="156" customFormat="1" x14ac:dyDescent="0.25">
      <c r="A65" s="156" t="s">
        <v>542</v>
      </c>
      <c r="B65" s="156" t="s">
        <v>212</v>
      </c>
      <c r="C65" s="156" t="s">
        <v>213</v>
      </c>
      <c r="D65" s="156" t="s">
        <v>541</v>
      </c>
      <c r="E65" s="179">
        <v>3000000</v>
      </c>
      <c r="F65" s="179">
        <v>3000000</v>
      </c>
      <c r="G65" s="179">
        <v>3000000</v>
      </c>
      <c r="H65" s="179">
        <v>0</v>
      </c>
      <c r="I65" s="179">
        <v>749918</v>
      </c>
      <c r="J65" s="179">
        <v>0</v>
      </c>
      <c r="K65" s="179">
        <v>0</v>
      </c>
      <c r="L65" s="179">
        <v>0</v>
      </c>
      <c r="M65" s="179">
        <v>2250082</v>
      </c>
      <c r="N65" s="179">
        <v>2250082</v>
      </c>
    </row>
    <row r="66" spans="1:14" s="156" customFormat="1" x14ac:dyDescent="0.25">
      <c r="A66" s="156" t="s">
        <v>542</v>
      </c>
      <c r="B66" s="156" t="s">
        <v>214</v>
      </c>
      <c r="C66" s="156" t="s">
        <v>215</v>
      </c>
      <c r="D66" s="156" t="s">
        <v>541</v>
      </c>
      <c r="E66" s="179">
        <v>3000000</v>
      </c>
      <c r="F66" s="179">
        <v>3000000</v>
      </c>
      <c r="G66" s="179">
        <v>3000000</v>
      </c>
      <c r="H66" s="179">
        <v>0</v>
      </c>
      <c r="I66" s="179">
        <v>749918</v>
      </c>
      <c r="J66" s="179">
        <v>0</v>
      </c>
      <c r="K66" s="179">
        <v>0</v>
      </c>
      <c r="L66" s="179">
        <v>0</v>
      </c>
      <c r="M66" s="179">
        <v>2250082</v>
      </c>
      <c r="N66" s="179">
        <v>2250082</v>
      </c>
    </row>
    <row r="67" spans="1:14" s="156" customFormat="1" x14ac:dyDescent="0.25">
      <c r="A67" s="156" t="s">
        <v>542</v>
      </c>
      <c r="B67" s="156" t="s">
        <v>216</v>
      </c>
      <c r="C67" s="156" t="s">
        <v>217</v>
      </c>
      <c r="D67" s="156" t="s">
        <v>541</v>
      </c>
      <c r="E67" s="179">
        <v>936000</v>
      </c>
      <c r="F67" s="179">
        <v>936000</v>
      </c>
      <c r="G67" s="179">
        <v>771000</v>
      </c>
      <c r="H67" s="179">
        <v>771000</v>
      </c>
      <c r="I67" s="179">
        <v>0</v>
      </c>
      <c r="J67" s="179">
        <v>0</v>
      </c>
      <c r="K67" s="179">
        <v>0</v>
      </c>
      <c r="L67" s="179">
        <v>0</v>
      </c>
      <c r="M67" s="179">
        <v>165000</v>
      </c>
      <c r="N67" s="179">
        <v>0</v>
      </c>
    </row>
    <row r="68" spans="1:14" s="156" customFormat="1" x14ac:dyDescent="0.25">
      <c r="A68" s="156" t="s">
        <v>542</v>
      </c>
      <c r="B68" s="156" t="s">
        <v>220</v>
      </c>
      <c r="C68" s="156" t="s">
        <v>221</v>
      </c>
      <c r="D68" s="156" t="s">
        <v>541</v>
      </c>
      <c r="E68" s="179">
        <v>771000</v>
      </c>
      <c r="F68" s="179">
        <v>771000</v>
      </c>
      <c r="G68" s="179">
        <v>771000</v>
      </c>
      <c r="H68" s="179">
        <v>771000</v>
      </c>
      <c r="I68" s="179">
        <v>0</v>
      </c>
      <c r="J68" s="179">
        <v>0</v>
      </c>
      <c r="K68" s="179">
        <v>0</v>
      </c>
      <c r="L68" s="179">
        <v>0</v>
      </c>
      <c r="M68" s="179">
        <v>0</v>
      </c>
      <c r="N68" s="179">
        <v>0</v>
      </c>
    </row>
    <row r="69" spans="1:14" s="156" customFormat="1" x14ac:dyDescent="0.25">
      <c r="A69" s="156" t="s">
        <v>542</v>
      </c>
      <c r="B69" s="156" t="s">
        <v>224</v>
      </c>
      <c r="C69" s="156" t="s">
        <v>225</v>
      </c>
      <c r="D69" s="156" t="s">
        <v>541</v>
      </c>
      <c r="E69" s="179">
        <v>165000</v>
      </c>
      <c r="F69" s="179">
        <v>165000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165000</v>
      </c>
      <c r="N69" s="179">
        <v>0</v>
      </c>
    </row>
    <row r="70" spans="1:14" s="156" customFormat="1" x14ac:dyDescent="0.25">
      <c r="A70" s="156" t="s">
        <v>542</v>
      </c>
      <c r="B70" s="156" t="s">
        <v>228</v>
      </c>
      <c r="C70" s="156" t="s">
        <v>229</v>
      </c>
      <c r="D70" s="156" t="s">
        <v>541</v>
      </c>
      <c r="E70" s="179">
        <v>312000</v>
      </c>
      <c r="F70" s="179">
        <v>312000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312000</v>
      </c>
      <c r="N70" s="179">
        <v>0</v>
      </c>
    </row>
    <row r="71" spans="1:14" s="156" customFormat="1" x14ac:dyDescent="0.25">
      <c r="A71" s="156" t="s">
        <v>542</v>
      </c>
      <c r="B71" s="156" t="s">
        <v>230</v>
      </c>
      <c r="C71" s="156" t="s">
        <v>231</v>
      </c>
      <c r="D71" s="156" t="s">
        <v>541</v>
      </c>
      <c r="E71" s="179">
        <v>206000</v>
      </c>
      <c r="F71" s="179">
        <v>206000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206000</v>
      </c>
      <c r="N71" s="179">
        <v>0</v>
      </c>
    </row>
    <row r="72" spans="1:14" s="156" customFormat="1" x14ac:dyDescent="0.25">
      <c r="A72" s="156" t="s">
        <v>542</v>
      </c>
      <c r="B72" s="156" t="s">
        <v>232</v>
      </c>
      <c r="C72" s="156" t="s">
        <v>233</v>
      </c>
      <c r="D72" s="156" t="s">
        <v>541</v>
      </c>
      <c r="E72" s="179">
        <v>106000</v>
      </c>
      <c r="F72" s="179">
        <v>106000</v>
      </c>
      <c r="G72" s="179">
        <v>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106000</v>
      </c>
      <c r="N72" s="179">
        <v>0</v>
      </c>
    </row>
    <row r="73" spans="1:14" s="156" customFormat="1" x14ac:dyDescent="0.25">
      <c r="A73" s="156" t="s">
        <v>542</v>
      </c>
      <c r="B73" s="156" t="s">
        <v>234</v>
      </c>
      <c r="C73" s="156" t="s">
        <v>601</v>
      </c>
      <c r="D73" s="156" t="s">
        <v>541</v>
      </c>
      <c r="E73" s="179">
        <v>20844000</v>
      </c>
      <c r="F73" s="179">
        <v>20844000</v>
      </c>
      <c r="G73" s="179">
        <v>20844000</v>
      </c>
      <c r="H73" s="179">
        <v>3631296.99</v>
      </c>
      <c r="I73" s="179">
        <v>839524.24</v>
      </c>
      <c r="J73" s="179">
        <v>836804.85</v>
      </c>
      <c r="K73" s="179">
        <v>1568544.21</v>
      </c>
      <c r="L73" s="179">
        <v>1554584</v>
      </c>
      <c r="M73" s="179">
        <v>13967829.710000001</v>
      </c>
      <c r="N73" s="179">
        <v>13967829.710000001</v>
      </c>
    </row>
    <row r="74" spans="1:14" s="156" customFormat="1" x14ac:dyDescent="0.25">
      <c r="A74" s="156" t="s">
        <v>542</v>
      </c>
      <c r="B74" s="156" t="s">
        <v>235</v>
      </c>
      <c r="C74" s="156" t="s">
        <v>236</v>
      </c>
      <c r="D74" s="156" t="s">
        <v>541</v>
      </c>
      <c r="E74" s="179">
        <v>3000000</v>
      </c>
      <c r="F74" s="179">
        <v>3000000</v>
      </c>
      <c r="G74" s="179">
        <v>3000000</v>
      </c>
      <c r="H74" s="179">
        <v>0</v>
      </c>
      <c r="I74" s="179">
        <v>0</v>
      </c>
      <c r="J74" s="179">
        <v>0</v>
      </c>
      <c r="K74" s="179">
        <v>84624</v>
      </c>
      <c r="L74" s="179">
        <v>84624</v>
      </c>
      <c r="M74" s="179">
        <v>2915376</v>
      </c>
      <c r="N74" s="179">
        <v>2915376</v>
      </c>
    </row>
    <row r="75" spans="1:14" s="156" customFormat="1" x14ac:dyDescent="0.25">
      <c r="A75" s="156" t="s">
        <v>542</v>
      </c>
      <c r="B75" s="156" t="s">
        <v>237</v>
      </c>
      <c r="C75" s="156" t="s">
        <v>238</v>
      </c>
      <c r="D75" s="156" t="s">
        <v>541</v>
      </c>
      <c r="E75" s="179">
        <v>271000</v>
      </c>
      <c r="F75" s="179">
        <v>271000</v>
      </c>
      <c r="G75" s="179">
        <v>271000</v>
      </c>
      <c r="H75" s="179">
        <v>157500</v>
      </c>
      <c r="I75" s="179">
        <v>0</v>
      </c>
      <c r="J75" s="179">
        <v>112500</v>
      </c>
      <c r="K75" s="179">
        <v>0</v>
      </c>
      <c r="L75" s="179">
        <v>0</v>
      </c>
      <c r="M75" s="179">
        <v>1000</v>
      </c>
      <c r="N75" s="179">
        <v>1000</v>
      </c>
    </row>
    <row r="76" spans="1:14" s="156" customFormat="1" x14ac:dyDescent="0.25">
      <c r="A76" s="156" t="s">
        <v>542</v>
      </c>
      <c r="B76" s="156" t="s">
        <v>239</v>
      </c>
      <c r="C76" s="156" t="s">
        <v>240</v>
      </c>
      <c r="D76" s="156" t="s">
        <v>541</v>
      </c>
      <c r="E76" s="179">
        <v>12000000</v>
      </c>
      <c r="F76" s="179">
        <v>12000000</v>
      </c>
      <c r="G76" s="179">
        <v>12000000</v>
      </c>
      <c r="H76" s="179">
        <v>0</v>
      </c>
      <c r="I76" s="179">
        <v>839524.24</v>
      </c>
      <c r="J76" s="179">
        <v>615285.35</v>
      </c>
      <c r="K76" s="179">
        <v>1483920.21</v>
      </c>
      <c r="L76" s="179">
        <v>1469960</v>
      </c>
      <c r="M76" s="179">
        <v>9061270.1999999993</v>
      </c>
      <c r="N76" s="179">
        <v>9061270.1999999993</v>
      </c>
    </row>
    <row r="77" spans="1:14" s="156" customFormat="1" x14ac:dyDescent="0.25">
      <c r="A77" s="156" t="s">
        <v>542</v>
      </c>
      <c r="B77" s="156" t="s">
        <v>241</v>
      </c>
      <c r="C77" s="156" t="s">
        <v>242</v>
      </c>
      <c r="D77" s="156" t="s">
        <v>541</v>
      </c>
      <c r="E77" s="179">
        <v>1445000</v>
      </c>
      <c r="F77" s="179">
        <v>1445000</v>
      </c>
      <c r="G77" s="179">
        <v>1445000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1445000</v>
      </c>
      <c r="N77" s="179">
        <v>1445000</v>
      </c>
    </row>
    <row r="78" spans="1:14" s="156" customFormat="1" x14ac:dyDescent="0.25">
      <c r="A78" s="156" t="s">
        <v>542</v>
      </c>
      <c r="B78" s="156" t="s">
        <v>243</v>
      </c>
      <c r="C78" s="156" t="s">
        <v>244</v>
      </c>
      <c r="D78" s="156" t="s">
        <v>541</v>
      </c>
      <c r="E78" s="179">
        <v>2500000</v>
      </c>
      <c r="F78" s="179">
        <v>2500000</v>
      </c>
      <c r="G78" s="179">
        <v>2500000</v>
      </c>
      <c r="H78" s="179">
        <v>2025796.99</v>
      </c>
      <c r="I78" s="179">
        <v>0</v>
      </c>
      <c r="J78" s="179">
        <v>0</v>
      </c>
      <c r="K78" s="179">
        <v>0</v>
      </c>
      <c r="L78" s="179">
        <v>0</v>
      </c>
      <c r="M78" s="179">
        <v>474203.01</v>
      </c>
      <c r="N78" s="179">
        <v>474203.01</v>
      </c>
    </row>
    <row r="79" spans="1:14" s="156" customFormat="1" x14ac:dyDescent="0.25">
      <c r="A79" s="156" t="s">
        <v>542</v>
      </c>
      <c r="B79" s="156" t="s">
        <v>245</v>
      </c>
      <c r="C79" s="156" t="s">
        <v>246</v>
      </c>
      <c r="D79" s="156" t="s">
        <v>541</v>
      </c>
      <c r="E79" s="179">
        <v>66000</v>
      </c>
      <c r="F79" s="179">
        <v>66000</v>
      </c>
      <c r="G79" s="179">
        <v>66000</v>
      </c>
      <c r="H79" s="179">
        <v>0</v>
      </c>
      <c r="I79" s="179">
        <v>0</v>
      </c>
      <c r="J79" s="179">
        <v>0</v>
      </c>
      <c r="K79" s="179">
        <v>0</v>
      </c>
      <c r="L79" s="179">
        <v>0</v>
      </c>
      <c r="M79" s="179">
        <v>66000</v>
      </c>
      <c r="N79" s="179">
        <v>66000</v>
      </c>
    </row>
    <row r="80" spans="1:14" s="156" customFormat="1" x14ac:dyDescent="0.25">
      <c r="A80" s="156" t="s">
        <v>542</v>
      </c>
      <c r="B80" s="156" t="s">
        <v>247</v>
      </c>
      <c r="C80" s="156" t="s">
        <v>248</v>
      </c>
      <c r="D80" s="156" t="s">
        <v>541</v>
      </c>
      <c r="E80" s="179">
        <v>562000</v>
      </c>
      <c r="F80" s="179">
        <v>562000</v>
      </c>
      <c r="G80" s="179">
        <v>562000</v>
      </c>
      <c r="H80" s="179">
        <v>561000</v>
      </c>
      <c r="I80" s="179">
        <v>0</v>
      </c>
      <c r="J80" s="179">
        <v>0</v>
      </c>
      <c r="K80" s="179">
        <v>0</v>
      </c>
      <c r="L80" s="179">
        <v>0</v>
      </c>
      <c r="M80" s="179">
        <v>1000</v>
      </c>
      <c r="N80" s="179">
        <v>1000</v>
      </c>
    </row>
    <row r="81" spans="1:14" s="156" customFormat="1" x14ac:dyDescent="0.25">
      <c r="A81" s="156" t="s">
        <v>542</v>
      </c>
      <c r="B81" s="156" t="s">
        <v>249</v>
      </c>
      <c r="C81" s="156" t="s">
        <v>250</v>
      </c>
      <c r="D81" s="156" t="s">
        <v>541</v>
      </c>
      <c r="E81" s="179">
        <v>1000000</v>
      </c>
      <c r="F81" s="179">
        <v>1000000</v>
      </c>
      <c r="G81" s="179">
        <v>1000000</v>
      </c>
      <c r="H81" s="179">
        <v>887000</v>
      </c>
      <c r="I81" s="179">
        <v>0</v>
      </c>
      <c r="J81" s="179">
        <v>109019.5</v>
      </c>
      <c r="K81" s="179">
        <v>0</v>
      </c>
      <c r="L81" s="179">
        <v>0</v>
      </c>
      <c r="M81" s="179">
        <v>3980.5</v>
      </c>
      <c r="N81" s="179">
        <v>3980.5</v>
      </c>
    </row>
    <row r="82" spans="1:14" s="156" customFormat="1" x14ac:dyDescent="0.25">
      <c r="A82" s="156" t="s">
        <v>542</v>
      </c>
      <c r="B82" s="156" t="s">
        <v>251</v>
      </c>
      <c r="C82" s="156" t="s">
        <v>252</v>
      </c>
      <c r="D82" s="156" t="s">
        <v>541</v>
      </c>
      <c r="E82" s="179">
        <v>731283000</v>
      </c>
      <c r="F82" s="179">
        <v>731283000</v>
      </c>
      <c r="G82" s="179">
        <v>393612500</v>
      </c>
      <c r="H82" s="179">
        <v>0</v>
      </c>
      <c r="I82" s="179">
        <v>28405728.75</v>
      </c>
      <c r="J82" s="179">
        <v>0</v>
      </c>
      <c r="K82" s="179">
        <v>177184642.25</v>
      </c>
      <c r="L82" s="179">
        <v>177184642.25</v>
      </c>
      <c r="M82" s="179">
        <v>525692629</v>
      </c>
      <c r="N82" s="179">
        <v>188022129</v>
      </c>
    </row>
    <row r="83" spans="1:14" s="156" customFormat="1" x14ac:dyDescent="0.25">
      <c r="A83" s="156" t="s">
        <v>542</v>
      </c>
      <c r="B83" s="156" t="s">
        <v>253</v>
      </c>
      <c r="C83" s="156" t="s">
        <v>254</v>
      </c>
      <c r="D83" s="156" t="s">
        <v>541</v>
      </c>
      <c r="E83" s="179">
        <v>268185000</v>
      </c>
      <c r="F83" s="179">
        <v>268185000</v>
      </c>
      <c r="G83" s="179">
        <v>149339403.30000001</v>
      </c>
      <c r="H83" s="179">
        <v>0</v>
      </c>
      <c r="I83" s="179">
        <v>12096718.01</v>
      </c>
      <c r="J83" s="179">
        <v>0</v>
      </c>
      <c r="K83" s="179">
        <v>74242685.290000007</v>
      </c>
      <c r="L83" s="179">
        <v>74242685.290000007</v>
      </c>
      <c r="M83" s="179">
        <v>181845596.69999999</v>
      </c>
      <c r="N83" s="179">
        <v>63000000</v>
      </c>
    </row>
    <row r="84" spans="1:14" s="156" customFormat="1" x14ac:dyDescent="0.25">
      <c r="A84" s="156" t="s">
        <v>542</v>
      </c>
      <c r="B84" s="156" t="s">
        <v>255</v>
      </c>
      <c r="C84" s="156" t="s">
        <v>256</v>
      </c>
      <c r="D84" s="156" t="s">
        <v>541</v>
      </c>
      <c r="E84" s="179">
        <v>2000000</v>
      </c>
      <c r="F84" s="179">
        <v>2000000</v>
      </c>
      <c r="G84" s="179">
        <v>2000000</v>
      </c>
      <c r="H84" s="179">
        <v>0</v>
      </c>
      <c r="I84" s="179">
        <v>0</v>
      </c>
      <c r="J84" s="179">
        <v>0</v>
      </c>
      <c r="K84" s="179">
        <v>2000000</v>
      </c>
      <c r="L84" s="179">
        <v>2000000</v>
      </c>
      <c r="M84" s="179">
        <v>0</v>
      </c>
      <c r="N84" s="179">
        <v>0</v>
      </c>
    </row>
    <row r="85" spans="1:14" s="156" customFormat="1" x14ac:dyDescent="0.25">
      <c r="A85" s="156" t="s">
        <v>542</v>
      </c>
      <c r="B85" s="156" t="s">
        <v>257</v>
      </c>
      <c r="C85" s="156" t="s">
        <v>258</v>
      </c>
      <c r="D85" s="156" t="s">
        <v>541</v>
      </c>
      <c r="E85" s="179">
        <v>250000000</v>
      </c>
      <c r="F85" s="179">
        <v>250000000</v>
      </c>
      <c r="G85" s="179">
        <v>131154403.3</v>
      </c>
      <c r="H85" s="179">
        <v>0</v>
      </c>
      <c r="I85" s="179">
        <v>16000.01</v>
      </c>
      <c r="J85" s="179">
        <v>0</v>
      </c>
      <c r="K85" s="179">
        <v>68138403.290000007</v>
      </c>
      <c r="L85" s="179">
        <v>68138403.290000007</v>
      </c>
      <c r="M85" s="179">
        <v>181845596.69999999</v>
      </c>
      <c r="N85" s="179">
        <v>63000000</v>
      </c>
    </row>
    <row r="86" spans="1:14" s="156" customFormat="1" x14ac:dyDescent="0.25">
      <c r="A86" s="156" t="s">
        <v>542</v>
      </c>
      <c r="B86" s="156" t="s">
        <v>259</v>
      </c>
      <c r="C86" s="156" t="s">
        <v>602</v>
      </c>
      <c r="D86" s="156" t="s">
        <v>541</v>
      </c>
      <c r="E86" s="179">
        <v>13470000</v>
      </c>
      <c r="F86" s="179">
        <v>13470000</v>
      </c>
      <c r="G86" s="179">
        <v>13470000</v>
      </c>
      <c r="H86" s="179">
        <v>0</v>
      </c>
      <c r="I86" s="179">
        <v>10054356</v>
      </c>
      <c r="J86" s="179">
        <v>0</v>
      </c>
      <c r="K86" s="179">
        <v>3415644</v>
      </c>
      <c r="L86" s="179">
        <v>3415644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260</v>
      </c>
      <c r="C87" s="156" t="s">
        <v>603</v>
      </c>
      <c r="D87" s="156" t="s">
        <v>541</v>
      </c>
      <c r="E87" s="179">
        <v>2715000</v>
      </c>
      <c r="F87" s="179">
        <v>2715000</v>
      </c>
      <c r="G87" s="179">
        <v>2715000</v>
      </c>
      <c r="H87" s="179">
        <v>0</v>
      </c>
      <c r="I87" s="179">
        <v>2026362</v>
      </c>
      <c r="J87" s="179">
        <v>0</v>
      </c>
      <c r="K87" s="179">
        <v>688638</v>
      </c>
      <c r="L87" s="179">
        <v>688638</v>
      </c>
      <c r="M87" s="179">
        <v>0</v>
      </c>
      <c r="N87" s="179">
        <v>0</v>
      </c>
    </row>
    <row r="88" spans="1:14" s="156" customFormat="1" x14ac:dyDescent="0.25">
      <c r="A88" s="156" t="s">
        <v>542</v>
      </c>
      <c r="B88" s="156" t="s">
        <v>261</v>
      </c>
      <c r="C88" s="156" t="s">
        <v>262</v>
      </c>
      <c r="D88" s="156" t="s">
        <v>541</v>
      </c>
      <c r="E88" s="179">
        <v>39757000</v>
      </c>
      <c r="F88" s="179">
        <v>39757000</v>
      </c>
      <c r="G88" s="179">
        <v>32602596.699999999</v>
      </c>
      <c r="H88" s="179">
        <v>0</v>
      </c>
      <c r="I88" s="179">
        <v>2767291.24</v>
      </c>
      <c r="J88" s="179">
        <v>0</v>
      </c>
      <c r="K88" s="179">
        <v>10648426.460000001</v>
      </c>
      <c r="L88" s="179">
        <v>10648426.460000001</v>
      </c>
      <c r="M88" s="179">
        <v>26341282.300000001</v>
      </c>
      <c r="N88" s="179">
        <v>19186879</v>
      </c>
    </row>
    <row r="89" spans="1:14" s="156" customFormat="1" x14ac:dyDescent="0.25">
      <c r="A89" s="156" t="s">
        <v>542</v>
      </c>
      <c r="B89" s="156" t="s">
        <v>263</v>
      </c>
      <c r="C89" s="156" t="s">
        <v>264</v>
      </c>
      <c r="D89" s="156" t="s">
        <v>541</v>
      </c>
      <c r="E89" s="179">
        <v>30000000</v>
      </c>
      <c r="F89" s="179">
        <v>30000000</v>
      </c>
      <c r="G89" s="179">
        <v>22845596.699999999</v>
      </c>
      <c r="H89" s="179">
        <v>0</v>
      </c>
      <c r="I89" s="179">
        <v>2767291.24</v>
      </c>
      <c r="J89" s="179">
        <v>0</v>
      </c>
      <c r="K89" s="179">
        <v>10078305.460000001</v>
      </c>
      <c r="L89" s="179">
        <v>10078305.460000001</v>
      </c>
      <c r="M89" s="179">
        <v>17154403.300000001</v>
      </c>
      <c r="N89" s="179">
        <v>10000000</v>
      </c>
    </row>
    <row r="90" spans="1:14" s="156" customFormat="1" x14ac:dyDescent="0.25">
      <c r="A90" s="156" t="s">
        <v>542</v>
      </c>
      <c r="B90" s="156" t="s">
        <v>265</v>
      </c>
      <c r="C90" s="156" t="s">
        <v>266</v>
      </c>
      <c r="D90" s="156" t="s">
        <v>541</v>
      </c>
      <c r="E90" s="179">
        <v>9757000</v>
      </c>
      <c r="F90" s="179">
        <v>9757000</v>
      </c>
      <c r="G90" s="179">
        <v>9757000</v>
      </c>
      <c r="H90" s="179">
        <v>0</v>
      </c>
      <c r="I90" s="179">
        <v>0</v>
      </c>
      <c r="J90" s="179">
        <v>0</v>
      </c>
      <c r="K90" s="179">
        <v>570121</v>
      </c>
      <c r="L90" s="179">
        <v>570121</v>
      </c>
      <c r="M90" s="179">
        <v>9186879</v>
      </c>
      <c r="N90" s="179">
        <v>9186879</v>
      </c>
    </row>
    <row r="91" spans="1:14" s="156" customFormat="1" x14ac:dyDescent="0.25">
      <c r="A91" s="156" t="s">
        <v>542</v>
      </c>
      <c r="B91" s="156" t="s">
        <v>273</v>
      </c>
      <c r="C91" s="156" t="s">
        <v>274</v>
      </c>
      <c r="D91" s="156" t="s">
        <v>541</v>
      </c>
      <c r="E91" s="179">
        <v>423341000</v>
      </c>
      <c r="F91" s="179">
        <v>423341000</v>
      </c>
      <c r="G91" s="179">
        <v>211670500</v>
      </c>
      <c r="H91" s="179">
        <v>0</v>
      </c>
      <c r="I91" s="179">
        <v>13541719.5</v>
      </c>
      <c r="J91" s="179">
        <v>0</v>
      </c>
      <c r="K91" s="179">
        <v>92293530.5</v>
      </c>
      <c r="L91" s="179">
        <v>92293530.5</v>
      </c>
      <c r="M91" s="179">
        <v>317505750</v>
      </c>
      <c r="N91" s="179">
        <v>105835250</v>
      </c>
    </row>
    <row r="92" spans="1:14" s="156" customFormat="1" x14ac:dyDescent="0.25">
      <c r="A92" s="156" t="s">
        <v>542</v>
      </c>
      <c r="B92" s="156" t="s">
        <v>275</v>
      </c>
      <c r="C92" s="156" t="s">
        <v>276</v>
      </c>
      <c r="D92" s="156" t="s">
        <v>541</v>
      </c>
      <c r="E92" s="179">
        <v>406300000</v>
      </c>
      <c r="F92" s="179">
        <v>406300000</v>
      </c>
      <c r="G92" s="179">
        <v>194629500</v>
      </c>
      <c r="H92" s="179">
        <v>0</v>
      </c>
      <c r="I92" s="179">
        <v>0</v>
      </c>
      <c r="J92" s="179">
        <v>0</v>
      </c>
      <c r="K92" s="179">
        <v>88794250</v>
      </c>
      <c r="L92" s="179">
        <v>88794250</v>
      </c>
      <c r="M92" s="179">
        <v>317505750</v>
      </c>
      <c r="N92" s="179">
        <v>105835250</v>
      </c>
    </row>
    <row r="93" spans="1:14" s="156" customFormat="1" x14ac:dyDescent="0.25">
      <c r="A93" s="156" t="s">
        <v>542</v>
      </c>
      <c r="B93" s="156" t="s">
        <v>561</v>
      </c>
      <c r="C93" s="156" t="s">
        <v>584</v>
      </c>
      <c r="D93" s="156" t="s">
        <v>541</v>
      </c>
      <c r="E93" s="179">
        <v>13364000</v>
      </c>
      <c r="F93" s="179">
        <v>13364000</v>
      </c>
      <c r="G93" s="179">
        <v>13364000</v>
      </c>
      <c r="H93" s="179">
        <v>0</v>
      </c>
      <c r="I93" s="179">
        <v>13364000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277</v>
      </c>
      <c r="C94" s="156" t="s">
        <v>278</v>
      </c>
      <c r="D94" s="156" t="s">
        <v>541</v>
      </c>
      <c r="E94" s="179">
        <v>3677000</v>
      </c>
      <c r="F94" s="179">
        <v>3677000</v>
      </c>
      <c r="G94" s="179">
        <v>3677000</v>
      </c>
      <c r="H94" s="179">
        <v>0</v>
      </c>
      <c r="I94" s="179">
        <v>177719.5</v>
      </c>
      <c r="J94" s="179">
        <v>0</v>
      </c>
      <c r="K94" s="179">
        <v>3499280.5</v>
      </c>
      <c r="L94" s="179">
        <v>3499280.5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279</v>
      </c>
      <c r="C95" s="156" t="s">
        <v>280</v>
      </c>
      <c r="D95" s="156" t="s">
        <v>543</v>
      </c>
      <c r="E95" s="179">
        <v>17098648</v>
      </c>
      <c r="F95" s="179">
        <v>17098648</v>
      </c>
      <c r="G95" s="179">
        <v>8549324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17098648</v>
      </c>
      <c r="N95" s="179">
        <v>8549324</v>
      </c>
    </row>
    <row r="96" spans="1:14" s="156" customFormat="1" x14ac:dyDescent="0.25">
      <c r="A96" s="156" t="s">
        <v>542</v>
      </c>
      <c r="B96" s="156" t="s">
        <v>281</v>
      </c>
      <c r="C96" s="156" t="s">
        <v>282</v>
      </c>
      <c r="D96" s="156" t="s">
        <v>543</v>
      </c>
      <c r="E96" s="179">
        <v>16598648</v>
      </c>
      <c r="F96" s="179">
        <v>16598648</v>
      </c>
      <c r="G96" s="179">
        <v>8049324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16598648</v>
      </c>
      <c r="N96" s="179">
        <v>8049324</v>
      </c>
    </row>
    <row r="97" spans="1:14" s="156" customFormat="1" x14ac:dyDescent="0.25">
      <c r="A97" s="156" t="s">
        <v>542</v>
      </c>
      <c r="B97" s="156" t="s">
        <v>283</v>
      </c>
      <c r="C97" s="156" t="s">
        <v>284</v>
      </c>
      <c r="D97" s="156" t="s">
        <v>543</v>
      </c>
      <c r="E97" s="179">
        <v>3000000</v>
      </c>
      <c r="F97" s="179">
        <v>3000000</v>
      </c>
      <c r="G97" s="179">
        <v>788324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3000000</v>
      </c>
      <c r="N97" s="179">
        <v>788324</v>
      </c>
    </row>
    <row r="98" spans="1:14" s="156" customFormat="1" x14ac:dyDescent="0.25">
      <c r="A98" s="156" t="s">
        <v>542</v>
      </c>
      <c r="B98" s="156" t="s">
        <v>285</v>
      </c>
      <c r="C98" s="156" t="s">
        <v>286</v>
      </c>
      <c r="D98" s="156" t="s">
        <v>543</v>
      </c>
      <c r="E98" s="179">
        <v>4000000</v>
      </c>
      <c r="F98" s="179">
        <v>4000000</v>
      </c>
      <c r="G98" s="179">
        <v>2000000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4000000</v>
      </c>
      <c r="N98" s="179">
        <v>2000000</v>
      </c>
    </row>
    <row r="99" spans="1:14" s="156" customFormat="1" x14ac:dyDescent="0.25">
      <c r="A99" s="156" t="s">
        <v>542</v>
      </c>
      <c r="B99" s="156" t="s">
        <v>287</v>
      </c>
      <c r="C99" s="156" t="s">
        <v>288</v>
      </c>
      <c r="D99" s="156" t="s">
        <v>543</v>
      </c>
      <c r="E99" s="179">
        <v>6337648</v>
      </c>
      <c r="F99" s="179">
        <v>6337648</v>
      </c>
      <c r="G99" s="179">
        <v>2000000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6337648</v>
      </c>
      <c r="N99" s="179">
        <v>2000000</v>
      </c>
    </row>
    <row r="100" spans="1:14" s="156" customFormat="1" x14ac:dyDescent="0.25">
      <c r="A100" s="156" t="s">
        <v>542</v>
      </c>
      <c r="B100" s="156" t="s">
        <v>293</v>
      </c>
      <c r="C100" s="156" t="s">
        <v>294</v>
      </c>
      <c r="D100" s="156" t="s">
        <v>543</v>
      </c>
      <c r="E100" s="179">
        <v>2261000</v>
      </c>
      <c r="F100" s="179">
        <v>2261000</v>
      </c>
      <c r="G100" s="179">
        <v>2261000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2261000</v>
      </c>
      <c r="N100" s="179">
        <v>2261000</v>
      </c>
    </row>
    <row r="101" spans="1:14" s="156" customFormat="1" x14ac:dyDescent="0.25">
      <c r="A101" s="156" t="s">
        <v>542</v>
      </c>
      <c r="B101" s="156" t="s">
        <v>295</v>
      </c>
      <c r="C101" s="156" t="s">
        <v>296</v>
      </c>
      <c r="D101" s="156" t="s">
        <v>543</v>
      </c>
      <c r="E101" s="179">
        <v>1000000</v>
      </c>
      <c r="F101" s="179">
        <v>1000000</v>
      </c>
      <c r="G101" s="179">
        <v>1000000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1000000</v>
      </c>
      <c r="N101" s="179">
        <v>1000000</v>
      </c>
    </row>
    <row r="102" spans="1:14" s="156" customFormat="1" x14ac:dyDescent="0.25">
      <c r="A102" s="156" t="s">
        <v>542</v>
      </c>
      <c r="B102" s="156" t="s">
        <v>340</v>
      </c>
      <c r="C102" s="156" t="s">
        <v>341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 t="s">
        <v>542</v>
      </c>
      <c r="B103" s="156" t="s">
        <v>342</v>
      </c>
      <c r="C103" s="156" t="s">
        <v>343</v>
      </c>
      <c r="D103" s="156" t="s">
        <v>543</v>
      </c>
      <c r="E103" s="179">
        <v>500000</v>
      </c>
      <c r="F103" s="179">
        <v>500000</v>
      </c>
      <c r="G103" s="179">
        <v>500000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500000</v>
      </c>
      <c r="N103" s="179">
        <v>500000</v>
      </c>
    </row>
    <row r="104" spans="1:14" s="156" customFormat="1" x14ac:dyDescent="0.25">
      <c r="A104" s="156">
        <v>214780</v>
      </c>
      <c r="B104" s="156" t="s">
        <v>587</v>
      </c>
      <c r="C104" s="156" t="s">
        <v>587</v>
      </c>
      <c r="D104" s="156" t="s">
        <v>541</v>
      </c>
      <c r="E104" s="179">
        <v>1241247489</v>
      </c>
      <c r="F104" s="179">
        <v>1241247489</v>
      </c>
      <c r="G104" s="179">
        <v>1100258743.8499999</v>
      </c>
      <c r="H104" s="179">
        <v>4602506.4800000004</v>
      </c>
      <c r="I104" s="179">
        <v>145114851.06999999</v>
      </c>
      <c r="J104" s="179">
        <v>760238.3</v>
      </c>
      <c r="K104" s="182">
        <v>251047689.12</v>
      </c>
      <c r="L104" s="179">
        <v>247906157.78999999</v>
      </c>
      <c r="M104" s="179">
        <v>839722204.02999997</v>
      </c>
      <c r="N104" s="179">
        <v>698733458.88</v>
      </c>
    </row>
    <row r="105" spans="1:14" s="156" customFormat="1" x14ac:dyDescent="0.25">
      <c r="A105" s="156" t="s">
        <v>544</v>
      </c>
      <c r="B105" s="156" t="s">
        <v>92</v>
      </c>
      <c r="C105" s="156" t="s">
        <v>93</v>
      </c>
      <c r="D105" s="156" t="s">
        <v>541</v>
      </c>
      <c r="E105" s="179">
        <v>953910000</v>
      </c>
      <c r="F105" s="179">
        <v>953910000</v>
      </c>
      <c r="G105" s="179">
        <v>953560000</v>
      </c>
      <c r="H105" s="179">
        <v>0</v>
      </c>
      <c r="I105" s="179">
        <v>107828529</v>
      </c>
      <c r="J105" s="179">
        <v>0</v>
      </c>
      <c r="K105" s="179">
        <v>221643932.38</v>
      </c>
      <c r="L105" s="179">
        <v>221643932.38</v>
      </c>
      <c r="M105" s="179">
        <v>624437538.62</v>
      </c>
      <c r="N105" s="179">
        <v>624087538.62</v>
      </c>
    </row>
    <row r="106" spans="1:14" s="156" customFormat="1" x14ac:dyDescent="0.25">
      <c r="A106" s="156" t="s">
        <v>544</v>
      </c>
      <c r="B106" s="156" t="s">
        <v>94</v>
      </c>
      <c r="C106" s="156" t="s">
        <v>95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79160661.980000004</v>
      </c>
      <c r="L106" s="179">
        <v>79160661.980000004</v>
      </c>
      <c r="M106" s="179">
        <v>304680338.01999998</v>
      </c>
      <c r="N106" s="179">
        <v>304680338.01999998</v>
      </c>
    </row>
    <row r="107" spans="1:14" s="156" customFormat="1" x14ac:dyDescent="0.25">
      <c r="A107" s="156" t="s">
        <v>544</v>
      </c>
      <c r="B107" s="156" t="s">
        <v>96</v>
      </c>
      <c r="C107" s="156" t="s">
        <v>97</v>
      </c>
      <c r="D107" s="156" t="s">
        <v>541</v>
      </c>
      <c r="E107" s="179">
        <v>383841000</v>
      </c>
      <c r="F107" s="179">
        <v>383841000</v>
      </c>
      <c r="G107" s="179">
        <v>383841000</v>
      </c>
      <c r="H107" s="179">
        <v>0</v>
      </c>
      <c r="I107" s="179">
        <v>0</v>
      </c>
      <c r="J107" s="179">
        <v>0</v>
      </c>
      <c r="K107" s="179">
        <v>79160661.980000004</v>
      </c>
      <c r="L107" s="179">
        <v>79160661.980000004</v>
      </c>
      <c r="M107" s="179">
        <v>304680338.01999998</v>
      </c>
      <c r="N107" s="179">
        <v>304680338.01999998</v>
      </c>
    </row>
    <row r="108" spans="1:14" s="156" customFormat="1" x14ac:dyDescent="0.25">
      <c r="A108" s="156" t="s">
        <v>544</v>
      </c>
      <c r="B108" s="156" t="s">
        <v>102</v>
      </c>
      <c r="C108" s="156" t="s">
        <v>103</v>
      </c>
      <c r="D108" s="156" t="s">
        <v>541</v>
      </c>
      <c r="E108" s="179">
        <v>425514000</v>
      </c>
      <c r="F108" s="179">
        <v>425514000</v>
      </c>
      <c r="G108" s="179">
        <v>425164000</v>
      </c>
      <c r="H108" s="179">
        <v>0</v>
      </c>
      <c r="I108" s="179">
        <v>0</v>
      </c>
      <c r="J108" s="179">
        <v>0</v>
      </c>
      <c r="K108" s="179">
        <v>105756799.40000001</v>
      </c>
      <c r="L108" s="179">
        <v>105756799.40000001</v>
      </c>
      <c r="M108" s="179">
        <v>319757200.60000002</v>
      </c>
      <c r="N108" s="179">
        <v>319407200.60000002</v>
      </c>
    </row>
    <row r="109" spans="1:14" s="156" customFormat="1" x14ac:dyDescent="0.25">
      <c r="A109" s="156" t="s">
        <v>544</v>
      </c>
      <c r="B109" s="156" t="s">
        <v>104</v>
      </c>
      <c r="C109" s="156" t="s">
        <v>105</v>
      </c>
      <c r="D109" s="156" t="s">
        <v>541</v>
      </c>
      <c r="E109" s="179">
        <v>70660000</v>
      </c>
      <c r="F109" s="179">
        <v>70660000</v>
      </c>
      <c r="G109" s="179">
        <v>70660000</v>
      </c>
      <c r="H109" s="179">
        <v>0</v>
      </c>
      <c r="I109" s="179">
        <v>0</v>
      </c>
      <c r="J109" s="179">
        <v>0</v>
      </c>
      <c r="K109" s="179">
        <v>13934180.859999999</v>
      </c>
      <c r="L109" s="179">
        <v>13934180.859999999</v>
      </c>
      <c r="M109" s="179">
        <v>56725819.140000001</v>
      </c>
      <c r="N109" s="179">
        <v>56725819.140000001</v>
      </c>
    </row>
    <row r="110" spans="1:14" s="156" customFormat="1" x14ac:dyDescent="0.25">
      <c r="A110" s="156" t="s">
        <v>544</v>
      </c>
      <c r="B110" s="156" t="s">
        <v>106</v>
      </c>
      <c r="C110" s="156" t="s">
        <v>107</v>
      </c>
      <c r="D110" s="156" t="s">
        <v>541</v>
      </c>
      <c r="E110" s="179">
        <v>211191000</v>
      </c>
      <c r="F110" s="179">
        <v>211191000</v>
      </c>
      <c r="G110" s="179">
        <v>211191000</v>
      </c>
      <c r="H110" s="179">
        <v>0</v>
      </c>
      <c r="I110" s="179">
        <v>0</v>
      </c>
      <c r="J110" s="179">
        <v>0</v>
      </c>
      <c r="K110" s="179">
        <v>39778753.210000001</v>
      </c>
      <c r="L110" s="179">
        <v>39778753.210000001</v>
      </c>
      <c r="M110" s="179">
        <v>171412246.78999999</v>
      </c>
      <c r="N110" s="179">
        <v>171412246.78999999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35315000</v>
      </c>
      <c r="H112" s="179">
        <v>0</v>
      </c>
      <c r="I112" s="179">
        <v>0</v>
      </c>
      <c r="J112" s="179">
        <v>0</v>
      </c>
      <c r="K112" s="179">
        <v>7595834.2599999998</v>
      </c>
      <c r="L112" s="179">
        <v>7595834.2599999998</v>
      </c>
      <c r="M112" s="179">
        <v>28069165.739999998</v>
      </c>
      <c r="N112" s="179">
        <v>27719165.739999998</v>
      </c>
    </row>
    <row r="113" spans="1:14" s="156" customFormat="1" x14ac:dyDescent="0.25">
      <c r="A113" s="156" t="s">
        <v>544</v>
      </c>
      <c r="B113" s="156" t="s">
        <v>112</v>
      </c>
      <c r="C113" s="156" t="s">
        <v>113</v>
      </c>
      <c r="D113" s="156" t="s">
        <v>543</v>
      </c>
      <c r="E113" s="179">
        <v>61518000</v>
      </c>
      <c r="F113" s="179">
        <v>61518000</v>
      </c>
      <c r="G113" s="179">
        <v>61518000</v>
      </c>
      <c r="H113" s="179">
        <v>0</v>
      </c>
      <c r="I113" s="179">
        <v>0</v>
      </c>
      <c r="J113" s="179">
        <v>0</v>
      </c>
      <c r="K113" s="179">
        <v>0</v>
      </c>
      <c r="L113" s="179">
        <v>0</v>
      </c>
      <c r="M113" s="179">
        <v>61518000</v>
      </c>
      <c r="N113" s="179">
        <v>61518000</v>
      </c>
    </row>
    <row r="114" spans="1:14" s="156" customFormat="1" x14ac:dyDescent="0.25">
      <c r="A114" s="156" t="s">
        <v>544</v>
      </c>
      <c r="B114" s="156" t="s">
        <v>114</v>
      </c>
      <c r="C114" s="156" t="s">
        <v>115</v>
      </c>
      <c r="D114" s="156" t="s">
        <v>541</v>
      </c>
      <c r="E114" s="179">
        <v>72913000</v>
      </c>
      <c r="F114" s="179">
        <v>72913000</v>
      </c>
      <c r="G114" s="179">
        <v>72913000</v>
      </c>
      <c r="H114" s="179">
        <v>0</v>
      </c>
      <c r="I114" s="179">
        <v>54386702</v>
      </c>
      <c r="J114" s="179">
        <v>0</v>
      </c>
      <c r="K114" s="179">
        <v>18526298</v>
      </c>
      <c r="L114" s="179">
        <v>18526298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301</v>
      </c>
      <c r="C115" s="156" t="s">
        <v>597</v>
      </c>
      <c r="D115" s="156" t="s">
        <v>541</v>
      </c>
      <c r="E115" s="179">
        <v>69174000</v>
      </c>
      <c r="F115" s="179">
        <v>69174000</v>
      </c>
      <c r="G115" s="179">
        <v>69174000</v>
      </c>
      <c r="H115" s="179">
        <v>0</v>
      </c>
      <c r="I115" s="179">
        <v>51597523</v>
      </c>
      <c r="J115" s="179">
        <v>0</v>
      </c>
      <c r="K115" s="179">
        <v>17576477</v>
      </c>
      <c r="L115" s="179">
        <v>17576477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302</v>
      </c>
      <c r="C116" s="156" t="s">
        <v>583</v>
      </c>
      <c r="D116" s="156" t="s">
        <v>541</v>
      </c>
      <c r="E116" s="179">
        <v>3739000</v>
      </c>
      <c r="F116" s="179">
        <v>3739000</v>
      </c>
      <c r="G116" s="179">
        <v>3739000</v>
      </c>
      <c r="H116" s="179">
        <v>0</v>
      </c>
      <c r="I116" s="179">
        <v>2789179</v>
      </c>
      <c r="J116" s="179">
        <v>0</v>
      </c>
      <c r="K116" s="179">
        <v>949821</v>
      </c>
      <c r="L116" s="179">
        <v>949821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118</v>
      </c>
      <c r="C117" s="156" t="s">
        <v>119</v>
      </c>
      <c r="D117" s="156" t="s">
        <v>541</v>
      </c>
      <c r="E117" s="179">
        <v>71642000</v>
      </c>
      <c r="F117" s="179">
        <v>71642000</v>
      </c>
      <c r="G117" s="179">
        <v>71642000</v>
      </c>
      <c r="H117" s="179">
        <v>0</v>
      </c>
      <c r="I117" s="179">
        <v>53441827</v>
      </c>
      <c r="J117" s="179">
        <v>0</v>
      </c>
      <c r="K117" s="179">
        <v>18200173</v>
      </c>
      <c r="L117" s="179">
        <v>18200173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303</v>
      </c>
      <c r="C118" s="156" t="s">
        <v>598</v>
      </c>
      <c r="D118" s="156" t="s">
        <v>541</v>
      </c>
      <c r="E118" s="179">
        <v>37990000</v>
      </c>
      <c r="F118" s="179">
        <v>37990000</v>
      </c>
      <c r="G118" s="179">
        <v>37990000</v>
      </c>
      <c r="H118" s="179">
        <v>0</v>
      </c>
      <c r="I118" s="179">
        <v>28338173</v>
      </c>
      <c r="J118" s="179">
        <v>0</v>
      </c>
      <c r="K118" s="179">
        <v>9651827</v>
      </c>
      <c r="L118" s="179">
        <v>9651827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304</v>
      </c>
      <c r="C119" s="156" t="s">
        <v>599</v>
      </c>
      <c r="D119" s="156" t="s">
        <v>541</v>
      </c>
      <c r="E119" s="179">
        <v>11217000</v>
      </c>
      <c r="F119" s="179">
        <v>11217000</v>
      </c>
      <c r="G119" s="179">
        <v>11217000</v>
      </c>
      <c r="H119" s="179">
        <v>0</v>
      </c>
      <c r="I119" s="179">
        <v>8367550</v>
      </c>
      <c r="J119" s="179">
        <v>0</v>
      </c>
      <c r="K119" s="179">
        <v>2849450</v>
      </c>
      <c r="L119" s="179">
        <v>2849450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305</v>
      </c>
      <c r="C120" s="156" t="s">
        <v>600</v>
      </c>
      <c r="D120" s="156" t="s">
        <v>541</v>
      </c>
      <c r="E120" s="179">
        <v>22435000</v>
      </c>
      <c r="F120" s="179">
        <v>22435000</v>
      </c>
      <c r="G120" s="179">
        <v>22435000</v>
      </c>
      <c r="H120" s="179">
        <v>0</v>
      </c>
      <c r="I120" s="179">
        <v>16736104</v>
      </c>
      <c r="J120" s="179">
        <v>0</v>
      </c>
      <c r="K120" s="179">
        <v>5698896</v>
      </c>
      <c r="L120" s="179">
        <v>5698896</v>
      </c>
      <c r="M120" s="179">
        <v>0</v>
      </c>
      <c r="N120" s="179">
        <v>0</v>
      </c>
    </row>
    <row r="121" spans="1:14" s="156" customFormat="1" x14ac:dyDescent="0.25">
      <c r="A121" s="156" t="s">
        <v>544</v>
      </c>
      <c r="B121" s="156" t="s">
        <v>123</v>
      </c>
      <c r="C121" s="156" t="s">
        <v>124</v>
      </c>
      <c r="D121" s="156" t="s">
        <v>541</v>
      </c>
      <c r="E121" s="179">
        <v>155922650</v>
      </c>
      <c r="F121" s="179">
        <v>155922650</v>
      </c>
      <c r="G121" s="179">
        <v>74057161.849999994</v>
      </c>
      <c r="H121" s="179">
        <v>0</v>
      </c>
      <c r="I121" s="179">
        <v>16519536.57</v>
      </c>
      <c r="J121" s="179">
        <v>0</v>
      </c>
      <c r="K121" s="179">
        <v>20503099.940000001</v>
      </c>
      <c r="L121" s="179">
        <v>18824755.609999999</v>
      </c>
      <c r="M121" s="179">
        <v>118900013.48999999</v>
      </c>
      <c r="N121" s="179">
        <v>37034525.340000004</v>
      </c>
    </row>
    <row r="122" spans="1:14" s="156" customFormat="1" x14ac:dyDescent="0.25">
      <c r="A122" s="156" t="s">
        <v>544</v>
      </c>
      <c r="B122" s="156" t="s">
        <v>125</v>
      </c>
      <c r="C122" s="156" t="s">
        <v>126</v>
      </c>
      <c r="D122" s="156" t="s">
        <v>541</v>
      </c>
      <c r="E122" s="179">
        <v>78966646</v>
      </c>
      <c r="F122" s="179">
        <v>78966646</v>
      </c>
      <c r="G122" s="179">
        <v>39440909</v>
      </c>
      <c r="H122" s="179">
        <v>0</v>
      </c>
      <c r="I122" s="179">
        <v>6550118.0599999996</v>
      </c>
      <c r="J122" s="179">
        <v>0</v>
      </c>
      <c r="K122" s="179">
        <v>12873120.92</v>
      </c>
      <c r="L122" s="179">
        <v>11838226.59</v>
      </c>
      <c r="M122" s="179">
        <v>59543407.020000003</v>
      </c>
      <c r="N122" s="179">
        <v>20017670.02</v>
      </c>
    </row>
    <row r="123" spans="1:14" s="156" customFormat="1" x14ac:dyDescent="0.25">
      <c r="A123" s="156" t="s">
        <v>544</v>
      </c>
      <c r="B123" s="156" t="s">
        <v>306</v>
      </c>
      <c r="C123" s="156" t="s">
        <v>307</v>
      </c>
      <c r="D123" s="156" t="s">
        <v>541</v>
      </c>
      <c r="E123" s="179">
        <v>67899341</v>
      </c>
      <c r="F123" s="179">
        <v>67899341</v>
      </c>
      <c r="G123" s="179">
        <v>32974082</v>
      </c>
      <c r="H123" s="179">
        <v>0</v>
      </c>
      <c r="I123" s="179">
        <v>5477513.3200000003</v>
      </c>
      <c r="J123" s="179">
        <v>0</v>
      </c>
      <c r="K123" s="179">
        <v>11496568.68</v>
      </c>
      <c r="L123" s="179">
        <v>11496568.68</v>
      </c>
      <c r="M123" s="179">
        <v>50925259</v>
      </c>
      <c r="N123" s="179">
        <v>16000000</v>
      </c>
    </row>
    <row r="124" spans="1:14" s="156" customFormat="1" x14ac:dyDescent="0.25">
      <c r="A124" s="156" t="s">
        <v>544</v>
      </c>
      <c r="B124" s="156" t="s">
        <v>127</v>
      </c>
      <c r="C124" s="156" t="s">
        <v>128</v>
      </c>
      <c r="D124" s="156" t="s">
        <v>541</v>
      </c>
      <c r="E124" s="179">
        <v>11067305</v>
      </c>
      <c r="F124" s="179">
        <v>11067305</v>
      </c>
      <c r="G124" s="179">
        <v>6466827</v>
      </c>
      <c r="H124" s="179">
        <v>0</v>
      </c>
      <c r="I124" s="179">
        <v>1072604.74</v>
      </c>
      <c r="J124" s="179">
        <v>0</v>
      </c>
      <c r="K124" s="179">
        <v>1376552.24</v>
      </c>
      <c r="L124" s="179">
        <v>341657.91</v>
      </c>
      <c r="M124" s="179">
        <v>8618148.0199999996</v>
      </c>
      <c r="N124" s="179">
        <v>4017670.02</v>
      </c>
    </row>
    <row r="125" spans="1:14" s="156" customFormat="1" x14ac:dyDescent="0.25">
      <c r="A125" s="156" t="s">
        <v>544</v>
      </c>
      <c r="B125" s="156" t="s">
        <v>131</v>
      </c>
      <c r="C125" s="156" t="s">
        <v>132</v>
      </c>
      <c r="D125" s="156" t="s">
        <v>541</v>
      </c>
      <c r="E125" s="179">
        <v>14518657</v>
      </c>
      <c r="F125" s="179">
        <v>14482767</v>
      </c>
      <c r="G125" s="179">
        <v>8423775</v>
      </c>
      <c r="H125" s="179">
        <v>0</v>
      </c>
      <c r="I125" s="179">
        <v>1188226.51</v>
      </c>
      <c r="J125" s="179">
        <v>0</v>
      </c>
      <c r="K125" s="179">
        <v>3410491.02</v>
      </c>
      <c r="L125" s="179">
        <v>3410491.02</v>
      </c>
      <c r="M125" s="179">
        <v>9884049.4700000007</v>
      </c>
      <c r="N125" s="179">
        <v>3825057.47</v>
      </c>
    </row>
    <row r="126" spans="1:14" s="156" customFormat="1" x14ac:dyDescent="0.25">
      <c r="A126" s="156" t="s">
        <v>544</v>
      </c>
      <c r="B126" s="156" t="s">
        <v>133</v>
      </c>
      <c r="C126" s="156" t="s">
        <v>134</v>
      </c>
      <c r="D126" s="156" t="s">
        <v>541</v>
      </c>
      <c r="E126" s="179">
        <v>1280000</v>
      </c>
      <c r="F126" s="179">
        <v>1244110</v>
      </c>
      <c r="G126" s="179">
        <v>634110</v>
      </c>
      <c r="H126" s="179">
        <v>0</v>
      </c>
      <c r="I126" s="179">
        <v>23284</v>
      </c>
      <c r="J126" s="179">
        <v>0</v>
      </c>
      <c r="K126" s="179">
        <v>236296</v>
      </c>
      <c r="L126" s="179">
        <v>236296</v>
      </c>
      <c r="M126" s="179">
        <v>984530</v>
      </c>
      <c r="N126" s="179">
        <v>374530</v>
      </c>
    </row>
    <row r="127" spans="1:14" s="156" customFormat="1" x14ac:dyDescent="0.25">
      <c r="A127" s="156" t="s">
        <v>544</v>
      </c>
      <c r="B127" s="156" t="s">
        <v>135</v>
      </c>
      <c r="C127" s="156" t="s">
        <v>136</v>
      </c>
      <c r="D127" s="156" t="s">
        <v>541</v>
      </c>
      <c r="E127" s="179">
        <v>3685715</v>
      </c>
      <c r="F127" s="179">
        <v>3685715</v>
      </c>
      <c r="G127" s="179">
        <v>1671429</v>
      </c>
      <c r="H127" s="179">
        <v>0</v>
      </c>
      <c r="I127" s="179">
        <v>202285</v>
      </c>
      <c r="J127" s="179">
        <v>0</v>
      </c>
      <c r="K127" s="179">
        <v>719044</v>
      </c>
      <c r="L127" s="179">
        <v>719044</v>
      </c>
      <c r="M127" s="179">
        <v>2764386</v>
      </c>
      <c r="N127" s="179">
        <v>750100</v>
      </c>
    </row>
    <row r="128" spans="1:14" s="156" customFormat="1" x14ac:dyDescent="0.25">
      <c r="A128" s="156" t="s">
        <v>544</v>
      </c>
      <c r="B128" s="156" t="s">
        <v>139</v>
      </c>
      <c r="C128" s="156" t="s">
        <v>140</v>
      </c>
      <c r="D128" s="156" t="s">
        <v>541</v>
      </c>
      <c r="E128" s="179">
        <v>9552942</v>
      </c>
      <c r="F128" s="179">
        <v>9552942</v>
      </c>
      <c r="G128" s="179">
        <v>6118236</v>
      </c>
      <c r="H128" s="179">
        <v>0</v>
      </c>
      <c r="I128" s="179">
        <v>962657.51</v>
      </c>
      <c r="J128" s="179">
        <v>0</v>
      </c>
      <c r="K128" s="179">
        <v>2455151.02</v>
      </c>
      <c r="L128" s="179">
        <v>2455151.02</v>
      </c>
      <c r="M128" s="179">
        <v>6135133.4699999997</v>
      </c>
      <c r="N128" s="179">
        <v>2700427.47</v>
      </c>
    </row>
    <row r="129" spans="1:14" s="156" customFormat="1" x14ac:dyDescent="0.25">
      <c r="A129" s="156" t="s">
        <v>544</v>
      </c>
      <c r="B129" s="156" t="s">
        <v>143</v>
      </c>
      <c r="C129" s="156" t="s">
        <v>144</v>
      </c>
      <c r="D129" s="156" t="s">
        <v>541</v>
      </c>
      <c r="E129" s="179">
        <v>16719000</v>
      </c>
      <c r="F129" s="179">
        <v>16719000</v>
      </c>
      <c r="G129" s="179">
        <v>3268000</v>
      </c>
      <c r="H129" s="179">
        <v>0</v>
      </c>
      <c r="I129" s="179">
        <v>2100000</v>
      </c>
      <c r="J129" s="179">
        <v>0</v>
      </c>
      <c r="K129" s="179">
        <v>0</v>
      </c>
      <c r="L129" s="179">
        <v>0</v>
      </c>
      <c r="M129" s="179">
        <v>14619000</v>
      </c>
      <c r="N129" s="179">
        <v>1168000</v>
      </c>
    </row>
    <row r="130" spans="1:14" s="156" customFormat="1" x14ac:dyDescent="0.25">
      <c r="A130" s="156" t="s">
        <v>544</v>
      </c>
      <c r="B130" s="156" t="s">
        <v>145</v>
      </c>
      <c r="C130" s="156" t="s">
        <v>146</v>
      </c>
      <c r="D130" s="156" t="s">
        <v>541</v>
      </c>
      <c r="E130" s="179">
        <v>719000</v>
      </c>
      <c r="F130" s="179">
        <v>719000</v>
      </c>
      <c r="G130" s="179">
        <v>180000</v>
      </c>
      <c r="H130" s="179">
        <v>0</v>
      </c>
      <c r="I130" s="179">
        <v>80000</v>
      </c>
      <c r="J130" s="179">
        <v>0</v>
      </c>
      <c r="K130" s="179">
        <v>0</v>
      </c>
      <c r="L130" s="179">
        <v>0</v>
      </c>
      <c r="M130" s="179">
        <v>639000</v>
      </c>
      <c r="N130" s="179">
        <v>100000</v>
      </c>
    </row>
    <row r="131" spans="1:14" s="156" customFormat="1" x14ac:dyDescent="0.25">
      <c r="A131" s="156" t="s">
        <v>544</v>
      </c>
      <c r="B131" s="156" t="s">
        <v>147</v>
      </c>
      <c r="C131" s="156" t="s">
        <v>148</v>
      </c>
      <c r="D131" s="156" t="s">
        <v>541</v>
      </c>
      <c r="E131" s="179">
        <v>16000000</v>
      </c>
      <c r="F131" s="179">
        <v>16000000</v>
      </c>
      <c r="G131" s="179">
        <v>3088000</v>
      </c>
      <c r="H131" s="179">
        <v>0</v>
      </c>
      <c r="I131" s="179">
        <v>2020000</v>
      </c>
      <c r="J131" s="179">
        <v>0</v>
      </c>
      <c r="K131" s="179">
        <v>0</v>
      </c>
      <c r="L131" s="179">
        <v>0</v>
      </c>
      <c r="M131" s="179">
        <v>13980000</v>
      </c>
      <c r="N131" s="179">
        <v>1068000</v>
      </c>
    </row>
    <row r="132" spans="1:14" s="156" customFormat="1" x14ac:dyDescent="0.25">
      <c r="A132" s="156" t="s">
        <v>544</v>
      </c>
      <c r="B132" s="156" t="s">
        <v>151</v>
      </c>
      <c r="C132" s="156" t="s">
        <v>152</v>
      </c>
      <c r="D132" s="156" t="s">
        <v>541</v>
      </c>
      <c r="E132" s="179">
        <v>2200000</v>
      </c>
      <c r="F132" s="179">
        <v>2200000</v>
      </c>
      <c r="G132" s="179">
        <v>1617240</v>
      </c>
      <c r="H132" s="179">
        <v>0</v>
      </c>
      <c r="I132" s="179">
        <v>149900</v>
      </c>
      <c r="J132" s="179">
        <v>0</v>
      </c>
      <c r="K132" s="179">
        <v>1117240</v>
      </c>
      <c r="L132" s="179">
        <v>1067240</v>
      </c>
      <c r="M132" s="179">
        <v>932860</v>
      </c>
      <c r="N132" s="179">
        <v>350100</v>
      </c>
    </row>
    <row r="133" spans="1:14" s="156" customFormat="1" x14ac:dyDescent="0.25">
      <c r="A133" s="156" t="s">
        <v>544</v>
      </c>
      <c r="B133" s="156" t="s">
        <v>154</v>
      </c>
      <c r="C133" s="156" t="s">
        <v>155</v>
      </c>
      <c r="D133" s="156" t="s">
        <v>541</v>
      </c>
      <c r="E133" s="179">
        <v>1200000</v>
      </c>
      <c r="F133" s="179">
        <v>1200000</v>
      </c>
      <c r="G133" s="179">
        <v>1117240</v>
      </c>
      <c r="H133" s="179">
        <v>0</v>
      </c>
      <c r="I133" s="179">
        <v>0</v>
      </c>
      <c r="J133" s="179">
        <v>0</v>
      </c>
      <c r="K133" s="179">
        <v>1017240</v>
      </c>
      <c r="L133" s="179">
        <v>1017240</v>
      </c>
      <c r="M133" s="179">
        <v>182760</v>
      </c>
      <c r="N133" s="179">
        <v>100000</v>
      </c>
    </row>
    <row r="134" spans="1:14" s="156" customFormat="1" x14ac:dyDescent="0.25">
      <c r="A134" s="156" t="s">
        <v>544</v>
      </c>
      <c r="B134" s="156" t="s">
        <v>156</v>
      </c>
      <c r="C134" s="156" t="s">
        <v>157</v>
      </c>
      <c r="D134" s="156" t="s">
        <v>541</v>
      </c>
      <c r="E134" s="179">
        <v>1000000</v>
      </c>
      <c r="F134" s="179">
        <v>1000000</v>
      </c>
      <c r="G134" s="179">
        <v>500000</v>
      </c>
      <c r="H134" s="179">
        <v>0</v>
      </c>
      <c r="I134" s="179">
        <v>149900</v>
      </c>
      <c r="J134" s="179">
        <v>0</v>
      </c>
      <c r="K134" s="179">
        <v>100000</v>
      </c>
      <c r="L134" s="179">
        <v>50000</v>
      </c>
      <c r="M134" s="179">
        <v>750100</v>
      </c>
      <c r="N134" s="179">
        <v>250100</v>
      </c>
    </row>
    <row r="135" spans="1:14" s="156" customFormat="1" x14ac:dyDescent="0.25">
      <c r="A135" s="156" t="s">
        <v>544</v>
      </c>
      <c r="B135" s="156" t="s">
        <v>158</v>
      </c>
      <c r="C135" s="156" t="s">
        <v>159</v>
      </c>
      <c r="D135" s="156" t="s">
        <v>541</v>
      </c>
      <c r="E135" s="179">
        <v>6813730</v>
      </c>
      <c r="F135" s="179">
        <v>6849620</v>
      </c>
      <c r="G135" s="179">
        <v>5726823</v>
      </c>
      <c r="H135" s="179">
        <v>0</v>
      </c>
      <c r="I135" s="179">
        <v>1032340</v>
      </c>
      <c r="J135" s="179">
        <v>0</v>
      </c>
      <c r="K135" s="179">
        <v>1692700</v>
      </c>
      <c r="L135" s="179">
        <v>1619250</v>
      </c>
      <c r="M135" s="179">
        <v>4124580</v>
      </c>
      <c r="N135" s="179">
        <v>3001783</v>
      </c>
    </row>
    <row r="136" spans="1:14" s="156" customFormat="1" x14ac:dyDescent="0.25">
      <c r="A136" s="156" t="s">
        <v>544</v>
      </c>
      <c r="B136" s="156" t="s">
        <v>160</v>
      </c>
      <c r="C136" s="156" t="s">
        <v>161</v>
      </c>
      <c r="D136" s="156" t="s">
        <v>541</v>
      </c>
      <c r="E136" s="179">
        <v>250000</v>
      </c>
      <c r="F136" s="179">
        <v>285890</v>
      </c>
      <c r="G136" s="179">
        <v>285890</v>
      </c>
      <c r="H136" s="179">
        <v>0</v>
      </c>
      <c r="I136" s="179">
        <v>285890</v>
      </c>
      <c r="J136" s="179">
        <v>0</v>
      </c>
      <c r="K136" s="179">
        <v>0</v>
      </c>
      <c r="L136" s="179">
        <v>0</v>
      </c>
      <c r="M136" s="179">
        <v>0</v>
      </c>
      <c r="N136" s="179">
        <v>0</v>
      </c>
    </row>
    <row r="137" spans="1:14" s="156" customFormat="1" x14ac:dyDescent="0.25">
      <c r="A137" s="156" t="s">
        <v>544</v>
      </c>
      <c r="B137" s="156" t="s">
        <v>162</v>
      </c>
      <c r="C137" s="156" t="s">
        <v>163</v>
      </c>
      <c r="D137" s="156" t="s">
        <v>541</v>
      </c>
      <c r="E137" s="179">
        <v>6563730</v>
      </c>
      <c r="F137" s="179">
        <v>6563730</v>
      </c>
      <c r="G137" s="179">
        <v>5440933</v>
      </c>
      <c r="H137" s="179">
        <v>0</v>
      </c>
      <c r="I137" s="179">
        <v>746450</v>
      </c>
      <c r="J137" s="179">
        <v>0</v>
      </c>
      <c r="K137" s="179">
        <v>1692700</v>
      </c>
      <c r="L137" s="179">
        <v>1619250</v>
      </c>
      <c r="M137" s="179">
        <v>4124580</v>
      </c>
      <c r="N137" s="179">
        <v>3001783</v>
      </c>
    </row>
    <row r="138" spans="1:14" s="156" customFormat="1" x14ac:dyDescent="0.25">
      <c r="A138" s="156" t="s">
        <v>544</v>
      </c>
      <c r="B138" s="156" t="s">
        <v>168</v>
      </c>
      <c r="C138" s="156" t="s">
        <v>169</v>
      </c>
      <c r="D138" s="156" t="s">
        <v>541</v>
      </c>
      <c r="E138" s="179">
        <v>4277392</v>
      </c>
      <c r="F138" s="179">
        <v>4277392</v>
      </c>
      <c r="G138" s="179">
        <v>1999348</v>
      </c>
      <c r="H138" s="179">
        <v>0</v>
      </c>
      <c r="I138" s="179">
        <v>100452</v>
      </c>
      <c r="J138" s="179">
        <v>0</v>
      </c>
      <c r="K138" s="179">
        <v>889548</v>
      </c>
      <c r="L138" s="179">
        <v>889548</v>
      </c>
      <c r="M138" s="179">
        <v>3287392</v>
      </c>
      <c r="N138" s="179">
        <v>1009348</v>
      </c>
    </row>
    <row r="139" spans="1:14" s="156" customFormat="1" x14ac:dyDescent="0.25">
      <c r="A139" s="156" t="s">
        <v>544</v>
      </c>
      <c r="B139" s="156" t="s">
        <v>170</v>
      </c>
      <c r="C139" s="156" t="s">
        <v>171</v>
      </c>
      <c r="D139" s="156" t="s">
        <v>541</v>
      </c>
      <c r="E139" s="179">
        <v>4277392</v>
      </c>
      <c r="F139" s="179">
        <v>4277392</v>
      </c>
      <c r="G139" s="179">
        <v>1999348</v>
      </c>
      <c r="H139" s="179">
        <v>0</v>
      </c>
      <c r="I139" s="179">
        <v>100452</v>
      </c>
      <c r="J139" s="179">
        <v>0</v>
      </c>
      <c r="K139" s="179">
        <v>889548</v>
      </c>
      <c r="L139" s="179">
        <v>889548</v>
      </c>
      <c r="M139" s="179">
        <v>3287392</v>
      </c>
      <c r="N139" s="179">
        <v>1009348</v>
      </c>
    </row>
    <row r="140" spans="1:14" s="156" customFormat="1" x14ac:dyDescent="0.25">
      <c r="A140" s="156" t="s">
        <v>544</v>
      </c>
      <c r="B140" s="156" t="s">
        <v>172</v>
      </c>
      <c r="C140" s="156" t="s">
        <v>173</v>
      </c>
      <c r="D140" s="156" t="s">
        <v>541</v>
      </c>
      <c r="E140" s="179">
        <v>12267225</v>
      </c>
      <c r="F140" s="179">
        <v>12267225</v>
      </c>
      <c r="G140" s="179">
        <v>6506807</v>
      </c>
      <c r="H140" s="179">
        <v>0</v>
      </c>
      <c r="I140" s="179">
        <v>2475000</v>
      </c>
      <c r="J140" s="179">
        <v>0</v>
      </c>
      <c r="K140" s="179">
        <v>520000</v>
      </c>
      <c r="L140" s="179">
        <v>0</v>
      </c>
      <c r="M140" s="179">
        <v>9272225</v>
      </c>
      <c r="N140" s="179">
        <v>3511807</v>
      </c>
    </row>
    <row r="141" spans="1:14" s="156" customFormat="1" x14ac:dyDescent="0.25">
      <c r="A141" s="156" t="s">
        <v>544</v>
      </c>
      <c r="B141" s="156" t="s">
        <v>309</v>
      </c>
      <c r="C141" s="156" t="s">
        <v>310</v>
      </c>
      <c r="D141" s="156" t="s">
        <v>541</v>
      </c>
      <c r="E141" s="179">
        <v>12267225</v>
      </c>
      <c r="F141" s="179">
        <v>12267225</v>
      </c>
      <c r="G141" s="179">
        <v>6506807</v>
      </c>
      <c r="H141" s="179">
        <v>0</v>
      </c>
      <c r="I141" s="179">
        <v>2475000</v>
      </c>
      <c r="J141" s="179">
        <v>0</v>
      </c>
      <c r="K141" s="179">
        <v>520000</v>
      </c>
      <c r="L141" s="179">
        <v>0</v>
      </c>
      <c r="M141" s="179">
        <v>9272225</v>
      </c>
      <c r="N141" s="179">
        <v>3511807</v>
      </c>
    </row>
    <row r="142" spans="1:14" s="156" customFormat="1" x14ac:dyDescent="0.25">
      <c r="A142" s="156" t="s">
        <v>544</v>
      </c>
      <c r="B142" s="156" t="s">
        <v>178</v>
      </c>
      <c r="C142" s="156" t="s">
        <v>179</v>
      </c>
      <c r="D142" s="156" t="s">
        <v>541</v>
      </c>
      <c r="E142" s="179">
        <v>17894000</v>
      </c>
      <c r="F142" s="179">
        <v>17894000</v>
      </c>
      <c r="G142" s="179">
        <v>6774260</v>
      </c>
      <c r="H142" s="179">
        <v>0</v>
      </c>
      <c r="I142" s="179">
        <v>2873500</v>
      </c>
      <c r="J142" s="179">
        <v>0</v>
      </c>
      <c r="K142" s="179">
        <v>0</v>
      </c>
      <c r="L142" s="179">
        <v>0</v>
      </c>
      <c r="M142" s="179">
        <v>15020500</v>
      </c>
      <c r="N142" s="179">
        <v>3900760</v>
      </c>
    </row>
    <row r="143" spans="1:14" s="156" customFormat="1" x14ac:dyDescent="0.25">
      <c r="A143" s="156" t="s">
        <v>544</v>
      </c>
      <c r="B143" s="156" t="s">
        <v>182</v>
      </c>
      <c r="C143" s="156" t="s">
        <v>183</v>
      </c>
      <c r="D143" s="156" t="s">
        <v>541</v>
      </c>
      <c r="E143" s="179">
        <v>7000000</v>
      </c>
      <c r="F143" s="179">
        <v>7000000</v>
      </c>
      <c r="G143" s="179">
        <v>2550000</v>
      </c>
      <c r="H143" s="179">
        <v>0</v>
      </c>
      <c r="I143" s="179">
        <v>1750000</v>
      </c>
      <c r="J143" s="179">
        <v>0</v>
      </c>
      <c r="K143" s="179">
        <v>0</v>
      </c>
      <c r="L143" s="179">
        <v>0</v>
      </c>
      <c r="M143" s="179">
        <v>5250000</v>
      </c>
      <c r="N143" s="179">
        <v>800000</v>
      </c>
    </row>
    <row r="144" spans="1:14" s="156" customFormat="1" x14ac:dyDescent="0.25">
      <c r="A144" s="156" t="s">
        <v>544</v>
      </c>
      <c r="B144" s="156" t="s">
        <v>186</v>
      </c>
      <c r="C144" s="156" t="s">
        <v>187</v>
      </c>
      <c r="D144" s="156" t="s">
        <v>541</v>
      </c>
      <c r="E144" s="179">
        <v>3000000</v>
      </c>
      <c r="F144" s="179">
        <v>3000000</v>
      </c>
      <c r="G144" s="179">
        <v>800760</v>
      </c>
      <c r="H144" s="179">
        <v>0</v>
      </c>
      <c r="I144" s="179">
        <v>0</v>
      </c>
      <c r="J144" s="179">
        <v>0</v>
      </c>
      <c r="K144" s="179">
        <v>0</v>
      </c>
      <c r="L144" s="179">
        <v>0</v>
      </c>
      <c r="M144" s="179">
        <v>3000000</v>
      </c>
      <c r="N144" s="179">
        <v>800760</v>
      </c>
    </row>
    <row r="145" spans="1:14" s="156" customFormat="1" x14ac:dyDescent="0.25">
      <c r="A145" s="156" t="s">
        <v>544</v>
      </c>
      <c r="B145" s="156" t="s">
        <v>188</v>
      </c>
      <c r="C145" s="156" t="s">
        <v>189</v>
      </c>
      <c r="D145" s="156" t="s">
        <v>541</v>
      </c>
      <c r="E145" s="179">
        <v>4494000</v>
      </c>
      <c r="F145" s="179">
        <v>4494000</v>
      </c>
      <c r="G145" s="179">
        <v>2623500</v>
      </c>
      <c r="H145" s="179">
        <v>0</v>
      </c>
      <c r="I145" s="179">
        <v>1123500</v>
      </c>
      <c r="J145" s="179">
        <v>0</v>
      </c>
      <c r="K145" s="179">
        <v>0</v>
      </c>
      <c r="L145" s="179">
        <v>0</v>
      </c>
      <c r="M145" s="179">
        <v>3370500</v>
      </c>
      <c r="N145" s="179">
        <v>1500000</v>
      </c>
    </row>
    <row r="146" spans="1:14" s="156" customFormat="1" x14ac:dyDescent="0.25">
      <c r="A146" s="156" t="s">
        <v>544</v>
      </c>
      <c r="B146" s="156" t="s">
        <v>190</v>
      </c>
      <c r="C146" s="156" t="s">
        <v>191</v>
      </c>
      <c r="D146" s="156" t="s">
        <v>541</v>
      </c>
      <c r="E146" s="179">
        <v>3400000</v>
      </c>
      <c r="F146" s="179">
        <v>3400000</v>
      </c>
      <c r="G146" s="179">
        <v>800000</v>
      </c>
      <c r="H146" s="179">
        <v>0</v>
      </c>
      <c r="I146" s="179">
        <v>0</v>
      </c>
      <c r="J146" s="179">
        <v>0</v>
      </c>
      <c r="K146" s="179">
        <v>0</v>
      </c>
      <c r="L146" s="179">
        <v>0</v>
      </c>
      <c r="M146" s="179">
        <v>3400000</v>
      </c>
      <c r="N146" s="179">
        <v>800000</v>
      </c>
    </row>
    <row r="147" spans="1:14" s="156" customFormat="1" x14ac:dyDescent="0.25">
      <c r="A147" s="156" t="s">
        <v>544</v>
      </c>
      <c r="B147" s="156" t="s">
        <v>192</v>
      </c>
      <c r="C147" s="156" t="s">
        <v>193</v>
      </c>
      <c r="D147" s="156" t="s">
        <v>541</v>
      </c>
      <c r="E147" s="179">
        <v>466000</v>
      </c>
      <c r="F147" s="179">
        <v>466000</v>
      </c>
      <c r="G147" s="179">
        <v>150000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416000</v>
      </c>
      <c r="N147" s="179">
        <v>100000</v>
      </c>
    </row>
    <row r="148" spans="1:14" s="156" customFormat="1" x14ac:dyDescent="0.25">
      <c r="A148" s="156" t="s">
        <v>544</v>
      </c>
      <c r="B148" s="156" t="s">
        <v>194</v>
      </c>
      <c r="C148" s="156" t="s">
        <v>195</v>
      </c>
      <c r="D148" s="156" t="s">
        <v>541</v>
      </c>
      <c r="E148" s="179">
        <v>466000</v>
      </c>
      <c r="F148" s="179">
        <v>466000</v>
      </c>
      <c r="G148" s="179">
        <v>150000</v>
      </c>
      <c r="H148" s="179">
        <v>0</v>
      </c>
      <c r="I148" s="179">
        <v>50000</v>
      </c>
      <c r="J148" s="179">
        <v>0</v>
      </c>
      <c r="K148" s="179">
        <v>0</v>
      </c>
      <c r="L148" s="179">
        <v>0</v>
      </c>
      <c r="M148" s="179">
        <v>416000</v>
      </c>
      <c r="N148" s="179">
        <v>100000</v>
      </c>
    </row>
    <row r="149" spans="1:14" s="156" customFormat="1" x14ac:dyDescent="0.25">
      <c r="A149" s="156" t="s">
        <v>544</v>
      </c>
      <c r="B149" s="156" t="s">
        <v>196</v>
      </c>
      <c r="C149" s="156" t="s">
        <v>197</v>
      </c>
      <c r="D149" s="156" t="s">
        <v>541</v>
      </c>
      <c r="E149" s="179">
        <v>1800000</v>
      </c>
      <c r="F149" s="179">
        <v>1800000</v>
      </c>
      <c r="G149" s="179">
        <v>149999.85</v>
      </c>
      <c r="H149" s="179">
        <v>0</v>
      </c>
      <c r="I149" s="179">
        <v>0</v>
      </c>
      <c r="J149" s="179">
        <v>0</v>
      </c>
      <c r="K149" s="179">
        <v>0</v>
      </c>
      <c r="L149" s="179">
        <v>0</v>
      </c>
      <c r="M149" s="179">
        <v>1800000</v>
      </c>
      <c r="N149" s="179">
        <v>149999.85</v>
      </c>
    </row>
    <row r="150" spans="1:14" s="156" customFormat="1" x14ac:dyDescent="0.25">
      <c r="A150" s="156" t="s">
        <v>544</v>
      </c>
      <c r="B150" s="156" t="s">
        <v>198</v>
      </c>
      <c r="C150" s="156" t="s">
        <v>199</v>
      </c>
      <c r="D150" s="156" t="s">
        <v>541</v>
      </c>
      <c r="E150" s="179">
        <v>1800000</v>
      </c>
      <c r="F150" s="179">
        <v>1800000</v>
      </c>
      <c r="G150" s="179">
        <v>149999.85</v>
      </c>
      <c r="H150" s="179">
        <v>0</v>
      </c>
      <c r="I150" s="179">
        <v>0</v>
      </c>
      <c r="J150" s="179">
        <v>0</v>
      </c>
      <c r="K150" s="179">
        <v>0</v>
      </c>
      <c r="L150" s="179">
        <v>0</v>
      </c>
      <c r="M150" s="179">
        <v>1800000</v>
      </c>
      <c r="N150" s="179">
        <v>149999.85</v>
      </c>
    </row>
    <row r="151" spans="1:14" s="156" customFormat="1" x14ac:dyDescent="0.25">
      <c r="A151" s="156" t="s">
        <v>544</v>
      </c>
      <c r="B151" s="156" t="s">
        <v>200</v>
      </c>
      <c r="C151" s="156" t="s">
        <v>201</v>
      </c>
      <c r="D151" s="156" t="s">
        <v>541</v>
      </c>
      <c r="E151" s="179">
        <v>57954839</v>
      </c>
      <c r="F151" s="179">
        <v>57954839</v>
      </c>
      <c r="G151" s="179">
        <v>23181582</v>
      </c>
      <c r="H151" s="179">
        <v>3482506.48</v>
      </c>
      <c r="I151" s="179">
        <v>5311476.47</v>
      </c>
      <c r="J151" s="179">
        <v>353348.3</v>
      </c>
      <c r="K151" s="179">
        <v>3239186.83</v>
      </c>
      <c r="L151" s="179">
        <v>2416824.83</v>
      </c>
      <c r="M151" s="179">
        <v>45568320.920000002</v>
      </c>
      <c r="N151" s="179">
        <v>10795063.92</v>
      </c>
    </row>
    <row r="152" spans="1:14" s="156" customFormat="1" x14ac:dyDescent="0.25">
      <c r="A152" s="156" t="s">
        <v>544</v>
      </c>
      <c r="B152" s="156" t="s">
        <v>202</v>
      </c>
      <c r="C152" s="156" t="s">
        <v>203</v>
      </c>
      <c r="D152" s="156" t="s">
        <v>541</v>
      </c>
      <c r="E152" s="179">
        <v>17854839</v>
      </c>
      <c r="F152" s="179">
        <v>17854839</v>
      </c>
      <c r="G152" s="179">
        <v>6178710</v>
      </c>
      <c r="H152" s="179">
        <v>0</v>
      </c>
      <c r="I152" s="179">
        <v>3329640</v>
      </c>
      <c r="J152" s="179">
        <v>0</v>
      </c>
      <c r="K152" s="179">
        <v>571905</v>
      </c>
      <c r="L152" s="179">
        <v>571905</v>
      </c>
      <c r="M152" s="179">
        <v>13953294</v>
      </c>
      <c r="N152" s="179">
        <v>2277165</v>
      </c>
    </row>
    <row r="153" spans="1:14" s="156" customFormat="1" x14ac:dyDescent="0.25">
      <c r="A153" s="156" t="s">
        <v>544</v>
      </c>
      <c r="B153" s="156" t="s">
        <v>204</v>
      </c>
      <c r="C153" s="156" t="s">
        <v>205</v>
      </c>
      <c r="D153" s="156" t="s">
        <v>541</v>
      </c>
      <c r="E153" s="179">
        <v>9354839</v>
      </c>
      <c r="F153" s="179">
        <v>9354839</v>
      </c>
      <c r="G153" s="179">
        <v>3053710</v>
      </c>
      <c r="H153" s="179">
        <v>0</v>
      </c>
      <c r="I153" s="179">
        <v>1207300</v>
      </c>
      <c r="J153" s="179">
        <v>0</v>
      </c>
      <c r="K153" s="179">
        <v>571905</v>
      </c>
      <c r="L153" s="179">
        <v>571905</v>
      </c>
      <c r="M153" s="179">
        <v>7575634</v>
      </c>
      <c r="N153" s="179">
        <v>1274505</v>
      </c>
    </row>
    <row r="154" spans="1:14" s="156" customFormat="1" x14ac:dyDescent="0.25">
      <c r="A154" s="156" t="s">
        <v>544</v>
      </c>
      <c r="B154" s="156" t="s">
        <v>208</v>
      </c>
      <c r="C154" s="156" t="s">
        <v>209</v>
      </c>
      <c r="D154" s="156" t="s">
        <v>541</v>
      </c>
      <c r="E154" s="179">
        <v>8500000</v>
      </c>
      <c r="F154" s="179">
        <v>8500000</v>
      </c>
      <c r="G154" s="179">
        <v>3125000</v>
      </c>
      <c r="H154" s="179">
        <v>0</v>
      </c>
      <c r="I154" s="179">
        <v>2122340</v>
      </c>
      <c r="J154" s="179">
        <v>0</v>
      </c>
      <c r="K154" s="179">
        <v>0</v>
      </c>
      <c r="L154" s="179">
        <v>0</v>
      </c>
      <c r="M154" s="179">
        <v>6377660</v>
      </c>
      <c r="N154" s="179">
        <v>1002660</v>
      </c>
    </row>
    <row r="155" spans="1:14" s="156" customFormat="1" x14ac:dyDescent="0.25">
      <c r="A155" s="156" t="s">
        <v>544</v>
      </c>
      <c r="B155" s="156" t="s">
        <v>212</v>
      </c>
      <c r="C155" s="156" t="s">
        <v>213</v>
      </c>
      <c r="D155" s="156" t="s">
        <v>541</v>
      </c>
      <c r="E155" s="179">
        <v>2460000</v>
      </c>
      <c r="F155" s="179">
        <v>2460000</v>
      </c>
      <c r="G155" s="179">
        <v>1830000</v>
      </c>
      <c r="H155" s="179">
        <v>0</v>
      </c>
      <c r="I155" s="179">
        <v>674218.7</v>
      </c>
      <c r="J155" s="179">
        <v>353348.3</v>
      </c>
      <c r="K155" s="179">
        <v>0</v>
      </c>
      <c r="L155" s="179">
        <v>0</v>
      </c>
      <c r="M155" s="179">
        <v>1432433</v>
      </c>
      <c r="N155" s="179">
        <v>802433</v>
      </c>
    </row>
    <row r="156" spans="1:14" s="156" customFormat="1" x14ac:dyDescent="0.25">
      <c r="A156" s="156" t="s">
        <v>544</v>
      </c>
      <c r="B156" s="156" t="s">
        <v>214</v>
      </c>
      <c r="C156" s="156" t="s">
        <v>215</v>
      </c>
      <c r="D156" s="156" t="s">
        <v>541</v>
      </c>
      <c r="E156" s="179">
        <v>2460000</v>
      </c>
      <c r="F156" s="179">
        <v>2460000</v>
      </c>
      <c r="G156" s="179">
        <v>1830000</v>
      </c>
      <c r="H156" s="179">
        <v>0</v>
      </c>
      <c r="I156" s="179">
        <v>674218.7</v>
      </c>
      <c r="J156" s="179">
        <v>353348.3</v>
      </c>
      <c r="K156" s="179">
        <v>0</v>
      </c>
      <c r="L156" s="179">
        <v>0</v>
      </c>
      <c r="M156" s="179">
        <v>1432433</v>
      </c>
      <c r="N156" s="179">
        <v>802433</v>
      </c>
    </row>
    <row r="157" spans="1:14" s="156" customFormat="1" x14ac:dyDescent="0.25">
      <c r="A157" s="156" t="s">
        <v>544</v>
      </c>
      <c r="B157" s="156" t="s">
        <v>216</v>
      </c>
      <c r="C157" s="156" t="s">
        <v>217</v>
      </c>
      <c r="D157" s="156" t="s">
        <v>541</v>
      </c>
      <c r="E157" s="179">
        <v>2000000</v>
      </c>
      <c r="F157" s="179">
        <v>2000000</v>
      </c>
      <c r="G157" s="179">
        <v>802000</v>
      </c>
      <c r="H157" s="179">
        <v>0</v>
      </c>
      <c r="I157" s="179">
        <v>105430</v>
      </c>
      <c r="J157" s="179">
        <v>0</v>
      </c>
      <c r="K157" s="179">
        <v>373368.18</v>
      </c>
      <c r="L157" s="179">
        <v>310571.18</v>
      </c>
      <c r="M157" s="179">
        <v>1521201.82</v>
      </c>
      <c r="N157" s="179">
        <v>323201.82</v>
      </c>
    </row>
    <row r="158" spans="1:14" s="156" customFormat="1" x14ac:dyDescent="0.25">
      <c r="A158" s="156" t="s">
        <v>544</v>
      </c>
      <c r="B158" s="156" t="s">
        <v>220</v>
      </c>
      <c r="C158" s="156" t="s">
        <v>221</v>
      </c>
      <c r="D158" s="156" t="s">
        <v>541</v>
      </c>
      <c r="E158" s="179">
        <v>2000000</v>
      </c>
      <c r="F158" s="179">
        <v>2000000</v>
      </c>
      <c r="G158" s="179">
        <v>802000</v>
      </c>
      <c r="H158" s="179">
        <v>0</v>
      </c>
      <c r="I158" s="179">
        <v>105430</v>
      </c>
      <c r="J158" s="179">
        <v>0</v>
      </c>
      <c r="K158" s="179">
        <v>373368.18</v>
      </c>
      <c r="L158" s="179">
        <v>310571.18</v>
      </c>
      <c r="M158" s="179">
        <v>1521201.82</v>
      </c>
      <c r="N158" s="179">
        <v>323201.82</v>
      </c>
    </row>
    <row r="159" spans="1:14" s="156" customFormat="1" x14ac:dyDescent="0.25">
      <c r="A159" s="156" t="s">
        <v>544</v>
      </c>
      <c r="B159" s="156" t="s">
        <v>228</v>
      </c>
      <c r="C159" s="156" t="s">
        <v>229</v>
      </c>
      <c r="D159" s="156" t="s">
        <v>541</v>
      </c>
      <c r="E159" s="179">
        <v>6710000</v>
      </c>
      <c r="F159" s="179">
        <v>6710000</v>
      </c>
      <c r="G159" s="179">
        <v>1606500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6710000</v>
      </c>
      <c r="N159" s="179">
        <v>1606500</v>
      </c>
    </row>
    <row r="160" spans="1:14" s="156" customFormat="1" x14ac:dyDescent="0.25">
      <c r="A160" s="156" t="s">
        <v>544</v>
      </c>
      <c r="B160" s="156" t="s">
        <v>230</v>
      </c>
      <c r="C160" s="156" t="s">
        <v>231</v>
      </c>
      <c r="D160" s="156" t="s">
        <v>541</v>
      </c>
      <c r="E160" s="179">
        <v>3710000</v>
      </c>
      <c r="F160" s="179">
        <v>3710000</v>
      </c>
      <c r="G160" s="179">
        <v>806500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3710000</v>
      </c>
      <c r="N160" s="179">
        <v>806500</v>
      </c>
    </row>
    <row r="161" spans="1:14" s="156" customFormat="1" x14ac:dyDescent="0.25">
      <c r="A161" s="156" t="s">
        <v>544</v>
      </c>
      <c r="B161" s="156" t="s">
        <v>232</v>
      </c>
      <c r="C161" s="156" t="s">
        <v>233</v>
      </c>
      <c r="D161" s="156" t="s">
        <v>541</v>
      </c>
      <c r="E161" s="179">
        <v>3000000</v>
      </c>
      <c r="F161" s="179">
        <v>3000000</v>
      </c>
      <c r="G161" s="179">
        <v>800000</v>
      </c>
      <c r="H161" s="179">
        <v>0</v>
      </c>
      <c r="I161" s="179">
        <v>0</v>
      </c>
      <c r="J161" s="179">
        <v>0</v>
      </c>
      <c r="K161" s="179">
        <v>0</v>
      </c>
      <c r="L161" s="179">
        <v>0</v>
      </c>
      <c r="M161" s="179">
        <v>3000000</v>
      </c>
      <c r="N161" s="179">
        <v>800000</v>
      </c>
    </row>
    <row r="162" spans="1:14" s="156" customFormat="1" x14ac:dyDescent="0.25">
      <c r="A162" s="156" t="s">
        <v>544</v>
      </c>
      <c r="B162" s="156" t="s">
        <v>234</v>
      </c>
      <c r="C162" s="156" t="s">
        <v>601</v>
      </c>
      <c r="D162" s="156" t="s">
        <v>541</v>
      </c>
      <c r="E162" s="179">
        <v>28930000</v>
      </c>
      <c r="F162" s="179">
        <v>28930000</v>
      </c>
      <c r="G162" s="179">
        <v>12764372</v>
      </c>
      <c r="H162" s="179">
        <v>3482506.48</v>
      </c>
      <c r="I162" s="179">
        <v>1202187.77</v>
      </c>
      <c r="J162" s="179">
        <v>0</v>
      </c>
      <c r="K162" s="179">
        <v>2293913.65</v>
      </c>
      <c r="L162" s="179">
        <v>1534348.65</v>
      </c>
      <c r="M162" s="179">
        <v>21951392.100000001</v>
      </c>
      <c r="N162" s="179">
        <v>5785764.0999999996</v>
      </c>
    </row>
    <row r="163" spans="1:14" s="156" customFormat="1" x14ac:dyDescent="0.25">
      <c r="A163" s="156" t="s">
        <v>544</v>
      </c>
      <c r="B163" s="156" t="s">
        <v>235</v>
      </c>
      <c r="C163" s="156" t="s">
        <v>236</v>
      </c>
      <c r="D163" s="156" t="s">
        <v>541</v>
      </c>
      <c r="E163" s="179">
        <v>8000000</v>
      </c>
      <c r="F163" s="179">
        <v>8000000</v>
      </c>
      <c r="G163" s="179">
        <v>3800000</v>
      </c>
      <c r="H163" s="179">
        <v>406186.48</v>
      </c>
      <c r="I163" s="179">
        <v>831845.77</v>
      </c>
      <c r="J163" s="179">
        <v>0</v>
      </c>
      <c r="K163" s="179">
        <v>759565</v>
      </c>
      <c r="L163" s="179">
        <v>0</v>
      </c>
      <c r="M163" s="179">
        <v>6002402.75</v>
      </c>
      <c r="N163" s="179">
        <v>1802402.75</v>
      </c>
    </row>
    <row r="164" spans="1:14" s="156" customFormat="1" x14ac:dyDescent="0.25">
      <c r="A164" s="156" t="s">
        <v>544</v>
      </c>
      <c r="B164" s="156" t="s">
        <v>239</v>
      </c>
      <c r="C164" s="156" t="s">
        <v>240</v>
      </c>
      <c r="D164" s="156" t="s">
        <v>541</v>
      </c>
      <c r="E164" s="179">
        <v>8000000</v>
      </c>
      <c r="F164" s="179">
        <v>8000000</v>
      </c>
      <c r="G164" s="179">
        <v>3500000</v>
      </c>
      <c r="H164" s="179">
        <v>320000</v>
      </c>
      <c r="I164" s="179">
        <v>125100</v>
      </c>
      <c r="J164" s="179">
        <v>0</v>
      </c>
      <c r="K164" s="179">
        <v>1534348.65</v>
      </c>
      <c r="L164" s="179">
        <v>1534348.65</v>
      </c>
      <c r="M164" s="179">
        <v>6020551.3499999996</v>
      </c>
      <c r="N164" s="179">
        <v>1520551.35</v>
      </c>
    </row>
    <row r="165" spans="1:14" s="156" customFormat="1" x14ac:dyDescent="0.25">
      <c r="A165" s="156" t="s">
        <v>544</v>
      </c>
      <c r="B165" s="156" t="s">
        <v>243</v>
      </c>
      <c r="C165" s="156" t="s">
        <v>244</v>
      </c>
      <c r="D165" s="156" t="s">
        <v>541</v>
      </c>
      <c r="E165" s="179">
        <v>4930000</v>
      </c>
      <c r="F165" s="179">
        <v>4930000</v>
      </c>
      <c r="G165" s="179">
        <v>2564372</v>
      </c>
      <c r="H165" s="179">
        <v>766320</v>
      </c>
      <c r="I165" s="179">
        <v>245242</v>
      </c>
      <c r="J165" s="179">
        <v>0</v>
      </c>
      <c r="K165" s="179">
        <v>0</v>
      </c>
      <c r="L165" s="179">
        <v>0</v>
      </c>
      <c r="M165" s="179">
        <v>3918438</v>
      </c>
      <c r="N165" s="179">
        <v>1552810</v>
      </c>
    </row>
    <row r="166" spans="1:14" s="156" customFormat="1" x14ac:dyDescent="0.25">
      <c r="A166" s="156" t="s">
        <v>544</v>
      </c>
      <c r="B166" s="156" t="s">
        <v>249</v>
      </c>
      <c r="C166" s="156" t="s">
        <v>250</v>
      </c>
      <c r="D166" s="156" t="s">
        <v>541</v>
      </c>
      <c r="E166" s="179">
        <v>8000000</v>
      </c>
      <c r="F166" s="179">
        <v>8000000</v>
      </c>
      <c r="G166" s="179">
        <v>2900000</v>
      </c>
      <c r="H166" s="179">
        <v>1990000</v>
      </c>
      <c r="I166" s="179">
        <v>0</v>
      </c>
      <c r="J166" s="179">
        <v>0</v>
      </c>
      <c r="K166" s="179">
        <v>0</v>
      </c>
      <c r="L166" s="179">
        <v>0</v>
      </c>
      <c r="M166" s="179">
        <v>6010000</v>
      </c>
      <c r="N166" s="179">
        <v>910000</v>
      </c>
    </row>
    <row r="167" spans="1:14" s="156" customFormat="1" x14ac:dyDescent="0.25">
      <c r="A167" s="156" t="s">
        <v>544</v>
      </c>
      <c r="B167" s="156" t="s">
        <v>251</v>
      </c>
      <c r="C167" s="156" t="s">
        <v>252</v>
      </c>
      <c r="D167" s="156" t="s">
        <v>541</v>
      </c>
      <c r="E167" s="179">
        <v>43960000</v>
      </c>
      <c r="F167" s="179">
        <v>43960000</v>
      </c>
      <c r="G167" s="179">
        <v>35960000</v>
      </c>
      <c r="H167" s="179">
        <v>0</v>
      </c>
      <c r="I167" s="179">
        <v>11679309.029999999</v>
      </c>
      <c r="J167" s="179">
        <v>0</v>
      </c>
      <c r="K167" s="179">
        <v>4974288.97</v>
      </c>
      <c r="L167" s="179">
        <v>4974288.97</v>
      </c>
      <c r="M167" s="179">
        <v>27306402</v>
      </c>
      <c r="N167" s="179">
        <v>19306402</v>
      </c>
    </row>
    <row r="168" spans="1:14" s="156" customFormat="1" x14ac:dyDescent="0.25">
      <c r="A168" s="156" t="s">
        <v>544</v>
      </c>
      <c r="B168" s="156" t="s">
        <v>253</v>
      </c>
      <c r="C168" s="156" t="s">
        <v>254</v>
      </c>
      <c r="D168" s="156" t="s">
        <v>541</v>
      </c>
      <c r="E168" s="179">
        <v>11142000</v>
      </c>
      <c r="F168" s="179">
        <v>11142000</v>
      </c>
      <c r="G168" s="179">
        <v>11142000</v>
      </c>
      <c r="H168" s="179">
        <v>0</v>
      </c>
      <c r="I168" s="179">
        <v>8311547</v>
      </c>
      <c r="J168" s="179">
        <v>0</v>
      </c>
      <c r="K168" s="179">
        <v>2830453</v>
      </c>
      <c r="L168" s="179">
        <v>2830453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311</v>
      </c>
      <c r="C169" s="156" t="s">
        <v>602</v>
      </c>
      <c r="D169" s="156" t="s">
        <v>541</v>
      </c>
      <c r="E169" s="179">
        <v>9273000</v>
      </c>
      <c r="F169" s="179">
        <v>9273000</v>
      </c>
      <c r="G169" s="179">
        <v>9273000</v>
      </c>
      <c r="H169" s="179">
        <v>0</v>
      </c>
      <c r="I169" s="179">
        <v>6917455</v>
      </c>
      <c r="J169" s="179">
        <v>0</v>
      </c>
      <c r="K169" s="179">
        <v>2355545</v>
      </c>
      <c r="L169" s="179">
        <v>2355545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312</v>
      </c>
      <c r="C170" s="156" t="s">
        <v>603</v>
      </c>
      <c r="D170" s="156" t="s">
        <v>541</v>
      </c>
      <c r="E170" s="179">
        <v>1869000</v>
      </c>
      <c r="F170" s="179">
        <v>1869000</v>
      </c>
      <c r="G170" s="179">
        <v>1869000</v>
      </c>
      <c r="H170" s="179">
        <v>0</v>
      </c>
      <c r="I170" s="179">
        <v>1394092</v>
      </c>
      <c r="J170" s="179">
        <v>0</v>
      </c>
      <c r="K170" s="179">
        <v>474908</v>
      </c>
      <c r="L170" s="179">
        <v>474908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261</v>
      </c>
      <c r="C171" s="156" t="s">
        <v>262</v>
      </c>
      <c r="D171" s="156" t="s">
        <v>541</v>
      </c>
      <c r="E171" s="179">
        <v>24818000</v>
      </c>
      <c r="F171" s="179">
        <v>24818000</v>
      </c>
      <c r="G171" s="179">
        <v>24818000</v>
      </c>
      <c r="H171" s="179">
        <v>0</v>
      </c>
      <c r="I171" s="179">
        <v>3367762.03</v>
      </c>
      <c r="J171" s="179">
        <v>0</v>
      </c>
      <c r="K171" s="179">
        <v>2143835.9700000002</v>
      </c>
      <c r="L171" s="179">
        <v>2143835.9700000002</v>
      </c>
      <c r="M171" s="179">
        <v>19306402</v>
      </c>
      <c r="N171" s="179">
        <v>19306402</v>
      </c>
    </row>
    <row r="172" spans="1:14" s="156" customFormat="1" x14ac:dyDescent="0.25">
      <c r="A172" s="156" t="s">
        <v>544</v>
      </c>
      <c r="B172" s="156" t="s">
        <v>263</v>
      </c>
      <c r="C172" s="156" t="s">
        <v>264</v>
      </c>
      <c r="D172" s="156" t="s">
        <v>541</v>
      </c>
      <c r="E172" s="179">
        <v>17000000</v>
      </c>
      <c r="F172" s="179">
        <v>17000000</v>
      </c>
      <c r="G172" s="179">
        <v>17000000</v>
      </c>
      <c r="H172" s="179">
        <v>0</v>
      </c>
      <c r="I172" s="179">
        <v>3367762.03</v>
      </c>
      <c r="J172" s="179">
        <v>0</v>
      </c>
      <c r="K172" s="179">
        <v>882237.97</v>
      </c>
      <c r="L172" s="179">
        <v>882237.97</v>
      </c>
      <c r="M172" s="179">
        <v>12750000</v>
      </c>
      <c r="N172" s="179">
        <v>12750000</v>
      </c>
    </row>
    <row r="173" spans="1:14" s="156" customFormat="1" x14ac:dyDescent="0.25">
      <c r="A173" s="156" t="s">
        <v>544</v>
      </c>
      <c r="B173" s="156" t="s">
        <v>265</v>
      </c>
      <c r="C173" s="156" t="s">
        <v>266</v>
      </c>
      <c r="D173" s="156" t="s">
        <v>541</v>
      </c>
      <c r="E173" s="179">
        <v>7818000</v>
      </c>
      <c r="F173" s="179">
        <v>7818000</v>
      </c>
      <c r="G173" s="179">
        <v>7818000</v>
      </c>
      <c r="H173" s="179">
        <v>0</v>
      </c>
      <c r="I173" s="179">
        <v>0</v>
      </c>
      <c r="J173" s="179">
        <v>0</v>
      </c>
      <c r="K173" s="179">
        <v>1261598</v>
      </c>
      <c r="L173" s="179">
        <v>1261598</v>
      </c>
      <c r="M173" s="179">
        <v>6556402</v>
      </c>
      <c r="N173" s="179">
        <v>6556402</v>
      </c>
    </row>
    <row r="174" spans="1:14" s="156" customFormat="1" x14ac:dyDescent="0.25">
      <c r="A174" s="156" t="s">
        <v>544</v>
      </c>
      <c r="B174" s="156" t="s">
        <v>267</v>
      </c>
      <c r="C174" s="156" t="s">
        <v>268</v>
      </c>
      <c r="D174" s="156" t="s">
        <v>541</v>
      </c>
      <c r="E174" s="179">
        <v>8000000</v>
      </c>
      <c r="F174" s="179">
        <v>8000000</v>
      </c>
      <c r="G174" s="179">
        <v>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8000000</v>
      </c>
      <c r="N174" s="179">
        <v>0</v>
      </c>
    </row>
    <row r="175" spans="1:14" s="156" customFormat="1" x14ac:dyDescent="0.25">
      <c r="A175" s="156" t="s">
        <v>544</v>
      </c>
      <c r="B175" s="156" t="s">
        <v>269</v>
      </c>
      <c r="C175" s="156" t="s">
        <v>270</v>
      </c>
      <c r="D175" s="156" t="s">
        <v>541</v>
      </c>
      <c r="E175" s="179">
        <v>8000000</v>
      </c>
      <c r="F175" s="179">
        <v>8000000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8000000</v>
      </c>
      <c r="N175" s="179">
        <v>0</v>
      </c>
    </row>
    <row r="176" spans="1:14" s="156" customFormat="1" x14ac:dyDescent="0.25">
      <c r="A176" s="156" t="s">
        <v>544</v>
      </c>
      <c r="B176" s="156" t="s">
        <v>279</v>
      </c>
      <c r="C176" s="156" t="s">
        <v>280</v>
      </c>
      <c r="D176" s="156" t="s">
        <v>543</v>
      </c>
      <c r="E176" s="179">
        <v>29500000</v>
      </c>
      <c r="F176" s="179">
        <v>29500000</v>
      </c>
      <c r="G176" s="179">
        <v>13500000</v>
      </c>
      <c r="H176" s="179">
        <v>1120000</v>
      </c>
      <c r="I176" s="179">
        <v>3776000</v>
      </c>
      <c r="J176" s="179">
        <v>406890</v>
      </c>
      <c r="K176" s="179">
        <v>687181</v>
      </c>
      <c r="L176" s="179">
        <v>46356</v>
      </c>
      <c r="M176" s="179">
        <v>23509929</v>
      </c>
      <c r="N176" s="179">
        <v>7509929</v>
      </c>
    </row>
    <row r="177" spans="1:14" s="156" customFormat="1" x14ac:dyDescent="0.25">
      <c r="A177" s="156" t="s">
        <v>544</v>
      </c>
      <c r="B177" s="156" t="s">
        <v>281</v>
      </c>
      <c r="C177" s="156" t="s">
        <v>282</v>
      </c>
      <c r="D177" s="156" t="s">
        <v>543</v>
      </c>
      <c r="E177" s="179">
        <v>29500000</v>
      </c>
      <c r="F177" s="179">
        <v>29500000</v>
      </c>
      <c r="G177" s="179">
        <v>13500000</v>
      </c>
      <c r="H177" s="179">
        <v>1120000</v>
      </c>
      <c r="I177" s="179">
        <v>3776000</v>
      </c>
      <c r="J177" s="179">
        <v>406890</v>
      </c>
      <c r="K177" s="179">
        <v>687181</v>
      </c>
      <c r="L177" s="179">
        <v>46356</v>
      </c>
      <c r="M177" s="179">
        <v>23509929</v>
      </c>
      <c r="N177" s="179">
        <v>7509929</v>
      </c>
    </row>
    <row r="178" spans="1:14" s="156" customFormat="1" x14ac:dyDescent="0.25">
      <c r="A178" s="156" t="s">
        <v>544</v>
      </c>
      <c r="B178" s="156" t="s">
        <v>285</v>
      </c>
      <c r="C178" s="156" t="s">
        <v>286</v>
      </c>
      <c r="D178" s="156" t="s">
        <v>543</v>
      </c>
      <c r="E178" s="179">
        <v>4700000</v>
      </c>
      <c r="F178" s="179">
        <v>4700000</v>
      </c>
      <c r="G178" s="179">
        <v>3175000</v>
      </c>
      <c r="H178" s="179">
        <v>1120000</v>
      </c>
      <c r="I178" s="179">
        <v>0</v>
      </c>
      <c r="J178" s="179">
        <v>0</v>
      </c>
      <c r="K178" s="179">
        <v>0</v>
      </c>
      <c r="L178" s="179">
        <v>0</v>
      </c>
      <c r="M178" s="179">
        <v>3580000</v>
      </c>
      <c r="N178" s="179">
        <v>2055000</v>
      </c>
    </row>
    <row r="179" spans="1:14" s="156" customFormat="1" x14ac:dyDescent="0.25">
      <c r="A179" s="156" t="s">
        <v>544</v>
      </c>
      <c r="B179" s="156" t="s">
        <v>287</v>
      </c>
      <c r="C179" s="156" t="s">
        <v>288</v>
      </c>
      <c r="D179" s="156" t="s">
        <v>543</v>
      </c>
      <c r="E179" s="179">
        <v>3800000</v>
      </c>
      <c r="F179" s="179">
        <v>3800000</v>
      </c>
      <c r="G179" s="179">
        <v>1450000</v>
      </c>
      <c r="H179" s="179">
        <v>0</v>
      </c>
      <c r="I179" s="179">
        <v>0</v>
      </c>
      <c r="J179" s="179">
        <v>406890</v>
      </c>
      <c r="K179" s="179">
        <v>506680</v>
      </c>
      <c r="L179" s="179">
        <v>0</v>
      </c>
      <c r="M179" s="179">
        <v>2886430</v>
      </c>
      <c r="N179" s="179">
        <v>536430</v>
      </c>
    </row>
    <row r="180" spans="1:14" s="156" customFormat="1" x14ac:dyDescent="0.25">
      <c r="A180" s="156" t="s">
        <v>544</v>
      </c>
      <c r="B180" s="156" t="s">
        <v>289</v>
      </c>
      <c r="C180" s="156" t="s">
        <v>290</v>
      </c>
      <c r="D180" s="156" t="s">
        <v>543</v>
      </c>
      <c r="E180" s="179">
        <v>1000000</v>
      </c>
      <c r="F180" s="179">
        <v>1000000</v>
      </c>
      <c r="G180" s="179">
        <v>500000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1000000</v>
      </c>
      <c r="N180" s="179">
        <v>500000</v>
      </c>
    </row>
    <row r="181" spans="1:14" s="156" customFormat="1" x14ac:dyDescent="0.25">
      <c r="A181" s="156" t="s">
        <v>544</v>
      </c>
      <c r="B181" s="156" t="s">
        <v>293</v>
      </c>
      <c r="C181" s="156" t="s">
        <v>294</v>
      </c>
      <c r="D181" s="156" t="s">
        <v>543</v>
      </c>
      <c r="E181" s="179">
        <v>16000000</v>
      </c>
      <c r="F181" s="179">
        <v>16000000</v>
      </c>
      <c r="G181" s="179">
        <v>8000000</v>
      </c>
      <c r="H181" s="179">
        <v>0</v>
      </c>
      <c r="I181" s="179">
        <v>3776000</v>
      </c>
      <c r="J181" s="179">
        <v>0</v>
      </c>
      <c r="K181" s="179">
        <v>180501</v>
      </c>
      <c r="L181" s="179">
        <v>46356</v>
      </c>
      <c r="M181" s="179">
        <v>12043499</v>
      </c>
      <c r="N181" s="179">
        <v>4043499</v>
      </c>
    </row>
    <row r="182" spans="1:14" s="156" customFormat="1" x14ac:dyDescent="0.25">
      <c r="A182" s="156" t="s">
        <v>544</v>
      </c>
      <c r="B182" s="156" t="s">
        <v>295</v>
      </c>
      <c r="C182" s="156" t="s">
        <v>296</v>
      </c>
      <c r="D182" s="156" t="s">
        <v>543</v>
      </c>
      <c r="E182" s="179">
        <v>4000000</v>
      </c>
      <c r="F182" s="179">
        <v>4000000</v>
      </c>
      <c r="G182" s="179">
        <v>375000</v>
      </c>
      <c r="H182" s="179">
        <v>0</v>
      </c>
      <c r="I182" s="179">
        <v>0</v>
      </c>
      <c r="J182" s="179">
        <v>0</v>
      </c>
      <c r="K182" s="179">
        <v>0</v>
      </c>
      <c r="L182" s="179">
        <v>0</v>
      </c>
      <c r="M182" s="179">
        <v>4000000</v>
      </c>
      <c r="N182" s="179">
        <v>375000</v>
      </c>
    </row>
    <row r="183" spans="1:14" s="156" customFormat="1" x14ac:dyDescent="0.25">
      <c r="A183" s="156">
        <v>214781</v>
      </c>
      <c r="B183" s="156" t="s">
        <v>587</v>
      </c>
      <c r="C183" s="156" t="s">
        <v>587</v>
      </c>
      <c r="D183" s="156" t="s">
        <v>541</v>
      </c>
      <c r="E183" s="179">
        <v>11325587195</v>
      </c>
      <c r="F183" s="179">
        <v>11325587195</v>
      </c>
      <c r="G183" s="179">
        <v>10712983096</v>
      </c>
      <c r="H183" s="179">
        <v>502009.19</v>
      </c>
      <c r="I183" s="179">
        <v>1335993020.99</v>
      </c>
      <c r="J183" s="179">
        <v>5048142.54</v>
      </c>
      <c r="K183" s="179">
        <v>2642394212.4299998</v>
      </c>
      <c r="L183" s="179">
        <v>2630303158.8299999</v>
      </c>
      <c r="M183" s="179">
        <v>7341649809.8500004</v>
      </c>
      <c r="N183" s="179">
        <v>6729045710.8500004</v>
      </c>
    </row>
    <row r="184" spans="1:14" s="156" customFormat="1" x14ac:dyDescent="0.25">
      <c r="A184" s="156" t="s">
        <v>545</v>
      </c>
      <c r="B184" s="156" t="s">
        <v>92</v>
      </c>
      <c r="C184" s="156" t="s">
        <v>93</v>
      </c>
      <c r="D184" s="156" t="s">
        <v>541</v>
      </c>
      <c r="E184" s="179">
        <v>9908319000</v>
      </c>
      <c r="F184" s="179">
        <v>9908319000</v>
      </c>
      <c r="G184" s="179">
        <v>9908319000</v>
      </c>
      <c r="H184" s="179">
        <v>0</v>
      </c>
      <c r="I184" s="179">
        <v>1107225975</v>
      </c>
      <c r="J184" s="179">
        <v>0</v>
      </c>
      <c r="K184" s="179">
        <v>2443515529.5700002</v>
      </c>
      <c r="L184" s="179">
        <v>2443515529.5700002</v>
      </c>
      <c r="M184" s="179">
        <v>6357577495.4300003</v>
      </c>
      <c r="N184" s="179">
        <v>6357577495.4300003</v>
      </c>
    </row>
    <row r="185" spans="1:14" s="156" customFormat="1" x14ac:dyDescent="0.25">
      <c r="A185" s="156" t="s">
        <v>545</v>
      </c>
      <c r="B185" s="156" t="s">
        <v>94</v>
      </c>
      <c r="C185" s="156" t="s">
        <v>95</v>
      </c>
      <c r="D185" s="156" t="s">
        <v>541</v>
      </c>
      <c r="E185" s="179">
        <v>3418584000</v>
      </c>
      <c r="F185" s="179">
        <v>3418584000</v>
      </c>
      <c r="G185" s="179">
        <v>3418584000</v>
      </c>
      <c r="H185" s="179">
        <v>0</v>
      </c>
      <c r="I185" s="179">
        <v>0</v>
      </c>
      <c r="J185" s="179">
        <v>0</v>
      </c>
      <c r="K185" s="179">
        <v>740698584.42999995</v>
      </c>
      <c r="L185" s="179">
        <v>740698584.42999995</v>
      </c>
      <c r="M185" s="179">
        <v>2677885415.5700002</v>
      </c>
      <c r="N185" s="179">
        <v>2677885415.5700002</v>
      </c>
    </row>
    <row r="186" spans="1:14" s="156" customFormat="1" x14ac:dyDescent="0.25">
      <c r="A186" s="156" t="s">
        <v>545</v>
      </c>
      <c r="B186" s="156" t="s">
        <v>96</v>
      </c>
      <c r="C186" s="156" t="s">
        <v>97</v>
      </c>
      <c r="D186" s="156" t="s">
        <v>541</v>
      </c>
      <c r="E186" s="179">
        <v>3413584000</v>
      </c>
      <c r="F186" s="179">
        <v>3413584000</v>
      </c>
      <c r="G186" s="179">
        <v>3413584000</v>
      </c>
      <c r="H186" s="179">
        <v>0</v>
      </c>
      <c r="I186" s="179">
        <v>0</v>
      </c>
      <c r="J186" s="179">
        <v>0</v>
      </c>
      <c r="K186" s="179">
        <v>740698584.42999995</v>
      </c>
      <c r="L186" s="179">
        <v>740698584.42999995</v>
      </c>
      <c r="M186" s="179">
        <v>2672885415.5700002</v>
      </c>
      <c r="N186" s="179">
        <v>2672885415.5700002</v>
      </c>
    </row>
    <row r="187" spans="1:14" s="156" customFormat="1" x14ac:dyDescent="0.25">
      <c r="A187" s="156" t="s">
        <v>545</v>
      </c>
      <c r="B187" s="156" t="s">
        <v>313</v>
      </c>
      <c r="C187" s="156" t="s">
        <v>314</v>
      </c>
      <c r="D187" s="156" t="s">
        <v>541</v>
      </c>
      <c r="E187" s="179">
        <v>5000000</v>
      </c>
      <c r="F187" s="179">
        <v>5000000</v>
      </c>
      <c r="G187" s="179">
        <v>5000000</v>
      </c>
      <c r="H187" s="179">
        <v>0</v>
      </c>
      <c r="I187" s="179">
        <v>0</v>
      </c>
      <c r="J187" s="179">
        <v>0</v>
      </c>
      <c r="K187" s="179">
        <v>0</v>
      </c>
      <c r="L187" s="179">
        <v>0</v>
      </c>
      <c r="M187" s="179">
        <v>5000000</v>
      </c>
      <c r="N187" s="179">
        <v>5000000</v>
      </c>
    </row>
    <row r="188" spans="1:14" s="156" customFormat="1" x14ac:dyDescent="0.25">
      <c r="A188" s="156" t="s">
        <v>545</v>
      </c>
      <c r="B188" s="156" t="s">
        <v>98</v>
      </c>
      <c r="C188" s="156" t="s">
        <v>99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1474042.67</v>
      </c>
      <c r="L188" s="179">
        <v>1474042.67</v>
      </c>
      <c r="M188" s="179">
        <v>9525957.3300000001</v>
      </c>
      <c r="N188" s="179">
        <v>9525957.3300000001</v>
      </c>
    </row>
    <row r="189" spans="1:14" s="156" customFormat="1" x14ac:dyDescent="0.25">
      <c r="A189" s="156" t="s">
        <v>545</v>
      </c>
      <c r="B189" s="156" t="s">
        <v>100</v>
      </c>
      <c r="C189" s="156" t="s">
        <v>101</v>
      </c>
      <c r="D189" s="156" t="s">
        <v>541</v>
      </c>
      <c r="E189" s="179">
        <v>11000000</v>
      </c>
      <c r="F189" s="179">
        <v>11000000</v>
      </c>
      <c r="G189" s="179">
        <v>11000000</v>
      </c>
      <c r="H189" s="179">
        <v>0</v>
      </c>
      <c r="I189" s="179">
        <v>0</v>
      </c>
      <c r="J189" s="179">
        <v>0</v>
      </c>
      <c r="K189" s="179">
        <v>1474042.67</v>
      </c>
      <c r="L189" s="179">
        <v>1474042.67</v>
      </c>
      <c r="M189" s="179">
        <v>9525957.3300000001</v>
      </c>
      <c r="N189" s="179">
        <v>9525957.3300000001</v>
      </c>
    </row>
    <row r="190" spans="1:14" s="156" customFormat="1" x14ac:dyDescent="0.25">
      <c r="A190" s="156" t="s">
        <v>545</v>
      </c>
      <c r="B190" s="156" t="s">
        <v>102</v>
      </c>
      <c r="C190" s="156" t="s">
        <v>103</v>
      </c>
      <c r="D190" s="156" t="s">
        <v>541</v>
      </c>
      <c r="E190" s="179">
        <v>4978167000</v>
      </c>
      <c r="F190" s="179">
        <v>4978167000</v>
      </c>
      <c r="G190" s="179">
        <v>4978167000</v>
      </c>
      <c r="H190" s="179">
        <v>0</v>
      </c>
      <c r="I190" s="179">
        <v>0</v>
      </c>
      <c r="J190" s="179">
        <v>0</v>
      </c>
      <c r="K190" s="179">
        <v>1308000877.47</v>
      </c>
      <c r="L190" s="179">
        <v>1308000877.47</v>
      </c>
      <c r="M190" s="179">
        <v>3670166122.5300002</v>
      </c>
      <c r="N190" s="179">
        <v>3670166122.5300002</v>
      </c>
    </row>
    <row r="191" spans="1:14" s="156" customFormat="1" x14ac:dyDescent="0.25">
      <c r="A191" s="156" t="s">
        <v>545</v>
      </c>
      <c r="B191" s="156" t="s">
        <v>104</v>
      </c>
      <c r="C191" s="156" t="s">
        <v>105</v>
      </c>
      <c r="D191" s="156" t="s">
        <v>541</v>
      </c>
      <c r="E191" s="179">
        <v>913627000</v>
      </c>
      <c r="F191" s="179">
        <v>913627000</v>
      </c>
      <c r="G191" s="179">
        <v>913627000</v>
      </c>
      <c r="H191" s="179">
        <v>0</v>
      </c>
      <c r="I191" s="179">
        <v>0</v>
      </c>
      <c r="J191" s="179">
        <v>0</v>
      </c>
      <c r="K191" s="179">
        <v>186153709.15000001</v>
      </c>
      <c r="L191" s="179">
        <v>186153709.15000001</v>
      </c>
      <c r="M191" s="179">
        <v>727473290.85000002</v>
      </c>
      <c r="N191" s="179">
        <v>727473290.85000002</v>
      </c>
    </row>
    <row r="192" spans="1:14" s="156" customFormat="1" x14ac:dyDescent="0.25">
      <c r="A192" s="156" t="s">
        <v>545</v>
      </c>
      <c r="B192" s="156" t="s">
        <v>106</v>
      </c>
      <c r="C192" s="156" t="s">
        <v>107</v>
      </c>
      <c r="D192" s="156" t="s">
        <v>541</v>
      </c>
      <c r="E192" s="179">
        <v>2244831000</v>
      </c>
      <c r="F192" s="179">
        <v>2244831000</v>
      </c>
      <c r="G192" s="179">
        <v>2244831000</v>
      </c>
      <c r="H192" s="179">
        <v>0</v>
      </c>
      <c r="I192" s="179">
        <v>0</v>
      </c>
      <c r="J192" s="179">
        <v>0</v>
      </c>
      <c r="K192" s="179">
        <v>488577583.30000001</v>
      </c>
      <c r="L192" s="179">
        <v>488577583.30000001</v>
      </c>
      <c r="M192" s="179">
        <v>1756253416.7</v>
      </c>
      <c r="N192" s="179">
        <v>1756253416.7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0</v>
      </c>
      <c r="J193" s="179">
        <v>0</v>
      </c>
      <c r="K193" s="179">
        <v>493915397.87</v>
      </c>
      <c r="L193" s="179">
        <v>493915397.87</v>
      </c>
      <c r="M193" s="179">
        <v>47077602.130000003</v>
      </c>
      <c r="N193" s="179">
        <v>47077602.130000003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0</v>
      </c>
      <c r="J194" s="179">
        <v>0</v>
      </c>
      <c r="K194" s="179">
        <v>139354187.15000001</v>
      </c>
      <c r="L194" s="179">
        <v>139354187.15000001</v>
      </c>
      <c r="M194" s="179">
        <v>491522812.85000002</v>
      </c>
      <c r="N194" s="179">
        <v>491522812.85000002</v>
      </c>
    </row>
    <row r="195" spans="1:14" s="156" customFormat="1" x14ac:dyDescent="0.25">
      <c r="A195" s="156" t="s">
        <v>545</v>
      </c>
      <c r="B195" s="156" t="s">
        <v>112</v>
      </c>
      <c r="C195" s="156" t="s">
        <v>113</v>
      </c>
      <c r="D195" s="156" t="s">
        <v>543</v>
      </c>
      <c r="E195" s="179">
        <v>647839000</v>
      </c>
      <c r="F195" s="179">
        <v>647839000</v>
      </c>
      <c r="G195" s="179">
        <v>647839000</v>
      </c>
      <c r="H195" s="179">
        <v>0</v>
      </c>
      <c r="I195" s="179">
        <v>0</v>
      </c>
      <c r="J195" s="179">
        <v>0</v>
      </c>
      <c r="K195" s="179">
        <v>0</v>
      </c>
      <c r="L195" s="179">
        <v>0</v>
      </c>
      <c r="M195" s="179">
        <v>647839000</v>
      </c>
      <c r="N195" s="179">
        <v>647839000</v>
      </c>
    </row>
    <row r="196" spans="1:14" s="156" customFormat="1" x14ac:dyDescent="0.25">
      <c r="A196" s="156" t="s">
        <v>545</v>
      </c>
      <c r="B196" s="156" t="s">
        <v>114</v>
      </c>
      <c r="C196" s="156" t="s">
        <v>115</v>
      </c>
      <c r="D196" s="156" t="s">
        <v>541</v>
      </c>
      <c r="E196" s="179">
        <v>756883000</v>
      </c>
      <c r="F196" s="179">
        <v>756883000</v>
      </c>
      <c r="G196" s="179">
        <v>756883000</v>
      </c>
      <c r="H196" s="179">
        <v>0</v>
      </c>
      <c r="I196" s="179">
        <v>557085886</v>
      </c>
      <c r="J196" s="179">
        <v>0</v>
      </c>
      <c r="K196" s="179">
        <v>199797114</v>
      </c>
      <c r="L196" s="179">
        <v>199797114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315</v>
      </c>
      <c r="C197" s="156" t="s">
        <v>597</v>
      </c>
      <c r="D197" s="156" t="s">
        <v>541</v>
      </c>
      <c r="E197" s="179">
        <v>718069000</v>
      </c>
      <c r="F197" s="179">
        <v>718069000</v>
      </c>
      <c r="G197" s="179">
        <v>718069000</v>
      </c>
      <c r="H197" s="179">
        <v>0</v>
      </c>
      <c r="I197" s="179">
        <v>528516650</v>
      </c>
      <c r="J197" s="179">
        <v>0</v>
      </c>
      <c r="K197" s="179">
        <v>189552350</v>
      </c>
      <c r="L197" s="179">
        <v>189552350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38814000</v>
      </c>
      <c r="F198" s="179">
        <v>38814000</v>
      </c>
      <c r="G198" s="179">
        <v>38814000</v>
      </c>
      <c r="H198" s="179">
        <v>0</v>
      </c>
      <c r="I198" s="179">
        <v>28569236</v>
      </c>
      <c r="J198" s="179">
        <v>0</v>
      </c>
      <c r="K198" s="179">
        <v>10244764</v>
      </c>
      <c r="L198" s="179">
        <v>10244764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118</v>
      </c>
      <c r="C199" s="156" t="s">
        <v>119</v>
      </c>
      <c r="D199" s="156" t="s">
        <v>541</v>
      </c>
      <c r="E199" s="179">
        <v>743685000</v>
      </c>
      <c r="F199" s="179">
        <v>743685000</v>
      </c>
      <c r="G199" s="179">
        <v>743685000</v>
      </c>
      <c r="H199" s="179">
        <v>0</v>
      </c>
      <c r="I199" s="179">
        <v>550140089</v>
      </c>
      <c r="J199" s="179">
        <v>0</v>
      </c>
      <c r="K199" s="179">
        <v>193544911</v>
      </c>
      <c r="L199" s="179">
        <v>193544911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317</v>
      </c>
      <c r="C200" s="156" t="s">
        <v>598</v>
      </c>
      <c r="D200" s="156" t="s">
        <v>541</v>
      </c>
      <c r="E200" s="179">
        <v>394355000</v>
      </c>
      <c r="F200" s="179">
        <v>394355000</v>
      </c>
      <c r="G200" s="179">
        <v>394355000</v>
      </c>
      <c r="H200" s="179">
        <v>0</v>
      </c>
      <c r="I200" s="179">
        <v>293012766</v>
      </c>
      <c r="J200" s="179">
        <v>0</v>
      </c>
      <c r="K200" s="179">
        <v>101342234</v>
      </c>
      <c r="L200" s="179">
        <v>101342234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318</v>
      </c>
      <c r="C201" s="156" t="s">
        <v>599</v>
      </c>
      <c r="D201" s="156" t="s">
        <v>541</v>
      </c>
      <c r="E201" s="179">
        <v>116443000</v>
      </c>
      <c r="F201" s="179">
        <v>116443000</v>
      </c>
      <c r="G201" s="179">
        <v>116443000</v>
      </c>
      <c r="H201" s="179">
        <v>0</v>
      </c>
      <c r="I201" s="179">
        <v>85708798</v>
      </c>
      <c r="J201" s="179">
        <v>0</v>
      </c>
      <c r="K201" s="179">
        <v>30734202</v>
      </c>
      <c r="L201" s="179">
        <v>30734202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319</v>
      </c>
      <c r="C202" s="156" t="s">
        <v>600</v>
      </c>
      <c r="D202" s="156" t="s">
        <v>541</v>
      </c>
      <c r="E202" s="179">
        <v>232887000</v>
      </c>
      <c r="F202" s="179">
        <v>232887000</v>
      </c>
      <c r="G202" s="179">
        <v>232887000</v>
      </c>
      <c r="H202" s="179">
        <v>0</v>
      </c>
      <c r="I202" s="179">
        <v>171418525</v>
      </c>
      <c r="J202" s="179">
        <v>0</v>
      </c>
      <c r="K202" s="179">
        <v>61468475</v>
      </c>
      <c r="L202" s="179">
        <v>61468475</v>
      </c>
      <c r="M202" s="179">
        <v>0</v>
      </c>
      <c r="N202" s="179">
        <v>0</v>
      </c>
    </row>
    <row r="203" spans="1:14" s="156" customFormat="1" x14ac:dyDescent="0.25">
      <c r="A203" s="156" t="s">
        <v>545</v>
      </c>
      <c r="B203" s="156" t="s">
        <v>123</v>
      </c>
      <c r="C203" s="156" t="s">
        <v>124</v>
      </c>
      <c r="D203" s="156" t="s">
        <v>541</v>
      </c>
      <c r="E203" s="179">
        <v>1006874402</v>
      </c>
      <c r="F203" s="179">
        <v>1006874402</v>
      </c>
      <c r="G203" s="179">
        <v>532617900</v>
      </c>
      <c r="H203" s="179">
        <v>150000</v>
      </c>
      <c r="I203" s="179">
        <v>122006682.18000001</v>
      </c>
      <c r="J203" s="179">
        <v>5048142.54</v>
      </c>
      <c r="K203" s="179">
        <v>143171694.83000001</v>
      </c>
      <c r="L203" s="179">
        <v>131080641.23</v>
      </c>
      <c r="M203" s="179">
        <v>736497882.45000005</v>
      </c>
      <c r="N203" s="179">
        <v>262241380.44999999</v>
      </c>
    </row>
    <row r="204" spans="1:14" s="156" customFormat="1" x14ac:dyDescent="0.25">
      <c r="A204" s="156" t="s">
        <v>545</v>
      </c>
      <c r="B204" s="156" t="s">
        <v>125</v>
      </c>
      <c r="C204" s="156" t="s">
        <v>126</v>
      </c>
      <c r="D204" s="156" t="s">
        <v>541</v>
      </c>
      <c r="E204" s="179">
        <v>331717997</v>
      </c>
      <c r="F204" s="179">
        <v>331717997</v>
      </c>
      <c r="G204" s="179">
        <v>162338998</v>
      </c>
      <c r="H204" s="179">
        <v>0</v>
      </c>
      <c r="I204" s="179">
        <v>44532407.850000001</v>
      </c>
      <c r="J204" s="179">
        <v>0</v>
      </c>
      <c r="K204" s="179">
        <v>33479808.690000001</v>
      </c>
      <c r="L204" s="179">
        <v>32041633.140000001</v>
      </c>
      <c r="M204" s="179">
        <v>253705780.46000001</v>
      </c>
      <c r="N204" s="179">
        <v>84326781.459999993</v>
      </c>
    </row>
    <row r="205" spans="1:14" s="156" customFormat="1" x14ac:dyDescent="0.25">
      <c r="A205" s="156" t="s">
        <v>545</v>
      </c>
      <c r="B205" s="156" t="s">
        <v>306</v>
      </c>
      <c r="C205" s="156" t="s">
        <v>307</v>
      </c>
      <c r="D205" s="156" t="s">
        <v>541</v>
      </c>
      <c r="E205" s="179">
        <v>200526630</v>
      </c>
      <c r="F205" s="179">
        <v>200526630</v>
      </c>
      <c r="G205" s="179">
        <v>90343314</v>
      </c>
      <c r="H205" s="179">
        <v>0</v>
      </c>
      <c r="I205" s="179">
        <v>9621270</v>
      </c>
      <c r="J205" s="179">
        <v>0</v>
      </c>
      <c r="K205" s="179">
        <v>29949555</v>
      </c>
      <c r="L205" s="179">
        <v>29949555</v>
      </c>
      <c r="M205" s="179">
        <v>160955805</v>
      </c>
      <c r="N205" s="179">
        <v>50772489</v>
      </c>
    </row>
    <row r="206" spans="1:14" s="156" customFormat="1" x14ac:dyDescent="0.25">
      <c r="A206" s="156" t="s">
        <v>545</v>
      </c>
      <c r="B206" s="156" t="s">
        <v>320</v>
      </c>
      <c r="C206" s="156" t="s">
        <v>321</v>
      </c>
      <c r="D206" s="156" t="s">
        <v>541</v>
      </c>
      <c r="E206" s="179">
        <v>3933000</v>
      </c>
      <c r="F206" s="179">
        <v>3933000</v>
      </c>
      <c r="G206" s="179">
        <v>1966500</v>
      </c>
      <c r="H206" s="179">
        <v>0</v>
      </c>
      <c r="I206" s="179">
        <v>519308.13</v>
      </c>
      <c r="J206" s="179">
        <v>0</v>
      </c>
      <c r="K206" s="179">
        <v>252137.18</v>
      </c>
      <c r="L206" s="179">
        <v>252137.18</v>
      </c>
      <c r="M206" s="179">
        <v>3161554.69</v>
      </c>
      <c r="N206" s="179">
        <v>1195054.69</v>
      </c>
    </row>
    <row r="207" spans="1:14" s="156" customFormat="1" x14ac:dyDescent="0.25">
      <c r="A207" s="156" t="s">
        <v>545</v>
      </c>
      <c r="B207" s="156" t="s">
        <v>127</v>
      </c>
      <c r="C207" s="156" t="s">
        <v>128</v>
      </c>
      <c r="D207" s="156" t="s">
        <v>541</v>
      </c>
      <c r="E207" s="179">
        <v>98126131</v>
      </c>
      <c r="F207" s="179">
        <v>98126131</v>
      </c>
      <c r="G207" s="179">
        <v>53063066</v>
      </c>
      <c r="H207" s="179">
        <v>0</v>
      </c>
      <c r="I207" s="179">
        <v>25575340.710000001</v>
      </c>
      <c r="J207" s="179">
        <v>0</v>
      </c>
      <c r="K207" s="179">
        <v>2868324.01</v>
      </c>
      <c r="L207" s="179">
        <v>1430148.46</v>
      </c>
      <c r="M207" s="179">
        <v>69682466.280000001</v>
      </c>
      <c r="N207" s="179">
        <v>24619401.280000001</v>
      </c>
    </row>
    <row r="208" spans="1:14" s="156" customFormat="1" x14ac:dyDescent="0.25">
      <c r="A208" s="156" t="s">
        <v>545</v>
      </c>
      <c r="B208" s="156" t="s">
        <v>322</v>
      </c>
      <c r="C208" s="156" t="s">
        <v>323</v>
      </c>
      <c r="D208" s="156" t="s">
        <v>541</v>
      </c>
      <c r="E208" s="179">
        <v>1774000</v>
      </c>
      <c r="F208" s="179">
        <v>1774000</v>
      </c>
      <c r="G208" s="179">
        <v>1087000</v>
      </c>
      <c r="H208" s="179">
        <v>0</v>
      </c>
      <c r="I208" s="179">
        <v>169369.65</v>
      </c>
      <c r="J208" s="179">
        <v>0</v>
      </c>
      <c r="K208" s="179">
        <v>409792.5</v>
      </c>
      <c r="L208" s="179">
        <v>409792.5</v>
      </c>
      <c r="M208" s="179">
        <v>1194837.8500000001</v>
      </c>
      <c r="N208" s="179">
        <v>507837.85</v>
      </c>
    </row>
    <row r="209" spans="1:14" s="156" customFormat="1" x14ac:dyDescent="0.25">
      <c r="A209" s="156" t="s">
        <v>545</v>
      </c>
      <c r="B209" s="156" t="s">
        <v>129</v>
      </c>
      <c r="C209" s="156" t="s">
        <v>130</v>
      </c>
      <c r="D209" s="156" t="s">
        <v>541</v>
      </c>
      <c r="E209" s="179">
        <v>27358236</v>
      </c>
      <c r="F209" s="179">
        <v>27358236</v>
      </c>
      <c r="G209" s="179">
        <v>15879118</v>
      </c>
      <c r="H209" s="179">
        <v>0</v>
      </c>
      <c r="I209" s="179">
        <v>8647119.3599999994</v>
      </c>
      <c r="J209" s="179">
        <v>0</v>
      </c>
      <c r="K209" s="179">
        <v>0</v>
      </c>
      <c r="L209" s="179">
        <v>0</v>
      </c>
      <c r="M209" s="179">
        <v>18711116.640000001</v>
      </c>
      <c r="N209" s="179">
        <v>7231998.6399999997</v>
      </c>
    </row>
    <row r="210" spans="1:14" s="156" customFormat="1" x14ac:dyDescent="0.25">
      <c r="A210" s="156" t="s">
        <v>545</v>
      </c>
      <c r="B210" s="156" t="s">
        <v>131</v>
      </c>
      <c r="C210" s="156" t="s">
        <v>132</v>
      </c>
      <c r="D210" s="156" t="s">
        <v>541</v>
      </c>
      <c r="E210" s="179">
        <v>126929000</v>
      </c>
      <c r="F210" s="179">
        <v>126929000</v>
      </c>
      <c r="G210" s="179">
        <v>69914500</v>
      </c>
      <c r="H210" s="179">
        <v>0</v>
      </c>
      <c r="I210" s="179">
        <v>9689032.3599999994</v>
      </c>
      <c r="J210" s="179">
        <v>0</v>
      </c>
      <c r="K210" s="179">
        <v>25364593.399999999</v>
      </c>
      <c r="L210" s="179">
        <v>22291508.399999999</v>
      </c>
      <c r="M210" s="179">
        <v>91875374.239999995</v>
      </c>
      <c r="N210" s="179">
        <v>34860874.240000002</v>
      </c>
    </row>
    <row r="211" spans="1:14" s="156" customFormat="1" x14ac:dyDescent="0.25">
      <c r="A211" s="156" t="s">
        <v>545</v>
      </c>
      <c r="B211" s="156" t="s">
        <v>133</v>
      </c>
      <c r="C211" s="156" t="s">
        <v>134</v>
      </c>
      <c r="D211" s="156" t="s">
        <v>541</v>
      </c>
      <c r="E211" s="179">
        <v>13400000</v>
      </c>
      <c r="F211" s="179">
        <v>13400000</v>
      </c>
      <c r="G211" s="179">
        <v>9700000</v>
      </c>
      <c r="H211" s="179">
        <v>0</v>
      </c>
      <c r="I211" s="179">
        <v>3400000</v>
      </c>
      <c r="J211" s="179">
        <v>0</v>
      </c>
      <c r="K211" s="179">
        <v>2722595</v>
      </c>
      <c r="L211" s="179">
        <v>2722595</v>
      </c>
      <c r="M211" s="179">
        <v>7277405</v>
      </c>
      <c r="N211" s="179">
        <v>3577405</v>
      </c>
    </row>
    <row r="212" spans="1:14" s="156" customFormat="1" x14ac:dyDescent="0.25">
      <c r="A212" s="156" t="s">
        <v>545</v>
      </c>
      <c r="B212" s="156" t="s">
        <v>135</v>
      </c>
      <c r="C212" s="156" t="s">
        <v>136</v>
      </c>
      <c r="D212" s="156" t="s">
        <v>541</v>
      </c>
      <c r="E212" s="179">
        <v>49200000</v>
      </c>
      <c r="F212" s="179">
        <v>49200000</v>
      </c>
      <c r="G212" s="179">
        <v>26300000</v>
      </c>
      <c r="H212" s="179">
        <v>0</v>
      </c>
      <c r="I212" s="179">
        <v>1173595</v>
      </c>
      <c r="J212" s="179">
        <v>0</v>
      </c>
      <c r="K212" s="179">
        <v>12724160</v>
      </c>
      <c r="L212" s="179">
        <v>9900325</v>
      </c>
      <c r="M212" s="179">
        <v>35302245</v>
      </c>
      <c r="N212" s="179">
        <v>12402245</v>
      </c>
    </row>
    <row r="213" spans="1:14" s="156" customFormat="1" x14ac:dyDescent="0.25">
      <c r="A213" s="156" t="s">
        <v>545</v>
      </c>
      <c r="B213" s="156" t="s">
        <v>137</v>
      </c>
      <c r="C213" s="156" t="s">
        <v>138</v>
      </c>
      <c r="D213" s="156" t="s">
        <v>541</v>
      </c>
      <c r="E213" s="179">
        <v>12000000</v>
      </c>
      <c r="F213" s="179">
        <v>12000000</v>
      </c>
      <c r="G213" s="179">
        <v>5550000</v>
      </c>
      <c r="H213" s="179">
        <v>0</v>
      </c>
      <c r="I213" s="179">
        <v>477180</v>
      </c>
      <c r="J213" s="179">
        <v>0</v>
      </c>
      <c r="K213" s="179">
        <v>731520</v>
      </c>
      <c r="L213" s="179">
        <v>482270</v>
      </c>
      <c r="M213" s="179">
        <v>10791300</v>
      </c>
      <c r="N213" s="179">
        <v>4341300</v>
      </c>
    </row>
    <row r="214" spans="1:14" s="156" customFormat="1" x14ac:dyDescent="0.25">
      <c r="A214" s="156" t="s">
        <v>545</v>
      </c>
      <c r="B214" s="156" t="s">
        <v>139</v>
      </c>
      <c r="C214" s="156" t="s">
        <v>140</v>
      </c>
      <c r="D214" s="156" t="s">
        <v>541</v>
      </c>
      <c r="E214" s="179">
        <v>47604000</v>
      </c>
      <c r="F214" s="179">
        <v>47604000</v>
      </c>
      <c r="G214" s="179">
        <v>25802000</v>
      </c>
      <c r="H214" s="179">
        <v>0</v>
      </c>
      <c r="I214" s="179">
        <v>4396864.8099999996</v>
      </c>
      <c r="J214" s="179">
        <v>0</v>
      </c>
      <c r="K214" s="179">
        <v>8046710.9500000002</v>
      </c>
      <c r="L214" s="179">
        <v>8046710.9500000002</v>
      </c>
      <c r="M214" s="179">
        <v>35160424.240000002</v>
      </c>
      <c r="N214" s="179">
        <v>13358424.24</v>
      </c>
    </row>
    <row r="215" spans="1:14" s="156" customFormat="1" x14ac:dyDescent="0.25">
      <c r="A215" s="156" t="s">
        <v>545</v>
      </c>
      <c r="B215" s="156" t="s">
        <v>141</v>
      </c>
      <c r="C215" s="156" t="s">
        <v>142</v>
      </c>
      <c r="D215" s="156" t="s">
        <v>541</v>
      </c>
      <c r="E215" s="179">
        <v>4725000</v>
      </c>
      <c r="F215" s="179">
        <v>4725000</v>
      </c>
      <c r="G215" s="179">
        <v>2562500</v>
      </c>
      <c r="H215" s="179">
        <v>0</v>
      </c>
      <c r="I215" s="179">
        <v>241392.55</v>
      </c>
      <c r="J215" s="179">
        <v>0</v>
      </c>
      <c r="K215" s="179">
        <v>1139607.45</v>
      </c>
      <c r="L215" s="179">
        <v>1139607.45</v>
      </c>
      <c r="M215" s="179">
        <v>3344000</v>
      </c>
      <c r="N215" s="179">
        <v>1181500</v>
      </c>
    </row>
    <row r="216" spans="1:14" s="156" customFormat="1" x14ac:dyDescent="0.25">
      <c r="A216" s="156" t="s">
        <v>545</v>
      </c>
      <c r="B216" s="156" t="s">
        <v>143</v>
      </c>
      <c r="C216" s="156" t="s">
        <v>144</v>
      </c>
      <c r="D216" s="156" t="s">
        <v>541</v>
      </c>
      <c r="E216" s="179">
        <v>3746000</v>
      </c>
      <c r="F216" s="179">
        <v>3746000</v>
      </c>
      <c r="G216" s="179">
        <v>2153700</v>
      </c>
      <c r="H216" s="179">
        <v>0</v>
      </c>
      <c r="I216" s="179">
        <v>752703.57</v>
      </c>
      <c r="J216" s="179">
        <v>0</v>
      </c>
      <c r="K216" s="179">
        <v>147379.65</v>
      </c>
      <c r="L216" s="179">
        <v>147379.65</v>
      </c>
      <c r="M216" s="179">
        <v>2845916.78</v>
      </c>
      <c r="N216" s="179">
        <v>1253616.78</v>
      </c>
    </row>
    <row r="217" spans="1:14" s="156" customFormat="1" x14ac:dyDescent="0.25">
      <c r="A217" s="156" t="s">
        <v>545</v>
      </c>
      <c r="B217" s="156" t="s">
        <v>145</v>
      </c>
      <c r="C217" s="156" t="s">
        <v>146</v>
      </c>
      <c r="D217" s="156" t="s">
        <v>541</v>
      </c>
      <c r="E217" s="179">
        <v>500000</v>
      </c>
      <c r="F217" s="179">
        <v>500000</v>
      </c>
      <c r="G217" s="179">
        <v>430700</v>
      </c>
      <c r="H217" s="179">
        <v>0</v>
      </c>
      <c r="I217" s="179">
        <v>100000</v>
      </c>
      <c r="J217" s="179">
        <v>0</v>
      </c>
      <c r="K217" s="179">
        <v>71970</v>
      </c>
      <c r="L217" s="179">
        <v>71970</v>
      </c>
      <c r="M217" s="179">
        <v>328030</v>
      </c>
      <c r="N217" s="179">
        <v>258730</v>
      </c>
    </row>
    <row r="218" spans="1:14" s="156" customFormat="1" x14ac:dyDescent="0.25">
      <c r="A218" s="156" t="s">
        <v>545</v>
      </c>
      <c r="B218" s="156" t="s">
        <v>147</v>
      </c>
      <c r="C218" s="156" t="s">
        <v>148</v>
      </c>
      <c r="D218" s="156" t="s">
        <v>541</v>
      </c>
      <c r="E218" s="179">
        <v>1000000</v>
      </c>
      <c r="F218" s="179">
        <v>1000000</v>
      </c>
      <c r="G218" s="179">
        <v>500000</v>
      </c>
      <c r="H218" s="179">
        <v>0</v>
      </c>
      <c r="I218" s="179">
        <v>147000</v>
      </c>
      <c r="J218" s="179">
        <v>0</v>
      </c>
      <c r="K218" s="179">
        <v>21950</v>
      </c>
      <c r="L218" s="179">
        <v>21950</v>
      </c>
      <c r="M218" s="179">
        <v>831050</v>
      </c>
      <c r="N218" s="179">
        <v>331050</v>
      </c>
    </row>
    <row r="219" spans="1:14" s="156" customFormat="1" x14ac:dyDescent="0.25">
      <c r="A219" s="156" t="s">
        <v>545</v>
      </c>
      <c r="B219" s="156" t="s">
        <v>149</v>
      </c>
      <c r="C219" s="156" t="s">
        <v>150</v>
      </c>
      <c r="D219" s="156" t="s">
        <v>541</v>
      </c>
      <c r="E219" s="179">
        <v>200000</v>
      </c>
      <c r="F219" s="179">
        <v>200000</v>
      </c>
      <c r="G219" s="179">
        <v>200000</v>
      </c>
      <c r="H219" s="179">
        <v>0</v>
      </c>
      <c r="I219" s="179">
        <v>75337.5</v>
      </c>
      <c r="J219" s="179">
        <v>0</v>
      </c>
      <c r="K219" s="179">
        <v>21894</v>
      </c>
      <c r="L219" s="179">
        <v>21894</v>
      </c>
      <c r="M219" s="179">
        <v>102768.5</v>
      </c>
      <c r="N219" s="179">
        <v>102768.5</v>
      </c>
    </row>
    <row r="220" spans="1:14" s="156" customFormat="1" x14ac:dyDescent="0.25">
      <c r="A220" s="156" t="s">
        <v>545</v>
      </c>
      <c r="B220" s="156" t="s">
        <v>326</v>
      </c>
      <c r="C220" s="156" t="s">
        <v>327</v>
      </c>
      <c r="D220" s="156" t="s">
        <v>541</v>
      </c>
      <c r="E220" s="179">
        <v>2046000</v>
      </c>
      <c r="F220" s="179">
        <v>2046000</v>
      </c>
      <c r="G220" s="179">
        <v>1023000</v>
      </c>
      <c r="H220" s="179">
        <v>0</v>
      </c>
      <c r="I220" s="179">
        <v>430366.07</v>
      </c>
      <c r="J220" s="179">
        <v>0</v>
      </c>
      <c r="K220" s="179">
        <v>31565.65</v>
      </c>
      <c r="L220" s="179">
        <v>31565.65</v>
      </c>
      <c r="M220" s="179">
        <v>1584068.28</v>
      </c>
      <c r="N220" s="179">
        <v>561068.28</v>
      </c>
    </row>
    <row r="221" spans="1:14" s="156" customFormat="1" x14ac:dyDescent="0.25">
      <c r="A221" s="156" t="s">
        <v>545</v>
      </c>
      <c r="B221" s="156" t="s">
        <v>151</v>
      </c>
      <c r="C221" s="156" t="s">
        <v>152</v>
      </c>
      <c r="D221" s="156" t="s">
        <v>541</v>
      </c>
      <c r="E221" s="179">
        <v>334518795</v>
      </c>
      <c r="F221" s="179">
        <v>334518795</v>
      </c>
      <c r="G221" s="179">
        <v>178359398</v>
      </c>
      <c r="H221" s="179">
        <v>0</v>
      </c>
      <c r="I221" s="179">
        <v>42857819.859999999</v>
      </c>
      <c r="J221" s="179">
        <v>3415152</v>
      </c>
      <c r="K221" s="179">
        <v>47494230.039999999</v>
      </c>
      <c r="L221" s="179">
        <v>41781627.990000002</v>
      </c>
      <c r="M221" s="179">
        <v>240751593.09999999</v>
      </c>
      <c r="N221" s="179">
        <v>84592196.099999994</v>
      </c>
    </row>
    <row r="222" spans="1:14" s="156" customFormat="1" x14ac:dyDescent="0.25">
      <c r="A222" s="156" t="s">
        <v>545</v>
      </c>
      <c r="B222" s="156" t="s">
        <v>328</v>
      </c>
      <c r="C222" s="156" t="s">
        <v>329</v>
      </c>
      <c r="D222" s="156" t="s">
        <v>541</v>
      </c>
      <c r="E222" s="179">
        <v>2000000</v>
      </c>
      <c r="F222" s="179">
        <v>2000000</v>
      </c>
      <c r="G222" s="179">
        <v>800000</v>
      </c>
      <c r="H222" s="179">
        <v>0</v>
      </c>
      <c r="I222" s="179">
        <v>0</v>
      </c>
      <c r="J222" s="179">
        <v>0</v>
      </c>
      <c r="K222" s="179">
        <v>0</v>
      </c>
      <c r="L222" s="179">
        <v>0</v>
      </c>
      <c r="M222" s="179">
        <v>2000000</v>
      </c>
      <c r="N222" s="179">
        <v>800000</v>
      </c>
    </row>
    <row r="223" spans="1:14" s="156" customFormat="1" x14ac:dyDescent="0.25">
      <c r="A223" s="156" t="s">
        <v>545</v>
      </c>
      <c r="B223" s="156" t="s">
        <v>330</v>
      </c>
      <c r="C223" s="156" t="s">
        <v>604</v>
      </c>
      <c r="D223" s="156" t="s">
        <v>541</v>
      </c>
      <c r="E223" s="179">
        <v>5000000</v>
      </c>
      <c r="F223" s="179">
        <v>5000000</v>
      </c>
      <c r="G223" s="179">
        <v>5000000</v>
      </c>
      <c r="H223" s="179">
        <v>0</v>
      </c>
      <c r="I223" s="179">
        <v>4556956</v>
      </c>
      <c r="J223" s="179">
        <v>0</v>
      </c>
      <c r="K223" s="179">
        <v>0</v>
      </c>
      <c r="L223" s="179">
        <v>0</v>
      </c>
      <c r="M223" s="179">
        <v>443044</v>
      </c>
      <c r="N223" s="179">
        <v>443044</v>
      </c>
    </row>
    <row r="224" spans="1:14" s="156" customFormat="1" x14ac:dyDescent="0.25">
      <c r="A224" s="156" t="s">
        <v>545</v>
      </c>
      <c r="B224" s="156" t="s">
        <v>154</v>
      </c>
      <c r="C224" s="156" t="s">
        <v>155</v>
      </c>
      <c r="D224" s="156" t="s">
        <v>541</v>
      </c>
      <c r="E224" s="179">
        <v>319951179</v>
      </c>
      <c r="F224" s="179">
        <v>319951179</v>
      </c>
      <c r="G224" s="179">
        <v>166175590</v>
      </c>
      <c r="H224" s="179">
        <v>0</v>
      </c>
      <c r="I224" s="179">
        <v>35399093.520000003</v>
      </c>
      <c r="J224" s="179">
        <v>3415152</v>
      </c>
      <c r="K224" s="179">
        <v>47373035.039999999</v>
      </c>
      <c r="L224" s="179">
        <v>41712902.990000002</v>
      </c>
      <c r="M224" s="179">
        <v>233763898.44</v>
      </c>
      <c r="N224" s="179">
        <v>79988309.439999998</v>
      </c>
    </row>
    <row r="225" spans="1:14" s="156" customFormat="1" x14ac:dyDescent="0.25">
      <c r="A225" s="156" t="s">
        <v>545</v>
      </c>
      <c r="B225" s="156" t="s">
        <v>156</v>
      </c>
      <c r="C225" s="156" t="s">
        <v>157</v>
      </c>
      <c r="D225" s="156" t="s">
        <v>541</v>
      </c>
      <c r="E225" s="179">
        <v>7567616</v>
      </c>
      <c r="F225" s="179">
        <v>7567616</v>
      </c>
      <c r="G225" s="179">
        <v>6383808</v>
      </c>
      <c r="H225" s="179">
        <v>0</v>
      </c>
      <c r="I225" s="179">
        <v>2901770.34</v>
      </c>
      <c r="J225" s="179">
        <v>0</v>
      </c>
      <c r="K225" s="179">
        <v>121195</v>
      </c>
      <c r="L225" s="179">
        <v>68725</v>
      </c>
      <c r="M225" s="179">
        <v>4544650.66</v>
      </c>
      <c r="N225" s="179">
        <v>3360842.66</v>
      </c>
    </row>
    <row r="226" spans="1:14" s="156" customFormat="1" x14ac:dyDescent="0.25">
      <c r="A226" s="156" t="s">
        <v>545</v>
      </c>
      <c r="B226" s="156" t="s">
        <v>158</v>
      </c>
      <c r="C226" s="156" t="s">
        <v>159</v>
      </c>
      <c r="D226" s="156" t="s">
        <v>541</v>
      </c>
      <c r="E226" s="179">
        <v>33445676</v>
      </c>
      <c r="F226" s="179">
        <v>33445676</v>
      </c>
      <c r="G226" s="179">
        <v>24542838</v>
      </c>
      <c r="H226" s="179">
        <v>0</v>
      </c>
      <c r="I226" s="179">
        <v>6847612</v>
      </c>
      <c r="J226" s="179">
        <v>0</v>
      </c>
      <c r="K226" s="179">
        <v>8214058</v>
      </c>
      <c r="L226" s="179">
        <v>8184558</v>
      </c>
      <c r="M226" s="179">
        <v>18384006</v>
      </c>
      <c r="N226" s="179">
        <v>9481168</v>
      </c>
    </row>
    <row r="227" spans="1:14" s="156" customFormat="1" x14ac:dyDescent="0.25">
      <c r="A227" s="156" t="s">
        <v>545</v>
      </c>
      <c r="B227" s="156" t="s">
        <v>160</v>
      </c>
      <c r="C227" s="156" t="s">
        <v>161</v>
      </c>
      <c r="D227" s="156" t="s">
        <v>541</v>
      </c>
      <c r="E227" s="179">
        <v>1700000</v>
      </c>
      <c r="F227" s="179">
        <v>1700000</v>
      </c>
      <c r="G227" s="179">
        <v>850000</v>
      </c>
      <c r="H227" s="179">
        <v>0</v>
      </c>
      <c r="I227" s="179">
        <v>154400</v>
      </c>
      <c r="J227" s="179">
        <v>0</v>
      </c>
      <c r="K227" s="179">
        <v>191220</v>
      </c>
      <c r="L227" s="179">
        <v>191220</v>
      </c>
      <c r="M227" s="179">
        <v>1354380</v>
      </c>
      <c r="N227" s="179">
        <v>504380</v>
      </c>
    </row>
    <row r="228" spans="1:14" s="156" customFormat="1" x14ac:dyDescent="0.25">
      <c r="A228" s="156" t="s">
        <v>545</v>
      </c>
      <c r="B228" s="156" t="s">
        <v>162</v>
      </c>
      <c r="C228" s="156" t="s">
        <v>163</v>
      </c>
      <c r="D228" s="156" t="s">
        <v>541</v>
      </c>
      <c r="E228" s="179">
        <v>24979191</v>
      </c>
      <c r="F228" s="179">
        <v>24979191</v>
      </c>
      <c r="G228" s="179">
        <v>18489596</v>
      </c>
      <c r="H228" s="179">
        <v>0</v>
      </c>
      <c r="I228" s="179">
        <v>3559950</v>
      </c>
      <c r="J228" s="179">
        <v>0</v>
      </c>
      <c r="K228" s="179">
        <v>7656100</v>
      </c>
      <c r="L228" s="179">
        <v>7626600</v>
      </c>
      <c r="M228" s="179">
        <v>13763141</v>
      </c>
      <c r="N228" s="179">
        <v>7273546</v>
      </c>
    </row>
    <row r="229" spans="1:14" s="156" customFormat="1" x14ac:dyDescent="0.25">
      <c r="A229" s="156" t="s">
        <v>545</v>
      </c>
      <c r="B229" s="156" t="s">
        <v>164</v>
      </c>
      <c r="C229" s="156" t="s">
        <v>165</v>
      </c>
      <c r="D229" s="156" t="s">
        <v>541</v>
      </c>
      <c r="E229" s="179">
        <v>2035715</v>
      </c>
      <c r="F229" s="179">
        <v>2035715</v>
      </c>
      <c r="G229" s="179">
        <v>1017858</v>
      </c>
      <c r="H229" s="179">
        <v>0</v>
      </c>
      <c r="I229" s="179">
        <v>133262</v>
      </c>
      <c r="J229" s="179">
        <v>0</v>
      </c>
      <c r="K229" s="179">
        <v>366738</v>
      </c>
      <c r="L229" s="179">
        <v>366738</v>
      </c>
      <c r="M229" s="179">
        <v>1535715</v>
      </c>
      <c r="N229" s="179">
        <v>517858</v>
      </c>
    </row>
    <row r="230" spans="1:14" s="156" customFormat="1" x14ac:dyDescent="0.25">
      <c r="A230" s="156" t="s">
        <v>545</v>
      </c>
      <c r="B230" s="156" t="s">
        <v>166</v>
      </c>
      <c r="C230" s="156" t="s">
        <v>167</v>
      </c>
      <c r="D230" s="156" t="s">
        <v>541</v>
      </c>
      <c r="E230" s="179">
        <v>4730770</v>
      </c>
      <c r="F230" s="179">
        <v>4730770</v>
      </c>
      <c r="G230" s="179">
        <v>4185384</v>
      </c>
      <c r="H230" s="179">
        <v>0</v>
      </c>
      <c r="I230" s="179">
        <v>3000000</v>
      </c>
      <c r="J230" s="179">
        <v>0</v>
      </c>
      <c r="K230" s="179">
        <v>0</v>
      </c>
      <c r="L230" s="179">
        <v>0</v>
      </c>
      <c r="M230" s="179">
        <v>1730770</v>
      </c>
      <c r="N230" s="179">
        <v>1185384</v>
      </c>
    </row>
    <row r="231" spans="1:14" s="156" customFormat="1" x14ac:dyDescent="0.25">
      <c r="A231" s="156" t="s">
        <v>545</v>
      </c>
      <c r="B231" s="156" t="s">
        <v>168</v>
      </c>
      <c r="C231" s="156" t="s">
        <v>169</v>
      </c>
      <c r="D231" s="156" t="s">
        <v>541</v>
      </c>
      <c r="E231" s="179">
        <v>83546141</v>
      </c>
      <c r="F231" s="179">
        <v>83546141</v>
      </c>
      <c r="G231" s="179">
        <v>44073070</v>
      </c>
      <c r="H231" s="179">
        <v>0</v>
      </c>
      <c r="I231" s="179">
        <v>136095</v>
      </c>
      <c r="J231" s="179">
        <v>0</v>
      </c>
      <c r="K231" s="179">
        <v>22994033</v>
      </c>
      <c r="L231" s="179">
        <v>22121842</v>
      </c>
      <c r="M231" s="179">
        <v>60416013</v>
      </c>
      <c r="N231" s="179">
        <v>20942942</v>
      </c>
    </row>
    <row r="232" spans="1:14" s="156" customFormat="1" x14ac:dyDescent="0.25">
      <c r="A232" s="156" t="s">
        <v>545</v>
      </c>
      <c r="B232" s="156" t="s">
        <v>170</v>
      </c>
      <c r="C232" s="156" t="s">
        <v>171</v>
      </c>
      <c r="D232" s="156" t="s">
        <v>541</v>
      </c>
      <c r="E232" s="179">
        <v>83546141</v>
      </c>
      <c r="F232" s="179">
        <v>83546141</v>
      </c>
      <c r="G232" s="179">
        <v>44073070</v>
      </c>
      <c r="H232" s="179">
        <v>0</v>
      </c>
      <c r="I232" s="179">
        <v>136095</v>
      </c>
      <c r="J232" s="179">
        <v>0</v>
      </c>
      <c r="K232" s="179">
        <v>22994033</v>
      </c>
      <c r="L232" s="179">
        <v>22121842</v>
      </c>
      <c r="M232" s="179">
        <v>60416013</v>
      </c>
      <c r="N232" s="179">
        <v>20942942</v>
      </c>
    </row>
    <row r="233" spans="1:14" s="156" customFormat="1" x14ac:dyDescent="0.25">
      <c r="A233" s="156" t="s">
        <v>545</v>
      </c>
      <c r="B233" s="156" t="s">
        <v>172</v>
      </c>
      <c r="C233" s="156" t="s">
        <v>173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309</v>
      </c>
      <c r="C234" s="156" t="s">
        <v>310</v>
      </c>
      <c r="D234" s="156" t="s">
        <v>541</v>
      </c>
      <c r="E234" s="179">
        <v>0</v>
      </c>
      <c r="F234" s="179">
        <v>0</v>
      </c>
      <c r="G234" s="179">
        <v>0</v>
      </c>
      <c r="H234" s="179">
        <v>0</v>
      </c>
      <c r="I234" s="179">
        <v>0</v>
      </c>
      <c r="J234" s="179">
        <v>0</v>
      </c>
      <c r="K234" s="179">
        <v>0</v>
      </c>
      <c r="L234" s="179">
        <v>0</v>
      </c>
      <c r="M234" s="179">
        <v>0</v>
      </c>
      <c r="N234" s="179">
        <v>0</v>
      </c>
    </row>
    <row r="235" spans="1:14" s="156" customFormat="1" x14ac:dyDescent="0.25">
      <c r="A235" s="156" t="s">
        <v>545</v>
      </c>
      <c r="B235" s="156" t="s">
        <v>178</v>
      </c>
      <c r="C235" s="156" t="s">
        <v>179</v>
      </c>
      <c r="D235" s="156" t="s">
        <v>541</v>
      </c>
      <c r="E235" s="179">
        <v>89480793</v>
      </c>
      <c r="F235" s="179">
        <v>89480793</v>
      </c>
      <c r="G235" s="179">
        <v>49290396</v>
      </c>
      <c r="H235" s="179">
        <v>150000</v>
      </c>
      <c r="I235" s="179">
        <v>17052803.760000002</v>
      </c>
      <c r="J235" s="179">
        <v>1632990.54</v>
      </c>
      <c r="K235" s="179">
        <v>5477592.0499999998</v>
      </c>
      <c r="L235" s="179">
        <v>4512092.05</v>
      </c>
      <c r="M235" s="179">
        <v>65167406.649999999</v>
      </c>
      <c r="N235" s="179">
        <v>24977009.649999999</v>
      </c>
    </row>
    <row r="236" spans="1:14" s="156" customFormat="1" x14ac:dyDescent="0.25">
      <c r="A236" s="156" t="s">
        <v>545</v>
      </c>
      <c r="B236" s="156" t="s">
        <v>180</v>
      </c>
      <c r="C236" s="156" t="s">
        <v>181</v>
      </c>
      <c r="D236" s="156" t="s">
        <v>541</v>
      </c>
      <c r="E236" s="179">
        <v>13000000</v>
      </c>
      <c r="F236" s="179">
        <v>13000000</v>
      </c>
      <c r="G236" s="179">
        <v>8000000</v>
      </c>
      <c r="H236" s="179">
        <v>0</v>
      </c>
      <c r="I236" s="179">
        <v>2585500</v>
      </c>
      <c r="J236" s="179">
        <v>0</v>
      </c>
      <c r="K236" s="179">
        <v>1914772.92</v>
      </c>
      <c r="L236" s="179">
        <v>1759272.92</v>
      </c>
      <c r="M236" s="179">
        <v>8499727.0800000001</v>
      </c>
      <c r="N236" s="179">
        <v>3499727.08</v>
      </c>
    </row>
    <row r="237" spans="1:14" s="156" customFormat="1" x14ac:dyDescent="0.25">
      <c r="A237" s="156" t="s">
        <v>545</v>
      </c>
      <c r="B237" s="156" t="s">
        <v>332</v>
      </c>
      <c r="C237" s="156" t="s">
        <v>333</v>
      </c>
      <c r="D237" s="156" t="s">
        <v>541</v>
      </c>
      <c r="E237" s="179">
        <v>1918000</v>
      </c>
      <c r="F237" s="179">
        <v>1918000</v>
      </c>
      <c r="G237" s="179">
        <v>1359000</v>
      </c>
      <c r="H237" s="179">
        <v>0</v>
      </c>
      <c r="I237" s="179">
        <v>408118.5</v>
      </c>
      <c r="J237" s="179">
        <v>0</v>
      </c>
      <c r="K237" s="179">
        <v>380131.25</v>
      </c>
      <c r="L237" s="179">
        <v>380131.25</v>
      </c>
      <c r="M237" s="179">
        <v>1129750.25</v>
      </c>
      <c r="N237" s="179">
        <v>570750.25</v>
      </c>
    </row>
    <row r="238" spans="1:14" s="156" customFormat="1" x14ac:dyDescent="0.25">
      <c r="A238" s="156" t="s">
        <v>545</v>
      </c>
      <c r="B238" s="156" t="s">
        <v>182</v>
      </c>
      <c r="C238" s="156" t="s">
        <v>183</v>
      </c>
      <c r="D238" s="156" t="s">
        <v>541</v>
      </c>
      <c r="E238" s="179">
        <v>25420000</v>
      </c>
      <c r="F238" s="179">
        <v>25420000</v>
      </c>
      <c r="G238" s="179">
        <v>18660000</v>
      </c>
      <c r="H238" s="179">
        <v>0</v>
      </c>
      <c r="I238" s="179">
        <v>11441423</v>
      </c>
      <c r="J238" s="179">
        <v>0</v>
      </c>
      <c r="K238" s="179">
        <v>486256</v>
      </c>
      <c r="L238" s="179">
        <v>486256</v>
      </c>
      <c r="M238" s="179">
        <v>13492321</v>
      </c>
      <c r="N238" s="179">
        <v>6732321</v>
      </c>
    </row>
    <row r="239" spans="1:14" s="156" customFormat="1" x14ac:dyDescent="0.25">
      <c r="A239" s="156" t="s">
        <v>545</v>
      </c>
      <c r="B239" s="156" t="s">
        <v>184</v>
      </c>
      <c r="C239" s="156" t="s">
        <v>185</v>
      </c>
      <c r="D239" s="156" t="s">
        <v>541</v>
      </c>
      <c r="E239" s="179">
        <v>7181770</v>
      </c>
      <c r="F239" s="179">
        <v>7181770</v>
      </c>
      <c r="G239" s="179">
        <v>3590884</v>
      </c>
      <c r="H239" s="179">
        <v>0</v>
      </c>
      <c r="I239" s="179">
        <v>320263.67999999999</v>
      </c>
      <c r="J239" s="179">
        <v>800850</v>
      </c>
      <c r="K239" s="179">
        <v>0</v>
      </c>
      <c r="L239" s="179">
        <v>0</v>
      </c>
      <c r="M239" s="179">
        <v>6060656.3200000003</v>
      </c>
      <c r="N239" s="179">
        <v>2469770.3199999998</v>
      </c>
    </row>
    <row r="240" spans="1:14" s="156" customFormat="1" x14ac:dyDescent="0.25">
      <c r="A240" s="156" t="s">
        <v>545</v>
      </c>
      <c r="B240" s="156" t="s">
        <v>186</v>
      </c>
      <c r="C240" s="156" t="s">
        <v>187</v>
      </c>
      <c r="D240" s="156" t="s">
        <v>541</v>
      </c>
      <c r="E240" s="179">
        <v>8196286</v>
      </c>
      <c r="F240" s="179">
        <v>8196286</v>
      </c>
      <c r="G240" s="179">
        <v>4098144</v>
      </c>
      <c r="H240" s="179">
        <v>150000</v>
      </c>
      <c r="I240" s="179">
        <v>620000</v>
      </c>
      <c r="J240" s="179">
        <v>832140.54</v>
      </c>
      <c r="K240" s="179">
        <v>60000</v>
      </c>
      <c r="L240" s="179">
        <v>60000</v>
      </c>
      <c r="M240" s="179">
        <v>6534145.46</v>
      </c>
      <c r="N240" s="179">
        <v>2436003.46</v>
      </c>
    </row>
    <row r="241" spans="1:14" s="156" customFormat="1" x14ac:dyDescent="0.25">
      <c r="A241" s="156" t="s">
        <v>545</v>
      </c>
      <c r="B241" s="156" t="s">
        <v>188</v>
      </c>
      <c r="C241" s="156" t="s">
        <v>189</v>
      </c>
      <c r="D241" s="156" t="s">
        <v>541</v>
      </c>
      <c r="E241" s="179">
        <v>28160737</v>
      </c>
      <c r="F241" s="179">
        <v>28160737</v>
      </c>
      <c r="G241" s="179">
        <v>10780368</v>
      </c>
      <c r="H241" s="179">
        <v>0</v>
      </c>
      <c r="I241" s="179">
        <v>1052580.6000000001</v>
      </c>
      <c r="J241" s="179">
        <v>0</v>
      </c>
      <c r="K241" s="179">
        <v>2636431.88</v>
      </c>
      <c r="L241" s="179">
        <v>1826431.88</v>
      </c>
      <c r="M241" s="179">
        <v>24471724.52</v>
      </c>
      <c r="N241" s="179">
        <v>7091355.5199999996</v>
      </c>
    </row>
    <row r="242" spans="1:14" s="156" customFormat="1" x14ac:dyDescent="0.25">
      <c r="A242" s="156" t="s">
        <v>545</v>
      </c>
      <c r="B242" s="156" t="s">
        <v>190</v>
      </c>
      <c r="C242" s="156" t="s">
        <v>191</v>
      </c>
      <c r="D242" s="156" t="s">
        <v>541</v>
      </c>
      <c r="E242" s="179">
        <v>5604000</v>
      </c>
      <c r="F242" s="179">
        <v>5604000</v>
      </c>
      <c r="G242" s="179">
        <v>2802000</v>
      </c>
      <c r="H242" s="179">
        <v>0</v>
      </c>
      <c r="I242" s="179">
        <v>624917.98</v>
      </c>
      <c r="J242" s="179">
        <v>0</v>
      </c>
      <c r="K242" s="179">
        <v>0</v>
      </c>
      <c r="L242" s="179">
        <v>0</v>
      </c>
      <c r="M242" s="179">
        <v>4979082.0199999996</v>
      </c>
      <c r="N242" s="179">
        <v>2177082.02</v>
      </c>
    </row>
    <row r="243" spans="1:14" s="156" customFormat="1" x14ac:dyDescent="0.25">
      <c r="A243" s="156" t="s">
        <v>545</v>
      </c>
      <c r="B243" s="156" t="s">
        <v>192</v>
      </c>
      <c r="C243" s="156" t="s">
        <v>193</v>
      </c>
      <c r="D243" s="156" t="s">
        <v>541</v>
      </c>
      <c r="E243" s="179">
        <v>1340000</v>
      </c>
      <c r="F243" s="179">
        <v>1340000</v>
      </c>
      <c r="G243" s="179">
        <v>1270000</v>
      </c>
      <c r="H243" s="179">
        <v>0</v>
      </c>
      <c r="I243" s="179">
        <v>25000</v>
      </c>
      <c r="J243" s="179">
        <v>0</v>
      </c>
      <c r="K243" s="179">
        <v>0</v>
      </c>
      <c r="L243" s="179">
        <v>0</v>
      </c>
      <c r="M243" s="179">
        <v>1315000</v>
      </c>
      <c r="N243" s="179">
        <v>1245000</v>
      </c>
    </row>
    <row r="244" spans="1:14" s="156" customFormat="1" x14ac:dyDescent="0.25">
      <c r="A244" s="156" t="s">
        <v>545</v>
      </c>
      <c r="B244" s="156" t="s">
        <v>194</v>
      </c>
      <c r="C244" s="156" t="s">
        <v>195</v>
      </c>
      <c r="D244" s="156" t="s">
        <v>541</v>
      </c>
      <c r="E244" s="179">
        <v>1340000</v>
      </c>
      <c r="F244" s="179">
        <v>1340000</v>
      </c>
      <c r="G244" s="179">
        <v>1270000</v>
      </c>
      <c r="H244" s="179">
        <v>0</v>
      </c>
      <c r="I244" s="179">
        <v>25000</v>
      </c>
      <c r="J244" s="179">
        <v>0</v>
      </c>
      <c r="K244" s="179">
        <v>0</v>
      </c>
      <c r="L244" s="179">
        <v>0</v>
      </c>
      <c r="M244" s="179">
        <v>1315000</v>
      </c>
      <c r="N244" s="179">
        <v>1245000</v>
      </c>
    </row>
    <row r="245" spans="1:14" s="156" customFormat="1" x14ac:dyDescent="0.25">
      <c r="A245" s="156" t="s">
        <v>545</v>
      </c>
      <c r="B245" s="156" t="s">
        <v>196</v>
      </c>
      <c r="C245" s="156" t="s">
        <v>197</v>
      </c>
      <c r="D245" s="156" t="s">
        <v>541</v>
      </c>
      <c r="E245" s="179">
        <v>2150000</v>
      </c>
      <c r="F245" s="179">
        <v>2150000</v>
      </c>
      <c r="G245" s="179">
        <v>675000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2036792.22</v>
      </c>
      <c r="N245" s="179">
        <v>561792.22</v>
      </c>
    </row>
    <row r="246" spans="1:14" s="156" customFormat="1" x14ac:dyDescent="0.25">
      <c r="A246" s="156" t="s">
        <v>545</v>
      </c>
      <c r="B246" s="156" t="s">
        <v>334</v>
      </c>
      <c r="C246" s="156" t="s">
        <v>335</v>
      </c>
      <c r="D246" s="156" t="s">
        <v>541</v>
      </c>
      <c r="E246" s="179">
        <v>150000</v>
      </c>
      <c r="F246" s="179">
        <v>150000</v>
      </c>
      <c r="G246" s="179">
        <v>150000</v>
      </c>
      <c r="H246" s="179">
        <v>0</v>
      </c>
      <c r="I246" s="179">
        <v>113207.78</v>
      </c>
      <c r="J246" s="179">
        <v>0</v>
      </c>
      <c r="K246" s="179">
        <v>0</v>
      </c>
      <c r="L246" s="179">
        <v>0</v>
      </c>
      <c r="M246" s="179">
        <v>36792.22</v>
      </c>
      <c r="N246" s="179">
        <v>36792.22</v>
      </c>
    </row>
    <row r="247" spans="1:14" s="156" customFormat="1" x14ac:dyDescent="0.25">
      <c r="A247" s="156" t="s">
        <v>545</v>
      </c>
      <c r="B247" s="156" t="s">
        <v>198</v>
      </c>
      <c r="C247" s="156" t="s">
        <v>199</v>
      </c>
      <c r="D247" s="156" t="s">
        <v>541</v>
      </c>
      <c r="E247" s="179">
        <v>2000000</v>
      </c>
      <c r="F247" s="179">
        <v>2000000</v>
      </c>
      <c r="G247" s="179">
        <v>525000</v>
      </c>
      <c r="H247" s="179">
        <v>0</v>
      </c>
      <c r="I247" s="179">
        <v>0</v>
      </c>
      <c r="J247" s="179">
        <v>0</v>
      </c>
      <c r="K247" s="179">
        <v>0</v>
      </c>
      <c r="L247" s="179">
        <v>0</v>
      </c>
      <c r="M247" s="179">
        <v>2000000</v>
      </c>
      <c r="N247" s="179">
        <v>525000</v>
      </c>
    </row>
    <row r="248" spans="1:14" s="156" customFormat="1" x14ac:dyDescent="0.25">
      <c r="A248" s="156" t="s">
        <v>545</v>
      </c>
      <c r="B248" s="156" t="s">
        <v>200</v>
      </c>
      <c r="C248" s="156" t="s">
        <v>201</v>
      </c>
      <c r="D248" s="156" t="s">
        <v>541</v>
      </c>
      <c r="E248" s="179">
        <v>65233793</v>
      </c>
      <c r="F248" s="179">
        <v>65233793</v>
      </c>
      <c r="G248" s="179">
        <v>24866896</v>
      </c>
      <c r="H248" s="179">
        <v>0</v>
      </c>
      <c r="I248" s="179">
        <v>3502409.21</v>
      </c>
      <c r="J248" s="179">
        <v>0</v>
      </c>
      <c r="K248" s="179">
        <v>4090775.79</v>
      </c>
      <c r="L248" s="179">
        <v>4090775.79</v>
      </c>
      <c r="M248" s="179">
        <v>57640608</v>
      </c>
      <c r="N248" s="179">
        <v>17273711</v>
      </c>
    </row>
    <row r="249" spans="1:14" s="156" customFormat="1" x14ac:dyDescent="0.25">
      <c r="A249" s="156" t="s">
        <v>545</v>
      </c>
      <c r="B249" s="156" t="s">
        <v>202</v>
      </c>
      <c r="C249" s="156" t="s">
        <v>203</v>
      </c>
      <c r="D249" s="156" t="s">
        <v>541</v>
      </c>
      <c r="E249" s="179">
        <v>34706100</v>
      </c>
      <c r="F249" s="179">
        <v>34706100</v>
      </c>
      <c r="G249" s="179">
        <v>15353050</v>
      </c>
      <c r="H249" s="179">
        <v>0</v>
      </c>
      <c r="I249" s="179">
        <v>3193694.21</v>
      </c>
      <c r="J249" s="179">
        <v>0</v>
      </c>
      <c r="K249" s="179">
        <v>3302375.79</v>
      </c>
      <c r="L249" s="179">
        <v>3302375.79</v>
      </c>
      <c r="M249" s="179">
        <v>28210030</v>
      </c>
      <c r="N249" s="179">
        <v>8856980</v>
      </c>
    </row>
    <row r="250" spans="1:14" s="156" customFormat="1" x14ac:dyDescent="0.25">
      <c r="A250" s="156" t="s">
        <v>545</v>
      </c>
      <c r="B250" s="156" t="s">
        <v>204</v>
      </c>
      <c r="C250" s="156" t="s">
        <v>205</v>
      </c>
      <c r="D250" s="156" t="s">
        <v>541</v>
      </c>
      <c r="E250" s="179">
        <v>26298967</v>
      </c>
      <c r="F250" s="179">
        <v>26298967</v>
      </c>
      <c r="G250" s="179">
        <v>13149484</v>
      </c>
      <c r="H250" s="179">
        <v>0</v>
      </c>
      <c r="I250" s="179">
        <v>3193694.21</v>
      </c>
      <c r="J250" s="179">
        <v>0</v>
      </c>
      <c r="K250" s="179">
        <v>3302375.79</v>
      </c>
      <c r="L250" s="179">
        <v>3302375.79</v>
      </c>
      <c r="M250" s="179">
        <v>19802897</v>
      </c>
      <c r="N250" s="179">
        <v>6653414</v>
      </c>
    </row>
    <row r="251" spans="1:14" s="156" customFormat="1" x14ac:dyDescent="0.25">
      <c r="A251" s="156" t="s">
        <v>545</v>
      </c>
      <c r="B251" s="156" t="s">
        <v>208</v>
      </c>
      <c r="C251" s="156" t="s">
        <v>209</v>
      </c>
      <c r="D251" s="156" t="s">
        <v>541</v>
      </c>
      <c r="E251" s="179">
        <v>8102133</v>
      </c>
      <c r="F251" s="179">
        <v>8102133</v>
      </c>
      <c r="G251" s="179">
        <v>2051066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8102133</v>
      </c>
      <c r="N251" s="179">
        <v>2051066</v>
      </c>
    </row>
    <row r="252" spans="1:14" s="156" customFormat="1" x14ac:dyDescent="0.25">
      <c r="A252" s="156" t="s">
        <v>545</v>
      </c>
      <c r="B252" s="156" t="s">
        <v>210</v>
      </c>
      <c r="C252" s="156" t="s">
        <v>211</v>
      </c>
      <c r="D252" s="156" t="s">
        <v>541</v>
      </c>
      <c r="E252" s="179">
        <v>305000</v>
      </c>
      <c r="F252" s="179">
        <v>305000</v>
      </c>
      <c r="G252" s="179">
        <v>152500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305000</v>
      </c>
      <c r="N252" s="179">
        <v>152500</v>
      </c>
    </row>
    <row r="253" spans="1:14" s="156" customFormat="1" x14ac:dyDescent="0.25">
      <c r="A253" s="156" t="s">
        <v>545</v>
      </c>
      <c r="B253" s="156" t="s">
        <v>216</v>
      </c>
      <c r="C253" s="156" t="s">
        <v>217</v>
      </c>
      <c r="D253" s="156" t="s">
        <v>541</v>
      </c>
      <c r="E253" s="179">
        <v>2978000</v>
      </c>
      <c r="F253" s="179">
        <v>2978000</v>
      </c>
      <c r="G253" s="179">
        <v>989000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2978000</v>
      </c>
      <c r="N253" s="179">
        <v>989000</v>
      </c>
    </row>
    <row r="254" spans="1:14" s="156" customFormat="1" x14ac:dyDescent="0.25">
      <c r="A254" s="156" t="s">
        <v>545</v>
      </c>
      <c r="B254" s="156" t="s">
        <v>218</v>
      </c>
      <c r="C254" s="156" t="s">
        <v>219</v>
      </c>
      <c r="D254" s="156" t="s">
        <v>541</v>
      </c>
      <c r="E254" s="179">
        <v>830000</v>
      </c>
      <c r="F254" s="179">
        <v>830000</v>
      </c>
      <c r="G254" s="179">
        <v>215000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830000</v>
      </c>
      <c r="N254" s="179">
        <v>215000</v>
      </c>
    </row>
    <row r="255" spans="1:14" s="156" customFormat="1" x14ac:dyDescent="0.25">
      <c r="A255" s="156" t="s">
        <v>545</v>
      </c>
      <c r="B255" s="156" t="s">
        <v>336</v>
      </c>
      <c r="C255" s="156" t="s">
        <v>337</v>
      </c>
      <c r="D255" s="156" t="s">
        <v>541</v>
      </c>
      <c r="E255" s="179">
        <v>67000</v>
      </c>
      <c r="F255" s="179">
        <v>67000</v>
      </c>
      <c r="G255" s="179">
        <v>33500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67000</v>
      </c>
      <c r="N255" s="179">
        <v>33500</v>
      </c>
    </row>
    <row r="256" spans="1:14" s="156" customFormat="1" x14ac:dyDescent="0.25">
      <c r="A256" s="156" t="s">
        <v>545</v>
      </c>
      <c r="B256" s="156" t="s">
        <v>338</v>
      </c>
      <c r="C256" s="156" t="s">
        <v>339</v>
      </c>
      <c r="D256" s="156" t="s">
        <v>541</v>
      </c>
      <c r="E256" s="179">
        <v>99000</v>
      </c>
      <c r="F256" s="179">
        <v>99000</v>
      </c>
      <c r="G256" s="179">
        <v>49500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99000</v>
      </c>
      <c r="N256" s="179">
        <v>49500</v>
      </c>
    </row>
    <row r="257" spans="1:14" s="156" customFormat="1" x14ac:dyDescent="0.25">
      <c r="A257" s="156" t="s">
        <v>545</v>
      </c>
      <c r="B257" s="156" t="s">
        <v>220</v>
      </c>
      <c r="C257" s="156" t="s">
        <v>221</v>
      </c>
      <c r="D257" s="156" t="s">
        <v>541</v>
      </c>
      <c r="E257" s="179">
        <v>1345000</v>
      </c>
      <c r="F257" s="179">
        <v>1345000</v>
      </c>
      <c r="G257" s="179">
        <v>372500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1345000</v>
      </c>
      <c r="N257" s="179">
        <v>372500</v>
      </c>
    </row>
    <row r="258" spans="1:14" s="156" customFormat="1" x14ac:dyDescent="0.25">
      <c r="A258" s="156" t="s">
        <v>545</v>
      </c>
      <c r="B258" s="156" t="s">
        <v>222</v>
      </c>
      <c r="C258" s="156" t="s">
        <v>223</v>
      </c>
      <c r="D258" s="156" t="s">
        <v>541</v>
      </c>
      <c r="E258" s="179">
        <v>40000</v>
      </c>
      <c r="F258" s="179">
        <v>40000</v>
      </c>
      <c r="G258" s="179">
        <v>20000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40000</v>
      </c>
      <c r="N258" s="179">
        <v>20000</v>
      </c>
    </row>
    <row r="259" spans="1:14" s="156" customFormat="1" x14ac:dyDescent="0.25">
      <c r="A259" s="156" t="s">
        <v>545</v>
      </c>
      <c r="B259" s="156" t="s">
        <v>224</v>
      </c>
      <c r="C259" s="156" t="s">
        <v>225</v>
      </c>
      <c r="D259" s="156" t="s">
        <v>541</v>
      </c>
      <c r="E259" s="179">
        <v>198000</v>
      </c>
      <c r="F259" s="179">
        <v>198000</v>
      </c>
      <c r="G259" s="179">
        <v>99000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198000</v>
      </c>
      <c r="N259" s="179">
        <v>99000</v>
      </c>
    </row>
    <row r="260" spans="1:14" s="156" customFormat="1" x14ac:dyDescent="0.25">
      <c r="A260" s="156" t="s">
        <v>545</v>
      </c>
      <c r="B260" s="156" t="s">
        <v>226</v>
      </c>
      <c r="C260" s="156" t="s">
        <v>227</v>
      </c>
      <c r="D260" s="156" t="s">
        <v>541</v>
      </c>
      <c r="E260" s="179">
        <v>399000</v>
      </c>
      <c r="F260" s="179">
        <v>399000</v>
      </c>
      <c r="G260" s="179">
        <v>199500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399000</v>
      </c>
      <c r="N260" s="179">
        <v>199500</v>
      </c>
    </row>
    <row r="261" spans="1:14" s="156" customFormat="1" x14ac:dyDescent="0.25">
      <c r="A261" s="156" t="s">
        <v>545</v>
      </c>
      <c r="B261" s="156" t="s">
        <v>228</v>
      </c>
      <c r="C261" s="156" t="s">
        <v>229</v>
      </c>
      <c r="D261" s="156" t="s">
        <v>541</v>
      </c>
      <c r="E261" s="179">
        <v>3047000</v>
      </c>
      <c r="F261" s="179">
        <v>3047000</v>
      </c>
      <c r="G261" s="179">
        <v>873500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3047000</v>
      </c>
      <c r="N261" s="179">
        <v>873500</v>
      </c>
    </row>
    <row r="262" spans="1:14" s="156" customFormat="1" x14ac:dyDescent="0.25">
      <c r="A262" s="156" t="s">
        <v>545</v>
      </c>
      <c r="B262" s="156" t="s">
        <v>230</v>
      </c>
      <c r="C262" s="156" t="s">
        <v>231</v>
      </c>
      <c r="D262" s="156" t="s">
        <v>541</v>
      </c>
      <c r="E262" s="179">
        <v>251000</v>
      </c>
      <c r="F262" s="179">
        <v>251000</v>
      </c>
      <c r="G262" s="179">
        <v>125500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251000</v>
      </c>
      <c r="N262" s="179">
        <v>125500</v>
      </c>
    </row>
    <row r="263" spans="1:14" s="156" customFormat="1" x14ac:dyDescent="0.25">
      <c r="A263" s="156" t="s">
        <v>545</v>
      </c>
      <c r="B263" s="156" t="s">
        <v>232</v>
      </c>
      <c r="C263" s="156" t="s">
        <v>233</v>
      </c>
      <c r="D263" s="156" t="s">
        <v>541</v>
      </c>
      <c r="E263" s="179">
        <v>2796000</v>
      </c>
      <c r="F263" s="179">
        <v>2796000</v>
      </c>
      <c r="G263" s="179">
        <v>748000</v>
      </c>
      <c r="H263" s="179">
        <v>0</v>
      </c>
      <c r="I263" s="179">
        <v>0</v>
      </c>
      <c r="J263" s="179">
        <v>0</v>
      </c>
      <c r="K263" s="179">
        <v>0</v>
      </c>
      <c r="L263" s="179">
        <v>0</v>
      </c>
      <c r="M263" s="179">
        <v>2796000</v>
      </c>
      <c r="N263" s="179">
        <v>748000</v>
      </c>
    </row>
    <row r="264" spans="1:14" s="156" customFormat="1" x14ac:dyDescent="0.25">
      <c r="A264" s="156" t="s">
        <v>545</v>
      </c>
      <c r="B264" s="156" t="s">
        <v>234</v>
      </c>
      <c r="C264" s="156" t="s">
        <v>601</v>
      </c>
      <c r="D264" s="156" t="s">
        <v>541</v>
      </c>
      <c r="E264" s="179">
        <v>24502693</v>
      </c>
      <c r="F264" s="179">
        <v>24502693</v>
      </c>
      <c r="G264" s="179">
        <v>7651346</v>
      </c>
      <c r="H264" s="179">
        <v>0</v>
      </c>
      <c r="I264" s="179">
        <v>308715</v>
      </c>
      <c r="J264" s="179">
        <v>0</v>
      </c>
      <c r="K264" s="179">
        <v>788400</v>
      </c>
      <c r="L264" s="179">
        <v>788400</v>
      </c>
      <c r="M264" s="179">
        <v>23405578</v>
      </c>
      <c r="N264" s="179">
        <v>6554231</v>
      </c>
    </row>
    <row r="265" spans="1:14" s="156" customFormat="1" x14ac:dyDescent="0.25">
      <c r="A265" s="156" t="s">
        <v>545</v>
      </c>
      <c r="B265" s="156" t="s">
        <v>235</v>
      </c>
      <c r="C265" s="156" t="s">
        <v>236</v>
      </c>
      <c r="D265" s="156" t="s">
        <v>541</v>
      </c>
      <c r="E265" s="179">
        <v>7116000</v>
      </c>
      <c r="F265" s="179">
        <v>7116000</v>
      </c>
      <c r="G265" s="179">
        <v>1908000</v>
      </c>
      <c r="H265" s="179">
        <v>0</v>
      </c>
      <c r="I265" s="179">
        <v>0</v>
      </c>
      <c r="J265" s="179">
        <v>0</v>
      </c>
      <c r="K265" s="179">
        <v>119000</v>
      </c>
      <c r="L265" s="179">
        <v>119000</v>
      </c>
      <c r="M265" s="179">
        <v>6997000</v>
      </c>
      <c r="N265" s="179">
        <v>1789000</v>
      </c>
    </row>
    <row r="266" spans="1:14" s="156" customFormat="1" x14ac:dyDescent="0.25">
      <c r="A266" s="156" t="s">
        <v>545</v>
      </c>
      <c r="B266" s="156" t="s">
        <v>237</v>
      </c>
      <c r="C266" s="156" t="s">
        <v>238</v>
      </c>
      <c r="D266" s="156" t="s">
        <v>541</v>
      </c>
      <c r="E266" s="179">
        <v>0</v>
      </c>
      <c r="F266" s="179">
        <v>0</v>
      </c>
      <c r="G266" s="179">
        <v>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0</v>
      </c>
      <c r="N266" s="179">
        <v>0</v>
      </c>
    </row>
    <row r="267" spans="1:14" s="156" customFormat="1" x14ac:dyDescent="0.25">
      <c r="A267" s="156" t="s">
        <v>545</v>
      </c>
      <c r="B267" s="156" t="s">
        <v>239</v>
      </c>
      <c r="C267" s="156" t="s">
        <v>240</v>
      </c>
      <c r="D267" s="156" t="s">
        <v>541</v>
      </c>
      <c r="E267" s="179">
        <v>15203693</v>
      </c>
      <c r="F267" s="179">
        <v>15203693</v>
      </c>
      <c r="G267" s="179">
        <v>4601846</v>
      </c>
      <c r="H267" s="179">
        <v>0</v>
      </c>
      <c r="I267" s="179">
        <v>171375</v>
      </c>
      <c r="J267" s="179">
        <v>0</v>
      </c>
      <c r="K267" s="179">
        <v>278000</v>
      </c>
      <c r="L267" s="179">
        <v>278000</v>
      </c>
      <c r="M267" s="179">
        <v>14754318</v>
      </c>
      <c r="N267" s="179">
        <v>4152471</v>
      </c>
    </row>
    <row r="268" spans="1:14" s="156" customFormat="1" x14ac:dyDescent="0.25">
      <c r="A268" s="156" t="s">
        <v>545</v>
      </c>
      <c r="B268" s="156" t="s">
        <v>241</v>
      </c>
      <c r="C268" s="156" t="s">
        <v>242</v>
      </c>
      <c r="D268" s="156" t="s">
        <v>541</v>
      </c>
      <c r="E268" s="179">
        <v>133000</v>
      </c>
      <c r="F268" s="179">
        <v>133000</v>
      </c>
      <c r="G268" s="179">
        <v>66500</v>
      </c>
      <c r="H268" s="179">
        <v>0</v>
      </c>
      <c r="I268" s="179">
        <v>0</v>
      </c>
      <c r="J268" s="179">
        <v>0</v>
      </c>
      <c r="K268" s="179">
        <v>0</v>
      </c>
      <c r="L268" s="179">
        <v>0</v>
      </c>
      <c r="M268" s="179">
        <v>133000</v>
      </c>
      <c r="N268" s="179">
        <v>66500</v>
      </c>
    </row>
    <row r="269" spans="1:14" s="156" customFormat="1" x14ac:dyDescent="0.25">
      <c r="A269" s="156" t="s">
        <v>545</v>
      </c>
      <c r="B269" s="156" t="s">
        <v>243</v>
      </c>
      <c r="C269" s="156" t="s">
        <v>244</v>
      </c>
      <c r="D269" s="156" t="s">
        <v>541</v>
      </c>
      <c r="E269" s="179">
        <v>1356000</v>
      </c>
      <c r="F269" s="179">
        <v>1356000</v>
      </c>
      <c r="G269" s="179">
        <v>728000</v>
      </c>
      <c r="H269" s="179">
        <v>0</v>
      </c>
      <c r="I269" s="179">
        <v>0</v>
      </c>
      <c r="J269" s="179">
        <v>0</v>
      </c>
      <c r="K269" s="179">
        <v>386600</v>
      </c>
      <c r="L269" s="179">
        <v>386600</v>
      </c>
      <c r="M269" s="179">
        <v>969400</v>
      </c>
      <c r="N269" s="179">
        <v>341400</v>
      </c>
    </row>
    <row r="270" spans="1:14" s="156" customFormat="1" x14ac:dyDescent="0.25">
      <c r="A270" s="156" t="s">
        <v>545</v>
      </c>
      <c r="B270" s="156" t="s">
        <v>245</v>
      </c>
      <c r="C270" s="156" t="s">
        <v>246</v>
      </c>
      <c r="D270" s="156" t="s">
        <v>541</v>
      </c>
      <c r="E270" s="179">
        <v>123000</v>
      </c>
      <c r="F270" s="179">
        <v>123000</v>
      </c>
      <c r="G270" s="179">
        <v>61500</v>
      </c>
      <c r="H270" s="179">
        <v>0</v>
      </c>
      <c r="I270" s="179">
        <v>0</v>
      </c>
      <c r="J270" s="179">
        <v>0</v>
      </c>
      <c r="K270" s="179">
        <v>4800</v>
      </c>
      <c r="L270" s="179">
        <v>4800</v>
      </c>
      <c r="M270" s="179">
        <v>118200</v>
      </c>
      <c r="N270" s="179">
        <v>56700</v>
      </c>
    </row>
    <row r="271" spans="1:14" s="156" customFormat="1" x14ac:dyDescent="0.25">
      <c r="A271" s="156" t="s">
        <v>545</v>
      </c>
      <c r="B271" s="156" t="s">
        <v>249</v>
      </c>
      <c r="C271" s="156" t="s">
        <v>250</v>
      </c>
      <c r="D271" s="156" t="s">
        <v>541</v>
      </c>
      <c r="E271" s="179">
        <v>571000</v>
      </c>
      <c r="F271" s="179">
        <v>571000</v>
      </c>
      <c r="G271" s="179">
        <v>285500</v>
      </c>
      <c r="H271" s="179">
        <v>0</v>
      </c>
      <c r="I271" s="179">
        <v>137340</v>
      </c>
      <c r="J271" s="179">
        <v>0</v>
      </c>
      <c r="K271" s="179">
        <v>0</v>
      </c>
      <c r="L271" s="179">
        <v>0</v>
      </c>
      <c r="M271" s="179">
        <v>433660</v>
      </c>
      <c r="N271" s="179">
        <v>148160</v>
      </c>
    </row>
    <row r="272" spans="1:14" s="156" customFormat="1" x14ac:dyDescent="0.25">
      <c r="A272" s="156" t="s">
        <v>545</v>
      </c>
      <c r="B272" s="156" t="s">
        <v>251</v>
      </c>
      <c r="C272" s="156" t="s">
        <v>252</v>
      </c>
      <c r="D272" s="156" t="s">
        <v>541</v>
      </c>
      <c r="E272" s="179">
        <v>298129000</v>
      </c>
      <c r="F272" s="179">
        <v>298129000</v>
      </c>
      <c r="G272" s="179">
        <v>200148300</v>
      </c>
      <c r="H272" s="179">
        <v>0</v>
      </c>
      <c r="I272" s="179">
        <v>101906972.41</v>
      </c>
      <c r="J272" s="179">
        <v>0</v>
      </c>
      <c r="K272" s="179">
        <v>37853928.590000004</v>
      </c>
      <c r="L272" s="179">
        <v>37853928.590000004</v>
      </c>
      <c r="M272" s="179">
        <v>158368099</v>
      </c>
      <c r="N272" s="179">
        <v>60387399</v>
      </c>
    </row>
    <row r="273" spans="1:14" s="156" customFormat="1" x14ac:dyDescent="0.25">
      <c r="A273" s="156" t="s">
        <v>545</v>
      </c>
      <c r="B273" s="156" t="s">
        <v>253</v>
      </c>
      <c r="C273" s="156" t="s">
        <v>254</v>
      </c>
      <c r="D273" s="156" t="s">
        <v>541</v>
      </c>
      <c r="E273" s="179">
        <v>115667000</v>
      </c>
      <c r="F273" s="179">
        <v>115667000</v>
      </c>
      <c r="G273" s="179">
        <v>115667000</v>
      </c>
      <c r="H273" s="179">
        <v>0</v>
      </c>
      <c r="I273" s="179">
        <v>85137672.409999996</v>
      </c>
      <c r="J273" s="179">
        <v>0</v>
      </c>
      <c r="K273" s="179">
        <v>30529327.59</v>
      </c>
      <c r="L273" s="179">
        <v>30529327.59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344</v>
      </c>
      <c r="C274" s="156" t="s">
        <v>602</v>
      </c>
      <c r="D274" s="156" t="s">
        <v>541</v>
      </c>
      <c r="E274" s="179">
        <v>96260000</v>
      </c>
      <c r="F274" s="179">
        <v>96260000</v>
      </c>
      <c r="G274" s="179">
        <v>96260000</v>
      </c>
      <c r="H274" s="179">
        <v>0</v>
      </c>
      <c r="I274" s="179">
        <v>70853042.819999993</v>
      </c>
      <c r="J274" s="179">
        <v>0</v>
      </c>
      <c r="K274" s="179">
        <v>25406957.18</v>
      </c>
      <c r="L274" s="179">
        <v>25406957.18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345</v>
      </c>
      <c r="C275" s="156" t="s">
        <v>603</v>
      </c>
      <c r="D275" s="156" t="s">
        <v>541</v>
      </c>
      <c r="E275" s="179">
        <v>19407000</v>
      </c>
      <c r="F275" s="179">
        <v>19407000</v>
      </c>
      <c r="G275" s="179">
        <v>19407000</v>
      </c>
      <c r="H275" s="179">
        <v>0</v>
      </c>
      <c r="I275" s="179">
        <v>14284629.59</v>
      </c>
      <c r="J275" s="179">
        <v>0</v>
      </c>
      <c r="K275" s="179">
        <v>5122370.41</v>
      </c>
      <c r="L275" s="179">
        <v>5122370.41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261</v>
      </c>
      <c r="C276" s="156" t="s">
        <v>262</v>
      </c>
      <c r="D276" s="156" t="s">
        <v>541</v>
      </c>
      <c r="E276" s="179">
        <v>179462000</v>
      </c>
      <c r="F276" s="179">
        <v>179462000</v>
      </c>
      <c r="G276" s="179">
        <v>83731300</v>
      </c>
      <c r="H276" s="179">
        <v>0</v>
      </c>
      <c r="I276" s="179">
        <v>16769300</v>
      </c>
      <c r="J276" s="179">
        <v>0</v>
      </c>
      <c r="K276" s="179">
        <v>7324601</v>
      </c>
      <c r="L276" s="179">
        <v>7324601</v>
      </c>
      <c r="M276" s="179">
        <v>155368099</v>
      </c>
      <c r="N276" s="179">
        <v>59637399</v>
      </c>
    </row>
    <row r="277" spans="1:14" s="156" customFormat="1" x14ac:dyDescent="0.25">
      <c r="A277" s="156" t="s">
        <v>545</v>
      </c>
      <c r="B277" s="156" t="s">
        <v>263</v>
      </c>
      <c r="C277" s="156" t="s">
        <v>264</v>
      </c>
      <c r="D277" s="156" t="s">
        <v>541</v>
      </c>
      <c r="E277" s="179">
        <v>150000000</v>
      </c>
      <c r="F277" s="179">
        <v>150000000</v>
      </c>
      <c r="G277" s="179">
        <v>54269300</v>
      </c>
      <c r="H277" s="179">
        <v>0</v>
      </c>
      <c r="I277" s="179">
        <v>16769300</v>
      </c>
      <c r="J277" s="179">
        <v>0</v>
      </c>
      <c r="K277" s="179">
        <v>0</v>
      </c>
      <c r="L277" s="179">
        <v>0</v>
      </c>
      <c r="M277" s="179">
        <v>133230700</v>
      </c>
      <c r="N277" s="179">
        <v>37500000</v>
      </c>
    </row>
    <row r="278" spans="1:14" s="156" customFormat="1" x14ac:dyDescent="0.25">
      <c r="A278" s="156" t="s">
        <v>545</v>
      </c>
      <c r="B278" s="156" t="s">
        <v>265</v>
      </c>
      <c r="C278" s="156" t="s">
        <v>266</v>
      </c>
      <c r="D278" s="156" t="s">
        <v>541</v>
      </c>
      <c r="E278" s="179">
        <v>29462000</v>
      </c>
      <c r="F278" s="179">
        <v>29462000</v>
      </c>
      <c r="G278" s="179">
        <v>29462000</v>
      </c>
      <c r="H278" s="179">
        <v>0</v>
      </c>
      <c r="I278" s="179">
        <v>0</v>
      </c>
      <c r="J278" s="179">
        <v>0</v>
      </c>
      <c r="K278" s="179">
        <v>7324601</v>
      </c>
      <c r="L278" s="179">
        <v>7324601</v>
      </c>
      <c r="M278" s="179">
        <v>22137399</v>
      </c>
      <c r="N278" s="179">
        <v>22137399</v>
      </c>
    </row>
    <row r="279" spans="1:14" s="156" customFormat="1" x14ac:dyDescent="0.25">
      <c r="A279" s="156" t="s">
        <v>545</v>
      </c>
      <c r="B279" s="156" t="s">
        <v>267</v>
      </c>
      <c r="C279" s="156" t="s">
        <v>268</v>
      </c>
      <c r="D279" s="156" t="s">
        <v>541</v>
      </c>
      <c r="E279" s="179">
        <v>3000000</v>
      </c>
      <c r="F279" s="179">
        <v>3000000</v>
      </c>
      <c r="G279" s="179">
        <v>750000</v>
      </c>
      <c r="H279" s="179">
        <v>0</v>
      </c>
      <c r="I279" s="179">
        <v>0</v>
      </c>
      <c r="J279" s="179">
        <v>0</v>
      </c>
      <c r="K279" s="179">
        <v>0</v>
      </c>
      <c r="L279" s="179">
        <v>0</v>
      </c>
      <c r="M279" s="179">
        <v>3000000</v>
      </c>
      <c r="N279" s="179">
        <v>750000</v>
      </c>
    </row>
    <row r="280" spans="1:14" s="156" customFormat="1" x14ac:dyDescent="0.25">
      <c r="A280" s="156" t="s">
        <v>545</v>
      </c>
      <c r="B280" s="156" t="s">
        <v>269</v>
      </c>
      <c r="C280" s="156" t="s">
        <v>270</v>
      </c>
      <c r="D280" s="156" t="s">
        <v>541</v>
      </c>
      <c r="E280" s="179">
        <v>3000000</v>
      </c>
      <c r="F280" s="179">
        <v>3000000</v>
      </c>
      <c r="G280" s="179">
        <v>750000</v>
      </c>
      <c r="H280" s="179">
        <v>0</v>
      </c>
      <c r="I280" s="179">
        <v>0</v>
      </c>
      <c r="J280" s="179">
        <v>0</v>
      </c>
      <c r="K280" s="179">
        <v>0</v>
      </c>
      <c r="L280" s="179">
        <v>0</v>
      </c>
      <c r="M280" s="179">
        <v>3000000</v>
      </c>
      <c r="N280" s="179">
        <v>750000</v>
      </c>
    </row>
    <row r="281" spans="1:14" s="156" customFormat="1" x14ac:dyDescent="0.25">
      <c r="A281" s="156" t="s">
        <v>545</v>
      </c>
      <c r="B281" s="156" t="s">
        <v>279</v>
      </c>
      <c r="C281" s="156" t="s">
        <v>280</v>
      </c>
      <c r="D281" s="156" t="s">
        <v>543</v>
      </c>
      <c r="E281" s="179">
        <v>47031000</v>
      </c>
      <c r="F281" s="179">
        <v>47031000</v>
      </c>
      <c r="G281" s="179">
        <v>47031000</v>
      </c>
      <c r="H281" s="179">
        <v>352009.19</v>
      </c>
      <c r="I281" s="179">
        <v>1350982.19</v>
      </c>
      <c r="J281" s="179">
        <v>0</v>
      </c>
      <c r="K281" s="179">
        <v>13762283.65</v>
      </c>
      <c r="L281" s="179">
        <v>13762283.65</v>
      </c>
      <c r="M281" s="179">
        <v>31565724.969999999</v>
      </c>
      <c r="N281" s="179">
        <v>31565724.969999999</v>
      </c>
    </row>
    <row r="282" spans="1:14" s="156" customFormat="1" x14ac:dyDescent="0.25">
      <c r="A282" s="156" t="s">
        <v>545</v>
      </c>
      <c r="B282" s="156" t="s">
        <v>281</v>
      </c>
      <c r="C282" s="156" t="s">
        <v>282</v>
      </c>
      <c r="D282" s="156" t="s">
        <v>543</v>
      </c>
      <c r="E282" s="179">
        <v>25000000</v>
      </c>
      <c r="F282" s="179">
        <v>23649017.809999999</v>
      </c>
      <c r="G282" s="179">
        <v>23649017.809999999</v>
      </c>
      <c r="H282" s="179">
        <v>0</v>
      </c>
      <c r="I282" s="179">
        <v>0</v>
      </c>
      <c r="J282" s="179">
        <v>0</v>
      </c>
      <c r="K282" s="179">
        <v>13762283.65</v>
      </c>
      <c r="L282" s="179">
        <v>13762283.65</v>
      </c>
      <c r="M282" s="179">
        <v>9886734.1600000001</v>
      </c>
      <c r="N282" s="179">
        <v>9886734.1600000001</v>
      </c>
    </row>
    <row r="283" spans="1:14" s="156" customFormat="1" x14ac:dyDescent="0.25">
      <c r="A283" s="156" t="s">
        <v>545</v>
      </c>
      <c r="B283" s="156" t="s">
        <v>398</v>
      </c>
      <c r="C283" s="156" t="s">
        <v>501</v>
      </c>
      <c r="D283" s="156" t="s">
        <v>543</v>
      </c>
      <c r="E283" s="179">
        <v>15000000</v>
      </c>
      <c r="F283" s="179">
        <v>15000000</v>
      </c>
      <c r="G283" s="179">
        <v>15000000</v>
      </c>
      <c r="H283" s="179">
        <v>0</v>
      </c>
      <c r="I283" s="179">
        <v>0</v>
      </c>
      <c r="J283" s="179">
        <v>0</v>
      </c>
      <c r="K283" s="179">
        <v>13762283.65</v>
      </c>
      <c r="L283" s="179">
        <v>13762283.65</v>
      </c>
      <c r="M283" s="179">
        <v>1237716.3500000001</v>
      </c>
      <c r="N283" s="179">
        <v>1237716.3500000001</v>
      </c>
    </row>
    <row r="284" spans="1:14" s="156" customFormat="1" x14ac:dyDescent="0.25">
      <c r="A284" s="156" t="s">
        <v>545</v>
      </c>
      <c r="B284" s="156" t="s">
        <v>285</v>
      </c>
      <c r="C284" s="156" t="s">
        <v>286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287</v>
      </c>
      <c r="C285" s="156" t="s">
        <v>288</v>
      </c>
      <c r="D285" s="156" t="s">
        <v>543</v>
      </c>
      <c r="E285" s="179">
        <v>0</v>
      </c>
      <c r="F285" s="179">
        <v>0</v>
      </c>
      <c r="G285" s="179">
        <v>0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289</v>
      </c>
      <c r="C286" s="156" t="s">
        <v>290</v>
      </c>
      <c r="D286" s="156" t="s">
        <v>543</v>
      </c>
      <c r="E286" s="179">
        <v>10000000</v>
      </c>
      <c r="F286" s="179">
        <v>8649017.8100000005</v>
      </c>
      <c r="G286" s="179">
        <v>8649017.8100000005</v>
      </c>
      <c r="H286" s="179">
        <v>0</v>
      </c>
      <c r="I286" s="179">
        <v>0</v>
      </c>
      <c r="J286" s="179">
        <v>0</v>
      </c>
      <c r="K286" s="179">
        <v>0</v>
      </c>
      <c r="L286" s="179">
        <v>0</v>
      </c>
      <c r="M286" s="179">
        <v>8649017.8100000005</v>
      </c>
      <c r="N286" s="179">
        <v>8649017.8100000005</v>
      </c>
    </row>
    <row r="287" spans="1:14" s="156" customFormat="1" x14ac:dyDescent="0.25">
      <c r="A287" s="156" t="s">
        <v>545</v>
      </c>
      <c r="B287" s="156" t="s">
        <v>291</v>
      </c>
      <c r="C287" s="156" t="s">
        <v>292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297</v>
      </c>
      <c r="C288" s="156" t="s">
        <v>298</v>
      </c>
      <c r="D288" s="156" t="s">
        <v>543</v>
      </c>
      <c r="E288" s="179">
        <v>0</v>
      </c>
      <c r="F288" s="179">
        <v>1350982.19</v>
      </c>
      <c r="G288" s="179">
        <v>1350982.19</v>
      </c>
      <c r="H288" s="179">
        <v>0</v>
      </c>
      <c r="I288" s="179">
        <v>1350982.19</v>
      </c>
      <c r="J288" s="179">
        <v>0</v>
      </c>
      <c r="K288" s="179">
        <v>0</v>
      </c>
      <c r="L288" s="179">
        <v>0</v>
      </c>
      <c r="M288" s="179">
        <v>0</v>
      </c>
      <c r="N288" s="179">
        <v>0</v>
      </c>
    </row>
    <row r="289" spans="1:14" s="156" customFormat="1" x14ac:dyDescent="0.25">
      <c r="A289" s="156" t="s">
        <v>545</v>
      </c>
      <c r="B289" s="156" t="s">
        <v>299</v>
      </c>
      <c r="C289" s="156" t="s">
        <v>300</v>
      </c>
      <c r="D289" s="156" t="s">
        <v>543</v>
      </c>
      <c r="E289" s="179">
        <v>0</v>
      </c>
      <c r="F289" s="179">
        <v>1350982.19</v>
      </c>
      <c r="G289" s="179">
        <v>1350982.19</v>
      </c>
      <c r="H289" s="179">
        <v>0</v>
      </c>
      <c r="I289" s="179">
        <v>1350982.19</v>
      </c>
      <c r="J289" s="179">
        <v>0</v>
      </c>
      <c r="K289" s="179">
        <v>0</v>
      </c>
      <c r="L289" s="179">
        <v>0</v>
      </c>
      <c r="M289" s="179">
        <v>0</v>
      </c>
      <c r="N289" s="179">
        <v>0</v>
      </c>
    </row>
    <row r="290" spans="1:14" s="156" customFormat="1" x14ac:dyDescent="0.25">
      <c r="A290" s="156" t="s">
        <v>545</v>
      </c>
      <c r="B290" s="156" t="s">
        <v>340</v>
      </c>
      <c r="C290" s="156" t="s">
        <v>341</v>
      </c>
      <c r="D290" s="156" t="s">
        <v>543</v>
      </c>
      <c r="E290" s="179">
        <v>22031000</v>
      </c>
      <c r="F290" s="179">
        <v>22031000</v>
      </c>
      <c r="G290" s="179">
        <v>22031000</v>
      </c>
      <c r="H290" s="179">
        <v>352009.19</v>
      </c>
      <c r="I290" s="179">
        <v>0</v>
      </c>
      <c r="J290" s="179">
        <v>0</v>
      </c>
      <c r="K290" s="179">
        <v>0</v>
      </c>
      <c r="L290" s="179">
        <v>0</v>
      </c>
      <c r="M290" s="179">
        <v>21678990.809999999</v>
      </c>
      <c r="N290" s="179">
        <v>21678990.809999999</v>
      </c>
    </row>
    <row r="291" spans="1:14" s="156" customFormat="1" x14ac:dyDescent="0.25">
      <c r="A291" s="156" t="s">
        <v>545</v>
      </c>
      <c r="B291" s="156" t="s">
        <v>342</v>
      </c>
      <c r="C291" s="156" t="s">
        <v>343</v>
      </c>
      <c r="D291" s="156" t="s">
        <v>543</v>
      </c>
      <c r="E291" s="179">
        <v>22031000</v>
      </c>
      <c r="F291" s="179">
        <v>22031000</v>
      </c>
      <c r="G291" s="179">
        <v>22031000</v>
      </c>
      <c r="H291" s="179">
        <v>352009.19</v>
      </c>
      <c r="I291" s="179">
        <v>0</v>
      </c>
      <c r="J291" s="179">
        <v>0</v>
      </c>
      <c r="K291" s="179">
        <v>0</v>
      </c>
      <c r="L291" s="179">
        <v>0</v>
      </c>
      <c r="M291" s="179">
        <v>21678990.809999999</v>
      </c>
      <c r="N291" s="179">
        <v>21678990.809999999</v>
      </c>
    </row>
    <row r="292" spans="1:14" s="156" customFormat="1" x14ac:dyDescent="0.25">
      <c r="A292" s="156">
        <v>214783</v>
      </c>
      <c r="B292" s="156" t="s">
        <v>587</v>
      </c>
      <c r="C292" s="156" t="s">
        <v>587</v>
      </c>
      <c r="D292" s="156" t="s">
        <v>541</v>
      </c>
      <c r="E292" s="179">
        <v>106163237755</v>
      </c>
      <c r="F292" s="179">
        <v>112163237755</v>
      </c>
      <c r="G292" s="179">
        <v>92500858809.899994</v>
      </c>
      <c r="H292" s="179">
        <v>191600</v>
      </c>
      <c r="I292" s="179">
        <v>13051224341.110001</v>
      </c>
      <c r="J292" s="179">
        <v>256926796.47</v>
      </c>
      <c r="K292" s="179">
        <v>22764972633.48</v>
      </c>
      <c r="L292" s="179">
        <v>22654373189.799999</v>
      </c>
      <c r="M292" s="179">
        <v>76089922383.940002</v>
      </c>
      <c r="N292" s="179">
        <v>56427543438.839996</v>
      </c>
    </row>
    <row r="293" spans="1:14" s="156" customFormat="1" x14ac:dyDescent="0.25">
      <c r="A293" s="156" t="s">
        <v>546</v>
      </c>
      <c r="B293" s="156" t="s">
        <v>92</v>
      </c>
      <c r="C293" s="156" t="s">
        <v>93</v>
      </c>
      <c r="D293" s="156" t="s">
        <v>541</v>
      </c>
      <c r="E293" s="179">
        <v>69224041000</v>
      </c>
      <c r="F293" s="179">
        <v>69224041000</v>
      </c>
      <c r="G293" s="179">
        <v>69223691000</v>
      </c>
      <c r="H293" s="179">
        <v>0</v>
      </c>
      <c r="I293" s="179">
        <v>7478440707</v>
      </c>
      <c r="J293" s="179">
        <v>0</v>
      </c>
      <c r="K293" s="179">
        <v>18695986981.09</v>
      </c>
      <c r="L293" s="179">
        <v>18695986981.09</v>
      </c>
      <c r="M293" s="179">
        <v>43049613311.910004</v>
      </c>
      <c r="N293" s="179">
        <v>43049263311.910004</v>
      </c>
    </row>
    <row r="294" spans="1:14" s="156" customFormat="1" x14ac:dyDescent="0.25">
      <c r="A294" s="156" t="s">
        <v>546</v>
      </c>
      <c r="B294" s="156" t="s">
        <v>94</v>
      </c>
      <c r="C294" s="156" t="s">
        <v>95</v>
      </c>
      <c r="D294" s="156" t="s">
        <v>541</v>
      </c>
      <c r="E294" s="179">
        <v>25618223000</v>
      </c>
      <c r="F294" s="179">
        <v>25618223000</v>
      </c>
      <c r="G294" s="179">
        <v>25618223000</v>
      </c>
      <c r="H294" s="179">
        <v>0</v>
      </c>
      <c r="I294" s="179">
        <v>0</v>
      </c>
      <c r="J294" s="179">
        <v>0</v>
      </c>
      <c r="K294" s="179">
        <v>5927021884.7799997</v>
      </c>
      <c r="L294" s="179">
        <v>5927021884.7799997</v>
      </c>
      <c r="M294" s="179">
        <v>19691201115.220001</v>
      </c>
      <c r="N294" s="179">
        <v>19691201115.220001</v>
      </c>
    </row>
    <row r="295" spans="1:14" s="156" customFormat="1" x14ac:dyDescent="0.25">
      <c r="A295" s="156" t="s">
        <v>546</v>
      </c>
      <c r="B295" s="156" t="s">
        <v>96</v>
      </c>
      <c r="C295" s="156" t="s">
        <v>97</v>
      </c>
      <c r="D295" s="156" t="s">
        <v>541</v>
      </c>
      <c r="E295" s="179">
        <v>25601107000</v>
      </c>
      <c r="F295" s="179">
        <v>25601107000</v>
      </c>
      <c r="G295" s="179">
        <v>25601107000</v>
      </c>
      <c r="H295" s="179">
        <v>0</v>
      </c>
      <c r="I295" s="179">
        <v>0</v>
      </c>
      <c r="J295" s="179">
        <v>0</v>
      </c>
      <c r="K295" s="179">
        <v>5911750084.7799997</v>
      </c>
      <c r="L295" s="179">
        <v>5911750084.7799997</v>
      </c>
      <c r="M295" s="179">
        <v>19689356915.220001</v>
      </c>
      <c r="N295" s="179">
        <v>19689356915.220001</v>
      </c>
    </row>
    <row r="296" spans="1:14" s="156" customFormat="1" x14ac:dyDescent="0.25">
      <c r="A296" s="156" t="s">
        <v>546</v>
      </c>
      <c r="B296" s="156" t="s">
        <v>346</v>
      </c>
      <c r="C296" s="156" t="s">
        <v>347</v>
      </c>
      <c r="D296" s="156" t="s">
        <v>541</v>
      </c>
      <c r="E296" s="179">
        <v>17116000</v>
      </c>
      <c r="F296" s="179">
        <v>17116000</v>
      </c>
      <c r="G296" s="179">
        <v>17116000</v>
      </c>
      <c r="H296" s="179">
        <v>0</v>
      </c>
      <c r="I296" s="179">
        <v>0</v>
      </c>
      <c r="J296" s="179">
        <v>0</v>
      </c>
      <c r="K296" s="179">
        <v>15271800</v>
      </c>
      <c r="L296" s="179">
        <v>15271800</v>
      </c>
      <c r="M296" s="179">
        <v>1844200</v>
      </c>
      <c r="N296" s="179">
        <v>1844200</v>
      </c>
    </row>
    <row r="297" spans="1:14" s="156" customFormat="1" x14ac:dyDescent="0.25">
      <c r="A297" s="156" t="s">
        <v>546</v>
      </c>
      <c r="B297" s="156" t="s">
        <v>98</v>
      </c>
      <c r="C297" s="156" t="s">
        <v>99</v>
      </c>
      <c r="D297" s="156" t="s">
        <v>541</v>
      </c>
      <c r="E297" s="179">
        <v>3406791000</v>
      </c>
      <c r="F297" s="179">
        <v>3406791000</v>
      </c>
      <c r="G297" s="179">
        <v>3406791000</v>
      </c>
      <c r="H297" s="179">
        <v>0</v>
      </c>
      <c r="I297" s="179">
        <v>0</v>
      </c>
      <c r="J297" s="179">
        <v>0</v>
      </c>
      <c r="K297" s="179">
        <v>905120469.63</v>
      </c>
      <c r="L297" s="179">
        <v>905120469.63</v>
      </c>
      <c r="M297" s="179">
        <v>2501670530.3699999</v>
      </c>
      <c r="N297" s="179">
        <v>2501670530.3699999</v>
      </c>
    </row>
    <row r="298" spans="1:14" s="156" customFormat="1" x14ac:dyDescent="0.25">
      <c r="A298" s="156" t="s">
        <v>546</v>
      </c>
      <c r="B298" s="156" t="s">
        <v>100</v>
      </c>
      <c r="C298" s="156" t="s">
        <v>101</v>
      </c>
      <c r="D298" s="156" t="s">
        <v>541</v>
      </c>
      <c r="E298" s="179">
        <v>8000000</v>
      </c>
      <c r="F298" s="179">
        <v>8000000</v>
      </c>
      <c r="G298" s="179">
        <v>8000000</v>
      </c>
      <c r="H298" s="179">
        <v>0</v>
      </c>
      <c r="I298" s="179">
        <v>0</v>
      </c>
      <c r="J298" s="179">
        <v>0</v>
      </c>
      <c r="K298" s="179">
        <v>2603141.56</v>
      </c>
      <c r="L298" s="179">
        <v>2603141.56</v>
      </c>
      <c r="M298" s="179">
        <v>5396858.4400000004</v>
      </c>
      <c r="N298" s="179">
        <v>5396858.4400000004</v>
      </c>
    </row>
    <row r="299" spans="1:14" s="156" customFormat="1" x14ac:dyDescent="0.25">
      <c r="A299" s="156" t="s">
        <v>546</v>
      </c>
      <c r="B299" s="156" t="s">
        <v>348</v>
      </c>
      <c r="C299" s="156" t="s">
        <v>349</v>
      </c>
      <c r="D299" s="156" t="s">
        <v>541</v>
      </c>
      <c r="E299" s="179">
        <v>24994000</v>
      </c>
      <c r="F299" s="179">
        <v>24994000</v>
      </c>
      <c r="G299" s="179">
        <v>24994000</v>
      </c>
      <c r="H299" s="179">
        <v>0</v>
      </c>
      <c r="I299" s="179">
        <v>0</v>
      </c>
      <c r="J299" s="179">
        <v>0</v>
      </c>
      <c r="K299" s="179">
        <v>1895757</v>
      </c>
      <c r="L299" s="179">
        <v>1895757</v>
      </c>
      <c r="M299" s="179">
        <v>23098243</v>
      </c>
      <c r="N299" s="179">
        <v>23098243</v>
      </c>
    </row>
    <row r="300" spans="1:14" s="156" customFormat="1" x14ac:dyDescent="0.25">
      <c r="A300" s="156" t="s">
        <v>546</v>
      </c>
      <c r="B300" s="156" t="s">
        <v>350</v>
      </c>
      <c r="C300" s="156" t="s">
        <v>351</v>
      </c>
      <c r="D300" s="156" t="s">
        <v>541</v>
      </c>
      <c r="E300" s="179">
        <v>3373797000</v>
      </c>
      <c r="F300" s="179">
        <v>3373797000</v>
      </c>
      <c r="G300" s="179">
        <v>3373797000</v>
      </c>
      <c r="H300" s="179">
        <v>0</v>
      </c>
      <c r="I300" s="179">
        <v>0</v>
      </c>
      <c r="J300" s="179">
        <v>0</v>
      </c>
      <c r="K300" s="179">
        <v>900621571.07000005</v>
      </c>
      <c r="L300" s="179">
        <v>900621571.07000005</v>
      </c>
      <c r="M300" s="179">
        <v>2473175428.9299998</v>
      </c>
      <c r="N300" s="179">
        <v>2473175428.9299998</v>
      </c>
    </row>
    <row r="301" spans="1:14" s="156" customFormat="1" x14ac:dyDescent="0.25">
      <c r="A301" s="156" t="s">
        <v>546</v>
      </c>
      <c r="B301" s="156" t="s">
        <v>102</v>
      </c>
      <c r="C301" s="156" t="s">
        <v>103</v>
      </c>
      <c r="D301" s="156" t="s">
        <v>541</v>
      </c>
      <c r="E301" s="179">
        <v>29694590000</v>
      </c>
      <c r="F301" s="179">
        <v>29694590000</v>
      </c>
      <c r="G301" s="179">
        <v>29694240000</v>
      </c>
      <c r="H301" s="179">
        <v>0</v>
      </c>
      <c r="I301" s="179">
        <v>0</v>
      </c>
      <c r="J301" s="179">
        <v>0</v>
      </c>
      <c r="K301" s="179">
        <v>8837848333.6800003</v>
      </c>
      <c r="L301" s="179">
        <v>8837848333.6800003</v>
      </c>
      <c r="M301" s="179">
        <v>20856741666.32</v>
      </c>
      <c r="N301" s="179">
        <v>20856391666.32</v>
      </c>
    </row>
    <row r="302" spans="1:14" s="156" customFormat="1" x14ac:dyDescent="0.25">
      <c r="A302" s="156" t="s">
        <v>546</v>
      </c>
      <c r="B302" s="156" t="s">
        <v>104</v>
      </c>
      <c r="C302" s="156" t="s">
        <v>105</v>
      </c>
      <c r="D302" s="156" t="s">
        <v>541</v>
      </c>
      <c r="E302" s="179">
        <v>9856906000</v>
      </c>
      <c r="F302" s="179">
        <v>9856906000</v>
      </c>
      <c r="G302" s="179">
        <v>9856906000</v>
      </c>
      <c r="H302" s="179">
        <v>0</v>
      </c>
      <c r="I302" s="179">
        <v>0</v>
      </c>
      <c r="J302" s="179">
        <v>0</v>
      </c>
      <c r="K302" s="179">
        <v>2297425747.75</v>
      </c>
      <c r="L302" s="179">
        <v>2297425747.75</v>
      </c>
      <c r="M302" s="179">
        <v>7559480252.25</v>
      </c>
      <c r="N302" s="179">
        <v>7559480252.25</v>
      </c>
    </row>
    <row r="303" spans="1:14" s="156" customFormat="1" x14ac:dyDescent="0.25">
      <c r="A303" s="156" t="s">
        <v>546</v>
      </c>
      <c r="B303" s="156" t="s">
        <v>106</v>
      </c>
      <c r="C303" s="156" t="s">
        <v>107</v>
      </c>
      <c r="D303" s="156" t="s">
        <v>541</v>
      </c>
      <c r="E303" s="179">
        <v>3637068000</v>
      </c>
      <c r="F303" s="179">
        <v>3637068000</v>
      </c>
      <c r="G303" s="179">
        <v>3637068000</v>
      </c>
      <c r="H303" s="179">
        <v>0</v>
      </c>
      <c r="I303" s="179">
        <v>0</v>
      </c>
      <c r="J303" s="179">
        <v>0</v>
      </c>
      <c r="K303" s="179">
        <v>820149839.24000001</v>
      </c>
      <c r="L303" s="179">
        <v>820149839.24000001</v>
      </c>
      <c r="M303" s="179">
        <v>2816918160.7600002</v>
      </c>
      <c r="N303" s="179">
        <v>2816918160.7600002</v>
      </c>
    </row>
    <row r="304" spans="1:14" s="156" customFormat="1" x14ac:dyDescent="0.25">
      <c r="A304" s="156" t="s">
        <v>546</v>
      </c>
      <c r="B304" s="156" t="s">
        <v>108</v>
      </c>
      <c r="C304" s="156" t="s">
        <v>109</v>
      </c>
      <c r="D304" s="156" t="s">
        <v>541</v>
      </c>
      <c r="E304" s="179">
        <v>3859929000</v>
      </c>
      <c r="F304" s="179">
        <v>3859929000</v>
      </c>
      <c r="G304" s="179">
        <v>3859929000</v>
      </c>
      <c r="H304" s="179">
        <v>0</v>
      </c>
      <c r="I304" s="179">
        <v>0</v>
      </c>
      <c r="J304" s="179">
        <v>0</v>
      </c>
      <c r="K304" s="179">
        <v>3840892017.1399999</v>
      </c>
      <c r="L304" s="179">
        <v>3840892017.1399999</v>
      </c>
      <c r="M304" s="179">
        <v>19036982.859999999</v>
      </c>
      <c r="N304" s="179">
        <v>19036982.859999999</v>
      </c>
    </row>
    <row r="305" spans="1:14" s="156" customFormat="1" x14ac:dyDescent="0.25">
      <c r="A305" s="156" t="s">
        <v>546</v>
      </c>
      <c r="B305" s="156" t="s">
        <v>110</v>
      </c>
      <c r="C305" s="156" t="s">
        <v>111</v>
      </c>
      <c r="D305" s="156" t="s">
        <v>541</v>
      </c>
      <c r="E305" s="179">
        <v>7961754000</v>
      </c>
      <c r="F305" s="179">
        <v>7961754000</v>
      </c>
      <c r="G305" s="179">
        <v>7961404000</v>
      </c>
      <c r="H305" s="179">
        <v>0</v>
      </c>
      <c r="I305" s="179">
        <v>0</v>
      </c>
      <c r="J305" s="179">
        <v>0</v>
      </c>
      <c r="K305" s="179">
        <v>1873627267.29</v>
      </c>
      <c r="L305" s="179">
        <v>1873627267.29</v>
      </c>
      <c r="M305" s="179">
        <v>6088126732.71</v>
      </c>
      <c r="N305" s="179">
        <v>6087776732.71</v>
      </c>
    </row>
    <row r="306" spans="1:14" s="156" customFormat="1" x14ac:dyDescent="0.25">
      <c r="A306" s="156" t="s">
        <v>546</v>
      </c>
      <c r="B306" s="156" t="s">
        <v>112</v>
      </c>
      <c r="C306" s="156" t="s">
        <v>113</v>
      </c>
      <c r="D306" s="156" t="s">
        <v>543</v>
      </c>
      <c r="E306" s="179">
        <v>4378933000</v>
      </c>
      <c r="F306" s="179">
        <v>4378933000</v>
      </c>
      <c r="G306" s="179">
        <v>4378933000</v>
      </c>
      <c r="H306" s="179">
        <v>0</v>
      </c>
      <c r="I306" s="179">
        <v>0</v>
      </c>
      <c r="J306" s="179">
        <v>0</v>
      </c>
      <c r="K306" s="179">
        <v>5753462.2599999998</v>
      </c>
      <c r="L306" s="179">
        <v>5753462.2599999998</v>
      </c>
      <c r="M306" s="179">
        <v>4373179537.7399998</v>
      </c>
      <c r="N306" s="179">
        <v>4373179537.7399998</v>
      </c>
    </row>
    <row r="307" spans="1:14" s="156" customFormat="1" x14ac:dyDescent="0.25">
      <c r="A307" s="156" t="s">
        <v>546</v>
      </c>
      <c r="B307" s="156" t="s">
        <v>114</v>
      </c>
      <c r="C307" s="156" t="s">
        <v>115</v>
      </c>
      <c r="D307" s="156" t="s">
        <v>541</v>
      </c>
      <c r="E307" s="179">
        <v>5298410000</v>
      </c>
      <c r="F307" s="179">
        <v>5298410000</v>
      </c>
      <c r="G307" s="179">
        <v>5298410000</v>
      </c>
      <c r="H307" s="179">
        <v>0</v>
      </c>
      <c r="I307" s="179">
        <v>3771731026</v>
      </c>
      <c r="J307" s="179">
        <v>0</v>
      </c>
      <c r="K307" s="179">
        <v>1526678974</v>
      </c>
      <c r="L307" s="179">
        <v>1526678974</v>
      </c>
      <c r="M307" s="179">
        <v>0</v>
      </c>
      <c r="N307" s="179">
        <v>0</v>
      </c>
    </row>
    <row r="308" spans="1:14" s="156" customFormat="1" x14ac:dyDescent="0.25">
      <c r="A308" s="156" t="s">
        <v>546</v>
      </c>
      <c r="B308" s="156" t="s">
        <v>352</v>
      </c>
      <c r="C308" s="156" t="s">
        <v>597</v>
      </c>
      <c r="D308" s="156" t="s">
        <v>541</v>
      </c>
      <c r="E308" s="179">
        <v>5026697000</v>
      </c>
      <c r="F308" s="179">
        <v>5026697000</v>
      </c>
      <c r="G308" s="179">
        <v>5026697000</v>
      </c>
      <c r="H308" s="179">
        <v>0</v>
      </c>
      <c r="I308" s="179">
        <v>3578295360</v>
      </c>
      <c r="J308" s="179">
        <v>0</v>
      </c>
      <c r="K308" s="179">
        <v>1448401640</v>
      </c>
      <c r="L308" s="179">
        <v>1448401640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353</v>
      </c>
      <c r="C309" s="156" t="s">
        <v>583</v>
      </c>
      <c r="D309" s="156" t="s">
        <v>541</v>
      </c>
      <c r="E309" s="179">
        <v>271713000</v>
      </c>
      <c r="F309" s="179">
        <v>271713000</v>
      </c>
      <c r="G309" s="179">
        <v>271713000</v>
      </c>
      <c r="H309" s="179">
        <v>0</v>
      </c>
      <c r="I309" s="179">
        <v>193435666</v>
      </c>
      <c r="J309" s="179">
        <v>0</v>
      </c>
      <c r="K309" s="179">
        <v>78277334</v>
      </c>
      <c r="L309" s="179">
        <v>78277334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118</v>
      </c>
      <c r="C310" s="156" t="s">
        <v>119</v>
      </c>
      <c r="D310" s="156" t="s">
        <v>541</v>
      </c>
      <c r="E310" s="179">
        <v>5206027000</v>
      </c>
      <c r="F310" s="179">
        <v>5206027000</v>
      </c>
      <c r="G310" s="179">
        <v>5206027000</v>
      </c>
      <c r="H310" s="179">
        <v>0</v>
      </c>
      <c r="I310" s="179">
        <v>3706709681</v>
      </c>
      <c r="J310" s="179">
        <v>0</v>
      </c>
      <c r="K310" s="179">
        <v>1499317319</v>
      </c>
      <c r="L310" s="179">
        <v>1499317319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354</v>
      </c>
      <c r="C311" s="156" t="s">
        <v>598</v>
      </c>
      <c r="D311" s="156" t="s">
        <v>541</v>
      </c>
      <c r="E311" s="179">
        <v>2760607000</v>
      </c>
      <c r="F311" s="179">
        <v>2760607000</v>
      </c>
      <c r="G311" s="179">
        <v>2760607000</v>
      </c>
      <c r="H311" s="179">
        <v>0</v>
      </c>
      <c r="I311" s="179">
        <v>1965787217</v>
      </c>
      <c r="J311" s="179">
        <v>0</v>
      </c>
      <c r="K311" s="179">
        <v>794819783</v>
      </c>
      <c r="L311" s="179">
        <v>794819783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355</v>
      </c>
      <c r="C312" s="156" t="s">
        <v>599</v>
      </c>
      <c r="D312" s="156" t="s">
        <v>541</v>
      </c>
      <c r="E312" s="179">
        <v>815140000</v>
      </c>
      <c r="F312" s="179">
        <v>815140000</v>
      </c>
      <c r="G312" s="179">
        <v>815140000</v>
      </c>
      <c r="H312" s="179">
        <v>0</v>
      </c>
      <c r="I312" s="179">
        <v>580306962</v>
      </c>
      <c r="J312" s="179">
        <v>0</v>
      </c>
      <c r="K312" s="179">
        <v>234833038</v>
      </c>
      <c r="L312" s="179">
        <v>234833038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356</v>
      </c>
      <c r="C313" s="156" t="s">
        <v>600</v>
      </c>
      <c r="D313" s="156" t="s">
        <v>541</v>
      </c>
      <c r="E313" s="179">
        <v>1630280000</v>
      </c>
      <c r="F313" s="179">
        <v>1630280000</v>
      </c>
      <c r="G313" s="179">
        <v>1630280000</v>
      </c>
      <c r="H313" s="179">
        <v>0</v>
      </c>
      <c r="I313" s="179">
        <v>1160615502</v>
      </c>
      <c r="J313" s="179">
        <v>0</v>
      </c>
      <c r="K313" s="179">
        <v>469664498</v>
      </c>
      <c r="L313" s="179">
        <v>469664498</v>
      </c>
      <c r="M313" s="179">
        <v>0</v>
      </c>
      <c r="N313" s="179">
        <v>0</v>
      </c>
    </row>
    <row r="314" spans="1:14" s="156" customFormat="1" x14ac:dyDescent="0.25">
      <c r="A314" s="156" t="s">
        <v>546</v>
      </c>
      <c r="B314" s="156" t="s">
        <v>123</v>
      </c>
      <c r="C314" s="156" t="s">
        <v>124</v>
      </c>
      <c r="D314" s="156" t="s">
        <v>541</v>
      </c>
      <c r="E314" s="179">
        <v>9869454182</v>
      </c>
      <c r="F314" s="179">
        <v>13869454182</v>
      </c>
      <c r="G314" s="179">
        <v>8962148016.3999996</v>
      </c>
      <c r="H314" s="179">
        <v>191600</v>
      </c>
      <c r="I314" s="179">
        <v>607329965.47000003</v>
      </c>
      <c r="J314" s="179">
        <v>15816456.029999999</v>
      </c>
      <c r="K314" s="179">
        <v>1541628618.55</v>
      </c>
      <c r="L314" s="179">
        <v>1499460194.02</v>
      </c>
      <c r="M314" s="179">
        <v>11704487541.950001</v>
      </c>
      <c r="N314" s="179">
        <v>6797181376.3500004</v>
      </c>
    </row>
    <row r="315" spans="1:14" s="156" customFormat="1" x14ac:dyDescent="0.25">
      <c r="A315" s="156" t="s">
        <v>546</v>
      </c>
      <c r="B315" s="156" t="s">
        <v>125</v>
      </c>
      <c r="C315" s="156" t="s">
        <v>126</v>
      </c>
      <c r="D315" s="156" t="s">
        <v>541</v>
      </c>
      <c r="E315" s="179">
        <v>3181468559</v>
      </c>
      <c r="F315" s="179">
        <v>7181468559</v>
      </c>
      <c r="G315" s="179">
        <v>5501984067.8999996</v>
      </c>
      <c r="H315" s="179">
        <v>0</v>
      </c>
      <c r="I315" s="179">
        <v>156709124.19999999</v>
      </c>
      <c r="J315" s="179">
        <v>1121951.43</v>
      </c>
      <c r="K315" s="179">
        <v>365833466.92000002</v>
      </c>
      <c r="L315" s="179">
        <v>365521320.67000002</v>
      </c>
      <c r="M315" s="179">
        <v>6657804016.4499998</v>
      </c>
      <c r="N315" s="179">
        <v>4978319525.3500004</v>
      </c>
    </row>
    <row r="316" spans="1:14" s="156" customFormat="1" x14ac:dyDescent="0.25">
      <c r="A316" s="156" t="s">
        <v>546</v>
      </c>
      <c r="B316" s="156" t="s">
        <v>306</v>
      </c>
      <c r="C316" s="156" t="s">
        <v>307</v>
      </c>
      <c r="D316" s="156" t="s">
        <v>541</v>
      </c>
      <c r="E316" s="179">
        <v>431740903</v>
      </c>
      <c r="F316" s="179">
        <v>431740903</v>
      </c>
      <c r="G316" s="179">
        <v>215870451.80000001</v>
      </c>
      <c r="H316" s="179">
        <v>0</v>
      </c>
      <c r="I316" s="179">
        <v>3434639.28</v>
      </c>
      <c r="J316" s="179">
        <v>0</v>
      </c>
      <c r="K316" s="179">
        <v>74873072.930000007</v>
      </c>
      <c r="L316" s="179">
        <v>74786072.930000007</v>
      </c>
      <c r="M316" s="179">
        <v>353433190.79000002</v>
      </c>
      <c r="N316" s="179">
        <v>137562739.59</v>
      </c>
    </row>
    <row r="317" spans="1:14" s="156" customFormat="1" x14ac:dyDescent="0.25">
      <c r="A317" s="156" t="s">
        <v>546</v>
      </c>
      <c r="B317" s="156" t="s">
        <v>127</v>
      </c>
      <c r="C317" s="156" t="s">
        <v>128</v>
      </c>
      <c r="D317" s="156" t="s">
        <v>541</v>
      </c>
      <c r="E317" s="179">
        <v>719138329</v>
      </c>
      <c r="F317" s="179">
        <v>719138329</v>
      </c>
      <c r="G317" s="179">
        <v>359569164.30000001</v>
      </c>
      <c r="H317" s="179">
        <v>0</v>
      </c>
      <c r="I317" s="179">
        <v>45946149.359999999</v>
      </c>
      <c r="J317" s="179">
        <v>0</v>
      </c>
      <c r="K317" s="179">
        <v>45550602.579999998</v>
      </c>
      <c r="L317" s="179">
        <v>45550602.579999998</v>
      </c>
      <c r="M317" s="179">
        <v>627641577.05999994</v>
      </c>
      <c r="N317" s="179">
        <v>268072412.36000001</v>
      </c>
    </row>
    <row r="318" spans="1:14" s="156" customFormat="1" x14ac:dyDescent="0.25">
      <c r="A318" s="156" t="s">
        <v>546</v>
      </c>
      <c r="B318" s="156" t="s">
        <v>322</v>
      </c>
      <c r="C318" s="156" t="s">
        <v>323</v>
      </c>
      <c r="D318" s="156" t="s">
        <v>541</v>
      </c>
      <c r="E318" s="179">
        <v>23472000</v>
      </c>
      <c r="F318" s="179">
        <v>23472000</v>
      </c>
      <c r="G318" s="179">
        <v>11736000</v>
      </c>
      <c r="H318" s="179">
        <v>0</v>
      </c>
      <c r="I318" s="179">
        <v>0</v>
      </c>
      <c r="J318" s="179">
        <v>0</v>
      </c>
      <c r="K318" s="179">
        <v>1627014.4</v>
      </c>
      <c r="L318" s="179">
        <v>1627014.4</v>
      </c>
      <c r="M318" s="179">
        <v>21844985.600000001</v>
      </c>
      <c r="N318" s="179">
        <v>10108985.6</v>
      </c>
    </row>
    <row r="319" spans="1:14" s="156" customFormat="1" x14ac:dyDescent="0.25">
      <c r="A319" s="156" t="s">
        <v>546</v>
      </c>
      <c r="B319" s="156" t="s">
        <v>129</v>
      </c>
      <c r="C319" s="156" t="s">
        <v>130</v>
      </c>
      <c r="D319" s="156" t="s">
        <v>541</v>
      </c>
      <c r="E319" s="179">
        <v>2007117327</v>
      </c>
      <c r="F319" s="179">
        <v>2007117327</v>
      </c>
      <c r="G319" s="179">
        <v>914808451.79999995</v>
      </c>
      <c r="H319" s="179">
        <v>0</v>
      </c>
      <c r="I319" s="179">
        <v>107328335.56</v>
      </c>
      <c r="J319" s="179">
        <v>1121951.43</v>
      </c>
      <c r="K319" s="179">
        <v>243782777.00999999</v>
      </c>
      <c r="L319" s="179">
        <v>243557630.75999999</v>
      </c>
      <c r="M319" s="179">
        <v>1654884263</v>
      </c>
      <c r="N319" s="179">
        <v>562575387.79999995</v>
      </c>
    </row>
    <row r="320" spans="1:14" s="156" customFormat="1" x14ac:dyDescent="0.25">
      <c r="A320" s="156" t="s">
        <v>546</v>
      </c>
      <c r="B320" s="156" t="s">
        <v>129</v>
      </c>
      <c r="C320" s="156" t="s">
        <v>130</v>
      </c>
      <c r="D320" s="156" t="s">
        <v>543</v>
      </c>
      <c r="E320" s="179">
        <v>0</v>
      </c>
      <c r="F320" s="179">
        <v>4000000000</v>
      </c>
      <c r="G320" s="179">
        <v>4000000000</v>
      </c>
      <c r="H320" s="179">
        <v>0</v>
      </c>
      <c r="I320" s="179">
        <v>0</v>
      </c>
      <c r="J320" s="179">
        <v>0</v>
      </c>
      <c r="K320" s="179">
        <v>0</v>
      </c>
      <c r="L320" s="179">
        <v>0</v>
      </c>
      <c r="M320" s="179">
        <v>4000000000</v>
      </c>
      <c r="N320" s="179">
        <v>4000000000</v>
      </c>
    </row>
    <row r="321" spans="1:14" s="156" customFormat="1" x14ac:dyDescent="0.25">
      <c r="A321" s="156" t="s">
        <v>546</v>
      </c>
      <c r="B321" s="156" t="s">
        <v>131</v>
      </c>
      <c r="C321" s="156" t="s">
        <v>132</v>
      </c>
      <c r="D321" s="156" t="s">
        <v>541</v>
      </c>
      <c r="E321" s="179">
        <v>4328674526</v>
      </c>
      <c r="F321" s="179">
        <v>4328674526</v>
      </c>
      <c r="G321" s="179">
        <v>2175406909.5</v>
      </c>
      <c r="H321" s="179">
        <v>0</v>
      </c>
      <c r="I321" s="179">
        <v>83795052.680000007</v>
      </c>
      <c r="J321" s="179">
        <v>0</v>
      </c>
      <c r="K321" s="179">
        <v>965954538.22000003</v>
      </c>
      <c r="L321" s="179">
        <v>936202816.12</v>
      </c>
      <c r="M321" s="179">
        <v>3278924935.0999999</v>
      </c>
      <c r="N321" s="179">
        <v>1125657318.5999999</v>
      </c>
    </row>
    <row r="322" spans="1:14" s="156" customFormat="1" x14ac:dyDescent="0.25">
      <c r="A322" s="156" t="s">
        <v>546</v>
      </c>
      <c r="B322" s="156" t="s">
        <v>133</v>
      </c>
      <c r="C322" s="156" t="s">
        <v>134</v>
      </c>
      <c r="D322" s="156" t="s">
        <v>541</v>
      </c>
      <c r="E322" s="179">
        <v>2503011786</v>
      </c>
      <c r="F322" s="179">
        <v>2503011786</v>
      </c>
      <c r="G322" s="179">
        <v>1251505893.5</v>
      </c>
      <c r="H322" s="179">
        <v>0</v>
      </c>
      <c r="I322" s="179">
        <v>9473601.5</v>
      </c>
      <c r="J322" s="179">
        <v>0</v>
      </c>
      <c r="K322" s="179">
        <v>616279345</v>
      </c>
      <c r="L322" s="179">
        <v>616279345</v>
      </c>
      <c r="M322" s="179">
        <v>1877258839.5</v>
      </c>
      <c r="N322" s="179">
        <v>625752947</v>
      </c>
    </row>
    <row r="323" spans="1:14" s="156" customFormat="1" x14ac:dyDescent="0.25">
      <c r="A323" s="156" t="s">
        <v>546</v>
      </c>
      <c r="B323" s="156" t="s">
        <v>135</v>
      </c>
      <c r="C323" s="156" t="s">
        <v>136</v>
      </c>
      <c r="D323" s="156" t="s">
        <v>541</v>
      </c>
      <c r="E323" s="179">
        <v>973642474</v>
      </c>
      <c r="F323" s="179">
        <v>973642474</v>
      </c>
      <c r="G323" s="179">
        <v>460154570.5</v>
      </c>
      <c r="H323" s="179">
        <v>0</v>
      </c>
      <c r="I323" s="179">
        <v>21469652.359999999</v>
      </c>
      <c r="J323" s="179">
        <v>0</v>
      </c>
      <c r="K323" s="179">
        <v>181533296.02000001</v>
      </c>
      <c r="L323" s="179">
        <v>181533296.02000001</v>
      </c>
      <c r="M323" s="179">
        <v>770639525.62</v>
      </c>
      <c r="N323" s="179">
        <v>257151622.12</v>
      </c>
    </row>
    <row r="324" spans="1:14" s="156" customFormat="1" x14ac:dyDescent="0.25">
      <c r="A324" s="156" t="s">
        <v>546</v>
      </c>
      <c r="B324" s="156" t="s">
        <v>137</v>
      </c>
      <c r="C324" s="156" t="s">
        <v>138</v>
      </c>
      <c r="D324" s="156" t="s">
        <v>541</v>
      </c>
      <c r="E324" s="179">
        <v>3942858</v>
      </c>
      <c r="F324" s="179">
        <v>3942858</v>
      </c>
      <c r="G324" s="179">
        <v>3942857.5</v>
      </c>
      <c r="H324" s="179">
        <v>0</v>
      </c>
      <c r="I324" s="179">
        <v>3026092.5</v>
      </c>
      <c r="J324" s="179">
        <v>0</v>
      </c>
      <c r="K324" s="179">
        <v>477870</v>
      </c>
      <c r="L324" s="179">
        <v>352925</v>
      </c>
      <c r="M324" s="179">
        <v>438895.5</v>
      </c>
      <c r="N324" s="179">
        <v>438895</v>
      </c>
    </row>
    <row r="325" spans="1:14" s="156" customFormat="1" x14ac:dyDescent="0.25">
      <c r="A325" s="156" t="s">
        <v>546</v>
      </c>
      <c r="B325" s="156" t="s">
        <v>139</v>
      </c>
      <c r="C325" s="156" t="s">
        <v>140</v>
      </c>
      <c r="D325" s="156" t="s">
        <v>541</v>
      </c>
      <c r="E325" s="179">
        <v>753229000</v>
      </c>
      <c r="F325" s="179">
        <v>753229000</v>
      </c>
      <c r="G325" s="179">
        <v>376614500</v>
      </c>
      <c r="H325" s="179">
        <v>0</v>
      </c>
      <c r="I325" s="179">
        <v>28457040.550000001</v>
      </c>
      <c r="J325" s="179">
        <v>0</v>
      </c>
      <c r="K325" s="179">
        <v>131609378.51000001</v>
      </c>
      <c r="L325" s="179">
        <v>103923201.41</v>
      </c>
      <c r="M325" s="179">
        <v>593162580.94000006</v>
      </c>
      <c r="N325" s="179">
        <v>216548080.94</v>
      </c>
    </row>
    <row r="326" spans="1:14" s="156" customFormat="1" x14ac:dyDescent="0.25">
      <c r="A326" s="156" t="s">
        <v>546</v>
      </c>
      <c r="B326" s="156" t="s">
        <v>141</v>
      </c>
      <c r="C326" s="156" t="s">
        <v>142</v>
      </c>
      <c r="D326" s="156" t="s">
        <v>541</v>
      </c>
      <c r="E326" s="179">
        <v>94848408</v>
      </c>
      <c r="F326" s="179">
        <v>94848408</v>
      </c>
      <c r="G326" s="179">
        <v>83189088</v>
      </c>
      <c r="H326" s="179">
        <v>0</v>
      </c>
      <c r="I326" s="179">
        <v>21368665.77</v>
      </c>
      <c r="J326" s="179">
        <v>0</v>
      </c>
      <c r="K326" s="179">
        <v>36054648.689999998</v>
      </c>
      <c r="L326" s="179">
        <v>34114048.689999998</v>
      </c>
      <c r="M326" s="179">
        <v>37425093.539999999</v>
      </c>
      <c r="N326" s="179">
        <v>25765773.539999999</v>
      </c>
    </row>
    <row r="327" spans="1:14" s="156" customFormat="1" x14ac:dyDescent="0.25">
      <c r="A327" s="156" t="s">
        <v>546</v>
      </c>
      <c r="B327" s="156" t="s">
        <v>143</v>
      </c>
      <c r="C327" s="156" t="s">
        <v>144</v>
      </c>
      <c r="D327" s="156" t="s">
        <v>541</v>
      </c>
      <c r="E327" s="179">
        <v>4451091</v>
      </c>
      <c r="F327" s="179">
        <v>4451091</v>
      </c>
      <c r="G327" s="179">
        <v>3399517.75</v>
      </c>
      <c r="H327" s="179">
        <v>0</v>
      </c>
      <c r="I327" s="179">
        <v>2043710</v>
      </c>
      <c r="J327" s="179">
        <v>0</v>
      </c>
      <c r="K327" s="179">
        <v>445470</v>
      </c>
      <c r="L327" s="179">
        <v>445470</v>
      </c>
      <c r="M327" s="179">
        <v>1961911</v>
      </c>
      <c r="N327" s="179">
        <v>910337.75</v>
      </c>
    </row>
    <row r="328" spans="1:14" s="156" customFormat="1" x14ac:dyDescent="0.25">
      <c r="A328" s="156" t="s">
        <v>546</v>
      </c>
      <c r="B328" s="156" t="s">
        <v>145</v>
      </c>
      <c r="C328" s="156" t="s">
        <v>146</v>
      </c>
      <c r="D328" s="156" t="s">
        <v>541</v>
      </c>
      <c r="E328" s="179">
        <v>1831091</v>
      </c>
      <c r="F328" s="179">
        <v>1831091</v>
      </c>
      <c r="G328" s="179">
        <v>1831090.75</v>
      </c>
      <c r="H328" s="179">
        <v>0</v>
      </c>
      <c r="I328" s="179">
        <v>1069070</v>
      </c>
      <c r="J328" s="179">
        <v>0</v>
      </c>
      <c r="K328" s="179">
        <v>413470</v>
      </c>
      <c r="L328" s="179">
        <v>413470</v>
      </c>
      <c r="M328" s="179">
        <v>348551</v>
      </c>
      <c r="N328" s="179">
        <v>348550.75</v>
      </c>
    </row>
    <row r="329" spans="1:14" s="156" customFormat="1" x14ac:dyDescent="0.25">
      <c r="A329" s="156" t="s">
        <v>546</v>
      </c>
      <c r="B329" s="156" t="s">
        <v>147</v>
      </c>
      <c r="C329" s="156" t="s">
        <v>148</v>
      </c>
      <c r="D329" s="156" t="s">
        <v>541</v>
      </c>
      <c r="E329" s="179">
        <v>2620000</v>
      </c>
      <c r="F329" s="179">
        <v>2620000</v>
      </c>
      <c r="G329" s="179">
        <v>1568427</v>
      </c>
      <c r="H329" s="179">
        <v>0</v>
      </c>
      <c r="I329" s="179">
        <v>974640</v>
      </c>
      <c r="J329" s="179">
        <v>0</v>
      </c>
      <c r="K329" s="179">
        <v>32000</v>
      </c>
      <c r="L329" s="179">
        <v>32000</v>
      </c>
      <c r="M329" s="179">
        <v>1613360</v>
      </c>
      <c r="N329" s="179">
        <v>561787</v>
      </c>
    </row>
    <row r="330" spans="1:14" s="156" customFormat="1" x14ac:dyDescent="0.25">
      <c r="A330" s="156" t="s">
        <v>546</v>
      </c>
      <c r="B330" s="156" t="s">
        <v>151</v>
      </c>
      <c r="C330" s="156" t="s">
        <v>152</v>
      </c>
      <c r="D330" s="156" t="s">
        <v>541</v>
      </c>
      <c r="E330" s="179">
        <v>310063679</v>
      </c>
      <c r="F330" s="179">
        <v>310063679</v>
      </c>
      <c r="G330" s="179">
        <v>160811260.68000001</v>
      </c>
      <c r="H330" s="179">
        <v>0</v>
      </c>
      <c r="I330" s="179">
        <v>35860058.149999999</v>
      </c>
      <c r="J330" s="179">
        <v>1345487.6</v>
      </c>
      <c r="K330" s="179">
        <v>22723748</v>
      </c>
      <c r="L330" s="179">
        <v>16073529.66</v>
      </c>
      <c r="M330" s="179">
        <v>250134385.25</v>
      </c>
      <c r="N330" s="179">
        <v>100881966.93000001</v>
      </c>
    </row>
    <row r="331" spans="1:14" s="156" customFormat="1" x14ac:dyDescent="0.25">
      <c r="A331" s="156" t="s">
        <v>546</v>
      </c>
      <c r="B331" s="156" t="s">
        <v>359</v>
      </c>
      <c r="C331" s="156" t="s">
        <v>605</v>
      </c>
      <c r="D331" s="156" t="s">
        <v>541</v>
      </c>
      <c r="E331" s="179">
        <v>21381819</v>
      </c>
      <c r="F331" s="179">
        <v>21381819</v>
      </c>
      <c r="G331" s="179">
        <v>10690909.75</v>
      </c>
      <c r="H331" s="179">
        <v>0</v>
      </c>
      <c r="I331" s="179">
        <v>4356088</v>
      </c>
      <c r="J331" s="179">
        <v>0</v>
      </c>
      <c r="K331" s="179">
        <v>0</v>
      </c>
      <c r="L331" s="179">
        <v>0</v>
      </c>
      <c r="M331" s="179">
        <v>17025731</v>
      </c>
      <c r="N331" s="179">
        <v>6334821.75</v>
      </c>
    </row>
    <row r="332" spans="1:14" s="156" customFormat="1" x14ac:dyDescent="0.25">
      <c r="A332" s="156" t="s">
        <v>546</v>
      </c>
      <c r="B332" s="156" t="s">
        <v>330</v>
      </c>
      <c r="C332" s="156" t="s">
        <v>604</v>
      </c>
      <c r="D332" s="156" t="s">
        <v>541</v>
      </c>
      <c r="E332" s="179">
        <v>106119000</v>
      </c>
      <c r="F332" s="179">
        <v>106119000</v>
      </c>
      <c r="G332" s="179">
        <v>53059500</v>
      </c>
      <c r="H332" s="179">
        <v>0</v>
      </c>
      <c r="I332" s="179">
        <v>20792663.219999999</v>
      </c>
      <c r="J332" s="179">
        <v>0</v>
      </c>
      <c r="K332" s="179">
        <v>4125000</v>
      </c>
      <c r="L332" s="179">
        <v>4125000</v>
      </c>
      <c r="M332" s="179">
        <v>81201336.780000001</v>
      </c>
      <c r="N332" s="179">
        <v>28141836.780000001</v>
      </c>
    </row>
    <row r="333" spans="1:14" s="156" customFormat="1" x14ac:dyDescent="0.25">
      <c r="A333" s="156" t="s">
        <v>546</v>
      </c>
      <c r="B333" s="156" t="s">
        <v>154</v>
      </c>
      <c r="C333" s="156" t="s">
        <v>155</v>
      </c>
      <c r="D333" s="156" t="s">
        <v>541</v>
      </c>
      <c r="E333" s="179">
        <v>126000000</v>
      </c>
      <c r="F333" s="179">
        <v>126000000</v>
      </c>
      <c r="G333" s="179">
        <v>63000000</v>
      </c>
      <c r="H333" s="179">
        <v>0</v>
      </c>
      <c r="I333" s="179">
        <v>6406179.8499999996</v>
      </c>
      <c r="J333" s="179">
        <v>0</v>
      </c>
      <c r="K333" s="179">
        <v>11395519.66</v>
      </c>
      <c r="L333" s="179">
        <v>11395519.66</v>
      </c>
      <c r="M333" s="179">
        <v>108198300.48999999</v>
      </c>
      <c r="N333" s="179">
        <v>45198300.490000002</v>
      </c>
    </row>
    <row r="334" spans="1:14" s="156" customFormat="1" x14ac:dyDescent="0.25">
      <c r="A334" s="156" t="s">
        <v>546</v>
      </c>
      <c r="B334" s="156" t="s">
        <v>156</v>
      </c>
      <c r="C334" s="156" t="s">
        <v>157</v>
      </c>
      <c r="D334" s="156" t="s">
        <v>541</v>
      </c>
      <c r="E334" s="179">
        <v>56562860</v>
      </c>
      <c r="F334" s="179">
        <v>56562860</v>
      </c>
      <c r="G334" s="179">
        <v>34060850.93</v>
      </c>
      <c r="H334" s="179">
        <v>0</v>
      </c>
      <c r="I334" s="179">
        <v>4305127.08</v>
      </c>
      <c r="J334" s="179">
        <v>1345487.6</v>
      </c>
      <c r="K334" s="179">
        <v>7203228.3399999999</v>
      </c>
      <c r="L334" s="179">
        <v>553010</v>
      </c>
      <c r="M334" s="179">
        <v>43709016.979999997</v>
      </c>
      <c r="N334" s="179">
        <v>21207007.91</v>
      </c>
    </row>
    <row r="335" spans="1:14" s="156" customFormat="1" x14ac:dyDescent="0.25">
      <c r="A335" s="156" t="s">
        <v>546</v>
      </c>
      <c r="B335" s="156" t="s">
        <v>158</v>
      </c>
      <c r="C335" s="156" t="s">
        <v>159</v>
      </c>
      <c r="D335" s="156" t="s">
        <v>541</v>
      </c>
      <c r="E335" s="179">
        <v>128523280</v>
      </c>
      <c r="F335" s="179">
        <v>128523280</v>
      </c>
      <c r="G335" s="179">
        <v>71161343.019999996</v>
      </c>
      <c r="H335" s="179">
        <v>191600</v>
      </c>
      <c r="I335" s="179">
        <v>22659560</v>
      </c>
      <c r="J335" s="179">
        <v>0</v>
      </c>
      <c r="K335" s="179">
        <v>15396820</v>
      </c>
      <c r="L335" s="179">
        <v>15202570</v>
      </c>
      <c r="M335" s="179">
        <v>90275300</v>
      </c>
      <c r="N335" s="179">
        <v>32913363.02</v>
      </c>
    </row>
    <row r="336" spans="1:14" s="156" customFormat="1" x14ac:dyDescent="0.25">
      <c r="A336" s="156" t="s">
        <v>546</v>
      </c>
      <c r="B336" s="156" t="s">
        <v>160</v>
      </c>
      <c r="C336" s="156" t="s">
        <v>161</v>
      </c>
      <c r="D336" s="156" t="s">
        <v>541</v>
      </c>
      <c r="E336" s="179">
        <v>4829000</v>
      </c>
      <c r="F336" s="179">
        <v>4829000</v>
      </c>
      <c r="G336" s="179">
        <v>3619140</v>
      </c>
      <c r="H336" s="179">
        <v>0</v>
      </c>
      <c r="I336" s="179">
        <v>1348060</v>
      </c>
      <c r="J336" s="179">
        <v>0</v>
      </c>
      <c r="K336" s="179">
        <v>415820</v>
      </c>
      <c r="L336" s="179">
        <v>415820</v>
      </c>
      <c r="M336" s="179">
        <v>3065120</v>
      </c>
      <c r="N336" s="179">
        <v>1855260</v>
      </c>
    </row>
    <row r="337" spans="1:14" s="156" customFormat="1" x14ac:dyDescent="0.25">
      <c r="A337" s="156" t="s">
        <v>546</v>
      </c>
      <c r="B337" s="156" t="s">
        <v>162</v>
      </c>
      <c r="C337" s="156" t="s">
        <v>163</v>
      </c>
      <c r="D337" s="156" t="s">
        <v>541</v>
      </c>
      <c r="E337" s="179">
        <v>119154137</v>
      </c>
      <c r="F337" s="179">
        <v>119154137</v>
      </c>
      <c r="G337" s="179">
        <v>66407167.270000003</v>
      </c>
      <c r="H337" s="179">
        <v>191600</v>
      </c>
      <c r="I337" s="179">
        <v>21311500</v>
      </c>
      <c r="J337" s="179">
        <v>0</v>
      </c>
      <c r="K337" s="179">
        <v>14981000</v>
      </c>
      <c r="L337" s="179">
        <v>14786750</v>
      </c>
      <c r="M337" s="179">
        <v>82670037</v>
      </c>
      <c r="N337" s="179">
        <v>29923067.27</v>
      </c>
    </row>
    <row r="338" spans="1:14" s="156" customFormat="1" x14ac:dyDescent="0.25">
      <c r="A338" s="156" t="s">
        <v>546</v>
      </c>
      <c r="B338" s="156" t="s">
        <v>164</v>
      </c>
      <c r="C338" s="156" t="s">
        <v>165</v>
      </c>
      <c r="D338" s="156" t="s">
        <v>541</v>
      </c>
      <c r="E338" s="179">
        <v>2851000</v>
      </c>
      <c r="F338" s="179">
        <v>2851000</v>
      </c>
      <c r="G338" s="179">
        <v>712750</v>
      </c>
      <c r="H338" s="179">
        <v>0</v>
      </c>
      <c r="I338" s="179">
        <v>0</v>
      </c>
      <c r="J338" s="179">
        <v>0</v>
      </c>
      <c r="K338" s="179">
        <v>0</v>
      </c>
      <c r="L338" s="179">
        <v>0</v>
      </c>
      <c r="M338" s="179">
        <v>2851000</v>
      </c>
      <c r="N338" s="179">
        <v>712750</v>
      </c>
    </row>
    <row r="339" spans="1:14" s="156" customFormat="1" x14ac:dyDescent="0.25">
      <c r="A339" s="156" t="s">
        <v>546</v>
      </c>
      <c r="B339" s="156" t="s">
        <v>166</v>
      </c>
      <c r="C339" s="156" t="s">
        <v>167</v>
      </c>
      <c r="D339" s="156" t="s">
        <v>541</v>
      </c>
      <c r="E339" s="179">
        <v>1689143</v>
      </c>
      <c r="F339" s="179">
        <v>1689143</v>
      </c>
      <c r="G339" s="179">
        <v>422285.75</v>
      </c>
      <c r="H339" s="179">
        <v>0</v>
      </c>
      <c r="I339" s="179">
        <v>0</v>
      </c>
      <c r="J339" s="179">
        <v>0</v>
      </c>
      <c r="K339" s="179">
        <v>0</v>
      </c>
      <c r="L339" s="179">
        <v>0</v>
      </c>
      <c r="M339" s="179">
        <v>1689143</v>
      </c>
      <c r="N339" s="179">
        <v>422285.75</v>
      </c>
    </row>
    <row r="340" spans="1:14" s="156" customFormat="1" x14ac:dyDescent="0.25">
      <c r="A340" s="156" t="s">
        <v>546</v>
      </c>
      <c r="B340" s="156" t="s">
        <v>168</v>
      </c>
      <c r="C340" s="156" t="s">
        <v>169</v>
      </c>
      <c r="D340" s="156" t="s">
        <v>541</v>
      </c>
      <c r="E340" s="179">
        <v>1290997262</v>
      </c>
      <c r="F340" s="179">
        <v>1244459372.29</v>
      </c>
      <c r="G340" s="179">
        <v>508731252.79000002</v>
      </c>
      <c r="H340" s="179">
        <v>0</v>
      </c>
      <c r="I340" s="179">
        <v>40960900.399999999</v>
      </c>
      <c r="J340" s="179">
        <v>0</v>
      </c>
      <c r="K340" s="179">
        <v>107358787.59999999</v>
      </c>
      <c r="L340" s="179">
        <v>107358787.59999999</v>
      </c>
      <c r="M340" s="179">
        <v>1096139684.29</v>
      </c>
      <c r="N340" s="179">
        <v>360411564.79000002</v>
      </c>
    </row>
    <row r="341" spans="1:14" s="156" customFormat="1" x14ac:dyDescent="0.25">
      <c r="A341" s="156" t="s">
        <v>546</v>
      </c>
      <c r="B341" s="156" t="s">
        <v>170</v>
      </c>
      <c r="C341" s="156" t="s">
        <v>171</v>
      </c>
      <c r="D341" s="156" t="s">
        <v>541</v>
      </c>
      <c r="E341" s="179">
        <v>1290997262</v>
      </c>
      <c r="F341" s="179">
        <v>1244459372.29</v>
      </c>
      <c r="G341" s="179">
        <v>508731252.79000002</v>
      </c>
      <c r="H341" s="179">
        <v>0</v>
      </c>
      <c r="I341" s="179">
        <v>40960900.399999999</v>
      </c>
      <c r="J341" s="179">
        <v>0</v>
      </c>
      <c r="K341" s="179">
        <v>107358787.59999999</v>
      </c>
      <c r="L341" s="179">
        <v>107358787.59999999</v>
      </c>
      <c r="M341" s="179">
        <v>1096139684.29</v>
      </c>
      <c r="N341" s="179">
        <v>360411564.79000002</v>
      </c>
    </row>
    <row r="342" spans="1:14" s="156" customFormat="1" x14ac:dyDescent="0.25">
      <c r="A342" s="156" t="s">
        <v>546</v>
      </c>
      <c r="B342" s="156" t="s">
        <v>172</v>
      </c>
      <c r="C342" s="156" t="s">
        <v>173</v>
      </c>
      <c r="D342" s="156" t="s">
        <v>541</v>
      </c>
      <c r="E342" s="179">
        <v>1413715</v>
      </c>
      <c r="F342" s="179">
        <v>1413715</v>
      </c>
      <c r="G342" s="179">
        <v>1413714.75</v>
      </c>
      <c r="H342" s="179">
        <v>0</v>
      </c>
      <c r="I342" s="179">
        <v>0</v>
      </c>
      <c r="J342" s="179">
        <v>0</v>
      </c>
      <c r="K342" s="179">
        <v>0</v>
      </c>
      <c r="L342" s="179">
        <v>0</v>
      </c>
      <c r="M342" s="179">
        <v>1413715</v>
      </c>
      <c r="N342" s="179">
        <v>1413714.75</v>
      </c>
    </row>
    <row r="343" spans="1:14" s="156" customFormat="1" x14ac:dyDescent="0.25">
      <c r="A343" s="156" t="s">
        <v>546</v>
      </c>
      <c r="B343" s="156" t="s">
        <v>309</v>
      </c>
      <c r="C343" s="156" t="s">
        <v>310</v>
      </c>
      <c r="D343" s="156" t="s">
        <v>541</v>
      </c>
      <c r="E343" s="179">
        <v>1413715</v>
      </c>
      <c r="F343" s="179">
        <v>1413715</v>
      </c>
      <c r="G343" s="179">
        <v>1413714.75</v>
      </c>
      <c r="H343" s="179">
        <v>0</v>
      </c>
      <c r="I343" s="179">
        <v>0</v>
      </c>
      <c r="J343" s="179">
        <v>0</v>
      </c>
      <c r="K343" s="179">
        <v>0</v>
      </c>
      <c r="L343" s="179">
        <v>0</v>
      </c>
      <c r="M343" s="179">
        <v>1413715</v>
      </c>
      <c r="N343" s="179">
        <v>1413714.75</v>
      </c>
    </row>
    <row r="344" spans="1:14" s="156" customFormat="1" x14ac:dyDescent="0.25">
      <c r="A344" s="156" t="s">
        <v>546</v>
      </c>
      <c r="B344" s="156" t="s">
        <v>178</v>
      </c>
      <c r="C344" s="156" t="s">
        <v>179</v>
      </c>
      <c r="D344" s="156" t="s">
        <v>541</v>
      </c>
      <c r="E344" s="179">
        <v>594069615</v>
      </c>
      <c r="F344" s="179">
        <v>594069615</v>
      </c>
      <c r="G344" s="179">
        <v>476305832.55000001</v>
      </c>
      <c r="H344" s="179">
        <v>0</v>
      </c>
      <c r="I344" s="179">
        <v>200399136.06</v>
      </c>
      <c r="J344" s="179">
        <v>13349017</v>
      </c>
      <c r="K344" s="179">
        <v>63740506.380000003</v>
      </c>
      <c r="L344" s="179">
        <v>58480418.539999999</v>
      </c>
      <c r="M344" s="179">
        <v>316580955.56</v>
      </c>
      <c r="N344" s="179">
        <v>198817173.11000001</v>
      </c>
    </row>
    <row r="345" spans="1:14" s="156" customFormat="1" x14ac:dyDescent="0.25">
      <c r="A345" s="156" t="s">
        <v>546</v>
      </c>
      <c r="B345" s="156" t="s">
        <v>180</v>
      </c>
      <c r="C345" s="156" t="s">
        <v>181</v>
      </c>
      <c r="D345" s="156" t="s">
        <v>541</v>
      </c>
      <c r="E345" s="179">
        <v>125656000</v>
      </c>
      <c r="F345" s="179">
        <v>125656000</v>
      </c>
      <c r="G345" s="179">
        <v>62828000</v>
      </c>
      <c r="H345" s="179">
        <v>0</v>
      </c>
      <c r="I345" s="179">
        <v>0</v>
      </c>
      <c r="J345" s="179">
        <v>13349017</v>
      </c>
      <c r="K345" s="179">
        <v>0</v>
      </c>
      <c r="L345" s="179">
        <v>0</v>
      </c>
      <c r="M345" s="179">
        <v>112306983</v>
      </c>
      <c r="N345" s="179">
        <v>49478983</v>
      </c>
    </row>
    <row r="346" spans="1:14" s="156" customFormat="1" x14ac:dyDescent="0.25">
      <c r="A346" s="156" t="s">
        <v>546</v>
      </c>
      <c r="B346" s="156" t="s">
        <v>332</v>
      </c>
      <c r="C346" s="156" t="s">
        <v>333</v>
      </c>
      <c r="D346" s="156" t="s">
        <v>541</v>
      </c>
      <c r="E346" s="179">
        <v>188229817</v>
      </c>
      <c r="F346" s="179">
        <v>188229817</v>
      </c>
      <c r="G346" s="179">
        <v>188229817</v>
      </c>
      <c r="H346" s="179">
        <v>0</v>
      </c>
      <c r="I346" s="179">
        <v>111180019.48999999</v>
      </c>
      <c r="J346" s="179">
        <v>0</v>
      </c>
      <c r="K346" s="179">
        <v>46922302.460000001</v>
      </c>
      <c r="L346" s="179">
        <v>46922302.460000001</v>
      </c>
      <c r="M346" s="179">
        <v>30127495.050000001</v>
      </c>
      <c r="N346" s="179">
        <v>30127495.050000001</v>
      </c>
    </row>
    <row r="347" spans="1:14" s="156" customFormat="1" x14ac:dyDescent="0.25">
      <c r="A347" s="156" t="s">
        <v>546</v>
      </c>
      <c r="B347" s="156" t="s">
        <v>182</v>
      </c>
      <c r="C347" s="156" t="s">
        <v>183</v>
      </c>
      <c r="D347" s="156" t="s">
        <v>541</v>
      </c>
      <c r="E347" s="179">
        <v>95028648</v>
      </c>
      <c r="F347" s="179">
        <v>95028648</v>
      </c>
      <c r="G347" s="179">
        <v>95028648</v>
      </c>
      <c r="H347" s="179">
        <v>0</v>
      </c>
      <c r="I347" s="179">
        <v>43989063.520000003</v>
      </c>
      <c r="J347" s="179">
        <v>0</v>
      </c>
      <c r="K347" s="179">
        <v>8810825.5399999991</v>
      </c>
      <c r="L347" s="179">
        <v>8807505.5399999991</v>
      </c>
      <c r="M347" s="179">
        <v>42228758.939999998</v>
      </c>
      <c r="N347" s="179">
        <v>42228758.939999998</v>
      </c>
    </row>
    <row r="348" spans="1:14" s="156" customFormat="1" x14ac:dyDescent="0.25">
      <c r="A348" s="156" t="s">
        <v>546</v>
      </c>
      <c r="B348" s="156" t="s">
        <v>184</v>
      </c>
      <c r="C348" s="156" t="s">
        <v>185</v>
      </c>
      <c r="D348" s="156" t="s">
        <v>541</v>
      </c>
      <c r="E348" s="179">
        <v>6300000</v>
      </c>
      <c r="F348" s="179">
        <v>6300000</v>
      </c>
      <c r="G348" s="179">
        <v>6300000</v>
      </c>
      <c r="H348" s="179">
        <v>0</v>
      </c>
      <c r="I348" s="179">
        <v>0</v>
      </c>
      <c r="J348" s="179">
        <v>0</v>
      </c>
      <c r="K348" s="179">
        <v>0</v>
      </c>
      <c r="L348" s="179">
        <v>0</v>
      </c>
      <c r="M348" s="179">
        <v>6300000</v>
      </c>
      <c r="N348" s="179">
        <v>6300000</v>
      </c>
    </row>
    <row r="349" spans="1:14" s="156" customFormat="1" x14ac:dyDescent="0.25">
      <c r="A349" s="156" t="s">
        <v>546</v>
      </c>
      <c r="B349" s="156" t="s">
        <v>186</v>
      </c>
      <c r="C349" s="156" t="s">
        <v>187</v>
      </c>
      <c r="D349" s="156" t="s">
        <v>541</v>
      </c>
      <c r="E349" s="179">
        <v>11141667</v>
      </c>
      <c r="F349" s="179">
        <v>11141667</v>
      </c>
      <c r="G349" s="179">
        <v>11141666.75</v>
      </c>
      <c r="H349" s="179">
        <v>0</v>
      </c>
      <c r="I349" s="179">
        <v>2819000</v>
      </c>
      <c r="J349" s="179">
        <v>0</v>
      </c>
      <c r="K349" s="179">
        <v>390000</v>
      </c>
      <c r="L349" s="179">
        <v>390000</v>
      </c>
      <c r="M349" s="179">
        <v>7932667</v>
      </c>
      <c r="N349" s="179">
        <v>7932666.75</v>
      </c>
    </row>
    <row r="350" spans="1:14" s="156" customFormat="1" x14ac:dyDescent="0.25">
      <c r="A350" s="156" t="s">
        <v>546</v>
      </c>
      <c r="B350" s="156" t="s">
        <v>188</v>
      </c>
      <c r="C350" s="156" t="s">
        <v>189</v>
      </c>
      <c r="D350" s="156" t="s">
        <v>541</v>
      </c>
      <c r="E350" s="179">
        <v>40562000</v>
      </c>
      <c r="F350" s="179">
        <v>40562000</v>
      </c>
      <c r="G350" s="179">
        <v>21044983</v>
      </c>
      <c r="H350" s="179">
        <v>0</v>
      </c>
      <c r="I350" s="179">
        <v>6931761.8099999996</v>
      </c>
      <c r="J350" s="179">
        <v>0</v>
      </c>
      <c r="K350" s="179">
        <v>4354712.9800000004</v>
      </c>
      <c r="L350" s="179">
        <v>1032516.14</v>
      </c>
      <c r="M350" s="179">
        <v>29275525.210000001</v>
      </c>
      <c r="N350" s="179">
        <v>9758508.2100000009</v>
      </c>
    </row>
    <row r="351" spans="1:14" s="156" customFormat="1" x14ac:dyDescent="0.25">
      <c r="A351" s="156" t="s">
        <v>546</v>
      </c>
      <c r="B351" s="156" t="s">
        <v>190</v>
      </c>
      <c r="C351" s="156" t="s">
        <v>191</v>
      </c>
      <c r="D351" s="156" t="s">
        <v>541</v>
      </c>
      <c r="E351" s="179">
        <v>127151483</v>
      </c>
      <c r="F351" s="179">
        <v>127151483</v>
      </c>
      <c r="G351" s="179">
        <v>91732717.799999997</v>
      </c>
      <c r="H351" s="179">
        <v>0</v>
      </c>
      <c r="I351" s="179">
        <v>35479291.240000002</v>
      </c>
      <c r="J351" s="179">
        <v>0</v>
      </c>
      <c r="K351" s="179">
        <v>3262665.4</v>
      </c>
      <c r="L351" s="179">
        <v>1328094.3999999999</v>
      </c>
      <c r="M351" s="179">
        <v>88409526.359999999</v>
      </c>
      <c r="N351" s="179">
        <v>52990761.159999996</v>
      </c>
    </row>
    <row r="352" spans="1:14" s="156" customFormat="1" x14ac:dyDescent="0.25">
      <c r="A352" s="156" t="s">
        <v>546</v>
      </c>
      <c r="B352" s="156" t="s">
        <v>192</v>
      </c>
      <c r="C352" s="156" t="s">
        <v>193</v>
      </c>
      <c r="D352" s="156" t="s">
        <v>541</v>
      </c>
      <c r="E352" s="179">
        <v>11126154</v>
      </c>
      <c r="F352" s="179">
        <v>11126154</v>
      </c>
      <c r="G352" s="179">
        <v>5563077.5</v>
      </c>
      <c r="H352" s="179">
        <v>0</v>
      </c>
      <c r="I352" s="179">
        <v>1732219</v>
      </c>
      <c r="J352" s="179">
        <v>0</v>
      </c>
      <c r="K352" s="179">
        <v>78882</v>
      </c>
      <c r="L352" s="179">
        <v>78882</v>
      </c>
      <c r="M352" s="179">
        <v>9315053</v>
      </c>
      <c r="N352" s="179">
        <v>3751976.5</v>
      </c>
    </row>
    <row r="353" spans="1:14" s="156" customFormat="1" x14ac:dyDescent="0.25">
      <c r="A353" s="156" t="s">
        <v>546</v>
      </c>
      <c r="B353" s="156" t="s">
        <v>194</v>
      </c>
      <c r="C353" s="156" t="s">
        <v>195</v>
      </c>
      <c r="D353" s="156" t="s">
        <v>541</v>
      </c>
      <c r="E353" s="179">
        <v>11126154</v>
      </c>
      <c r="F353" s="179">
        <v>11126154</v>
      </c>
      <c r="G353" s="179">
        <v>5563077.5</v>
      </c>
      <c r="H353" s="179">
        <v>0</v>
      </c>
      <c r="I353" s="179">
        <v>1732219</v>
      </c>
      <c r="J353" s="179">
        <v>0</v>
      </c>
      <c r="K353" s="179">
        <v>78882</v>
      </c>
      <c r="L353" s="179">
        <v>78882</v>
      </c>
      <c r="M353" s="179">
        <v>9315053</v>
      </c>
      <c r="N353" s="179">
        <v>3751976.5</v>
      </c>
    </row>
    <row r="354" spans="1:14" s="156" customFormat="1" x14ac:dyDescent="0.25">
      <c r="A354" s="156" t="s">
        <v>546</v>
      </c>
      <c r="B354" s="156" t="s">
        <v>196</v>
      </c>
      <c r="C354" s="156" t="s">
        <v>197</v>
      </c>
      <c r="D354" s="156" t="s">
        <v>541</v>
      </c>
      <c r="E354" s="179">
        <v>18666301</v>
      </c>
      <c r="F354" s="179">
        <v>65204190.710000001</v>
      </c>
      <c r="G354" s="179">
        <v>57371039.960000001</v>
      </c>
      <c r="H354" s="179">
        <v>0</v>
      </c>
      <c r="I354" s="179">
        <v>63170204.979999997</v>
      </c>
      <c r="J354" s="179">
        <v>0</v>
      </c>
      <c r="K354" s="179">
        <v>96399.43</v>
      </c>
      <c r="L354" s="179">
        <v>96399.43</v>
      </c>
      <c r="M354" s="179">
        <v>1937586.3</v>
      </c>
      <c r="N354" s="179">
        <v>-5895564.4500000002</v>
      </c>
    </row>
    <row r="355" spans="1:14" s="156" customFormat="1" x14ac:dyDescent="0.25">
      <c r="A355" s="156" t="s">
        <v>546</v>
      </c>
      <c r="B355" s="156" t="s">
        <v>360</v>
      </c>
      <c r="C355" s="156" t="s">
        <v>361</v>
      </c>
      <c r="D355" s="156" t="s">
        <v>541</v>
      </c>
      <c r="E355" s="179">
        <v>3000000</v>
      </c>
      <c r="F355" s="179">
        <v>3000000</v>
      </c>
      <c r="G355" s="179">
        <v>3000000</v>
      </c>
      <c r="H355" s="179">
        <v>0</v>
      </c>
      <c r="I355" s="179">
        <v>966014.27</v>
      </c>
      <c r="J355" s="179">
        <v>0</v>
      </c>
      <c r="K355" s="179">
        <v>96399.43</v>
      </c>
      <c r="L355" s="179">
        <v>96399.43</v>
      </c>
      <c r="M355" s="179">
        <v>1937586.3</v>
      </c>
      <c r="N355" s="179">
        <v>1937586.3</v>
      </c>
    </row>
    <row r="356" spans="1:14" s="156" customFormat="1" x14ac:dyDescent="0.25">
      <c r="A356" s="156" t="s">
        <v>546</v>
      </c>
      <c r="B356" s="156" t="s">
        <v>334</v>
      </c>
      <c r="C356" s="156" t="s">
        <v>335</v>
      </c>
      <c r="D356" s="156" t="s">
        <v>541</v>
      </c>
      <c r="E356" s="179">
        <v>1275676</v>
      </c>
      <c r="F356" s="179">
        <v>47166460.710000001</v>
      </c>
      <c r="G356" s="179">
        <v>46528622.710000001</v>
      </c>
      <c r="H356" s="179">
        <v>0</v>
      </c>
      <c r="I356" s="179">
        <v>47166460.710000001</v>
      </c>
      <c r="J356" s="179">
        <v>0</v>
      </c>
      <c r="K356" s="179">
        <v>0</v>
      </c>
      <c r="L356" s="179">
        <v>0</v>
      </c>
      <c r="M356" s="179">
        <v>0</v>
      </c>
      <c r="N356" s="183">
        <v>-637838</v>
      </c>
    </row>
    <row r="357" spans="1:14" s="156" customFormat="1" x14ac:dyDescent="0.25">
      <c r="A357" s="156" t="s">
        <v>546</v>
      </c>
      <c r="B357" s="156" t="s">
        <v>198</v>
      </c>
      <c r="C357" s="156" t="s">
        <v>199</v>
      </c>
      <c r="D357" s="156" t="s">
        <v>541</v>
      </c>
      <c r="E357" s="179">
        <v>14390625</v>
      </c>
      <c r="F357" s="179">
        <v>15037730</v>
      </c>
      <c r="G357" s="179">
        <v>7842417.25</v>
      </c>
      <c r="H357" s="179">
        <v>0</v>
      </c>
      <c r="I357" s="179">
        <v>15037730</v>
      </c>
      <c r="J357" s="179">
        <v>0</v>
      </c>
      <c r="K357" s="179">
        <v>0</v>
      </c>
      <c r="L357" s="179">
        <v>0</v>
      </c>
      <c r="M357" s="179">
        <v>0</v>
      </c>
      <c r="N357" s="179">
        <v>-7195312.75</v>
      </c>
    </row>
    <row r="358" spans="1:14" s="156" customFormat="1" x14ac:dyDescent="0.25">
      <c r="A358" s="156" t="s">
        <v>546</v>
      </c>
      <c r="B358" s="156" t="s">
        <v>200</v>
      </c>
      <c r="C358" s="156" t="s">
        <v>201</v>
      </c>
      <c r="D358" s="156" t="s">
        <v>541</v>
      </c>
      <c r="E358" s="179">
        <v>14015826994</v>
      </c>
      <c r="F358" s="179">
        <v>14015826994</v>
      </c>
      <c r="G358" s="179">
        <v>6901936073.5</v>
      </c>
      <c r="H358" s="179">
        <v>0</v>
      </c>
      <c r="I358" s="179">
        <v>808980439.67999995</v>
      </c>
      <c r="J358" s="179">
        <v>43781831.560000002</v>
      </c>
      <c r="K358" s="179">
        <v>1914066350.02</v>
      </c>
      <c r="L358" s="179">
        <v>1846309330.8699999</v>
      </c>
      <c r="M358" s="179">
        <v>11248998372.74</v>
      </c>
      <c r="N358" s="179">
        <v>4135107452.2399998</v>
      </c>
    </row>
    <row r="359" spans="1:14" s="156" customFormat="1" x14ac:dyDescent="0.25">
      <c r="A359" s="156" t="s">
        <v>546</v>
      </c>
      <c r="B359" s="156" t="s">
        <v>202</v>
      </c>
      <c r="C359" s="156" t="s">
        <v>203</v>
      </c>
      <c r="D359" s="156" t="s">
        <v>541</v>
      </c>
      <c r="E359" s="179">
        <v>777682724</v>
      </c>
      <c r="F359" s="179">
        <v>777682724</v>
      </c>
      <c r="G359" s="179">
        <v>392841362</v>
      </c>
      <c r="H359" s="179">
        <v>0</v>
      </c>
      <c r="I359" s="179">
        <v>39335102.420000002</v>
      </c>
      <c r="J359" s="179">
        <v>0</v>
      </c>
      <c r="K359" s="179">
        <v>102185451.43000001</v>
      </c>
      <c r="L359" s="179">
        <v>101769201.43000001</v>
      </c>
      <c r="M359" s="179">
        <v>636162170.14999998</v>
      </c>
      <c r="N359" s="179">
        <v>251320808.15000001</v>
      </c>
    </row>
    <row r="360" spans="1:14" s="156" customFormat="1" x14ac:dyDescent="0.25">
      <c r="A360" s="156" t="s">
        <v>546</v>
      </c>
      <c r="B360" s="156" t="s">
        <v>204</v>
      </c>
      <c r="C360" s="156" t="s">
        <v>205</v>
      </c>
      <c r="D360" s="156" t="s">
        <v>541</v>
      </c>
      <c r="E360" s="179">
        <v>543016724</v>
      </c>
      <c r="F360" s="179">
        <v>543016724</v>
      </c>
      <c r="G360" s="179">
        <v>275508362</v>
      </c>
      <c r="H360" s="179">
        <v>0</v>
      </c>
      <c r="I360" s="179">
        <v>39132124.420000002</v>
      </c>
      <c r="J360" s="179">
        <v>0</v>
      </c>
      <c r="K360" s="179">
        <v>102107526.43000001</v>
      </c>
      <c r="L360" s="179">
        <v>101691276.43000001</v>
      </c>
      <c r="M360" s="179">
        <v>401777073.14999998</v>
      </c>
      <c r="N360" s="179">
        <v>134268711.15000001</v>
      </c>
    </row>
    <row r="361" spans="1:14" s="156" customFormat="1" x14ac:dyDescent="0.25">
      <c r="A361" s="156" t="s">
        <v>546</v>
      </c>
      <c r="B361" s="156" t="s">
        <v>206</v>
      </c>
      <c r="C361" s="156" t="s">
        <v>207</v>
      </c>
      <c r="D361" s="156" t="s">
        <v>541</v>
      </c>
      <c r="E361" s="179">
        <v>195656000</v>
      </c>
      <c r="F361" s="179">
        <v>195656000</v>
      </c>
      <c r="G361" s="179">
        <v>97828000</v>
      </c>
      <c r="H361" s="179">
        <v>0</v>
      </c>
      <c r="I361" s="179">
        <v>0</v>
      </c>
      <c r="J361" s="179">
        <v>0</v>
      </c>
      <c r="K361" s="179">
        <v>0</v>
      </c>
      <c r="L361" s="179">
        <v>0</v>
      </c>
      <c r="M361" s="179">
        <v>195656000</v>
      </c>
      <c r="N361" s="179">
        <v>97828000</v>
      </c>
    </row>
    <row r="362" spans="1:14" s="156" customFormat="1" x14ac:dyDescent="0.25">
      <c r="A362" s="156" t="s">
        <v>546</v>
      </c>
      <c r="B362" s="156" t="s">
        <v>362</v>
      </c>
      <c r="C362" s="156" t="s">
        <v>363</v>
      </c>
      <c r="D362" s="156" t="s">
        <v>541</v>
      </c>
      <c r="E362" s="179">
        <v>2674000</v>
      </c>
      <c r="F362" s="179">
        <v>2674000</v>
      </c>
      <c r="G362" s="179">
        <v>1337000</v>
      </c>
      <c r="H362" s="179">
        <v>0</v>
      </c>
      <c r="I362" s="179">
        <v>42846</v>
      </c>
      <c r="J362" s="179">
        <v>0</v>
      </c>
      <c r="K362" s="179">
        <v>77925</v>
      </c>
      <c r="L362" s="179">
        <v>77925</v>
      </c>
      <c r="M362" s="179">
        <v>2553229</v>
      </c>
      <c r="N362" s="179">
        <v>1216229</v>
      </c>
    </row>
    <row r="363" spans="1:14" s="156" customFormat="1" x14ac:dyDescent="0.25">
      <c r="A363" s="156" t="s">
        <v>546</v>
      </c>
      <c r="B363" s="156" t="s">
        <v>208</v>
      </c>
      <c r="C363" s="156" t="s">
        <v>209</v>
      </c>
      <c r="D363" s="156" t="s">
        <v>541</v>
      </c>
      <c r="E363" s="179">
        <v>30373000</v>
      </c>
      <c r="F363" s="179">
        <v>30373000</v>
      </c>
      <c r="G363" s="179">
        <v>15186500</v>
      </c>
      <c r="H363" s="179">
        <v>0</v>
      </c>
      <c r="I363" s="179">
        <v>160132</v>
      </c>
      <c r="J363" s="179">
        <v>0</v>
      </c>
      <c r="K363" s="179">
        <v>0</v>
      </c>
      <c r="L363" s="179">
        <v>0</v>
      </c>
      <c r="M363" s="179">
        <v>30212868</v>
      </c>
      <c r="N363" s="179">
        <v>15026368</v>
      </c>
    </row>
    <row r="364" spans="1:14" s="156" customFormat="1" x14ac:dyDescent="0.25">
      <c r="A364" s="156" t="s">
        <v>546</v>
      </c>
      <c r="B364" s="156" t="s">
        <v>210</v>
      </c>
      <c r="C364" s="156" t="s">
        <v>211</v>
      </c>
      <c r="D364" s="156" t="s">
        <v>541</v>
      </c>
      <c r="E364" s="179">
        <v>5963000</v>
      </c>
      <c r="F364" s="179">
        <v>5963000</v>
      </c>
      <c r="G364" s="179">
        <v>2981500</v>
      </c>
      <c r="H364" s="179">
        <v>0</v>
      </c>
      <c r="I364" s="179">
        <v>0</v>
      </c>
      <c r="J364" s="179">
        <v>0</v>
      </c>
      <c r="K364" s="179">
        <v>0</v>
      </c>
      <c r="L364" s="179">
        <v>0</v>
      </c>
      <c r="M364" s="179">
        <v>5963000</v>
      </c>
      <c r="N364" s="179">
        <v>2981500</v>
      </c>
    </row>
    <row r="365" spans="1:14" s="156" customFormat="1" x14ac:dyDescent="0.25">
      <c r="A365" s="156" t="s">
        <v>546</v>
      </c>
      <c r="B365" s="156" t="s">
        <v>212</v>
      </c>
      <c r="C365" s="156" t="s">
        <v>213</v>
      </c>
      <c r="D365" s="156" t="s">
        <v>541</v>
      </c>
      <c r="E365" s="179">
        <v>10984366500</v>
      </c>
      <c r="F365" s="179">
        <v>10984366500</v>
      </c>
      <c r="G365" s="179">
        <v>5278565775</v>
      </c>
      <c r="H365" s="179">
        <v>0</v>
      </c>
      <c r="I365" s="179">
        <v>700999390.63999999</v>
      </c>
      <c r="J365" s="179">
        <v>8689342.0099999998</v>
      </c>
      <c r="K365" s="179">
        <v>1666586524.8499999</v>
      </c>
      <c r="L365" s="179">
        <v>1605828554.8499999</v>
      </c>
      <c r="M365" s="179">
        <v>8608091242.5</v>
      </c>
      <c r="N365" s="179">
        <v>2902290517.5</v>
      </c>
    </row>
    <row r="366" spans="1:14" s="156" customFormat="1" x14ac:dyDescent="0.25">
      <c r="A366" s="156" t="s">
        <v>546</v>
      </c>
      <c r="B366" s="156" t="s">
        <v>214</v>
      </c>
      <c r="C366" s="156" t="s">
        <v>215</v>
      </c>
      <c r="D366" s="156" t="s">
        <v>541</v>
      </c>
      <c r="E366" s="179">
        <v>10972726000</v>
      </c>
      <c r="F366" s="179">
        <v>10972726000</v>
      </c>
      <c r="G366" s="179">
        <v>5272745525</v>
      </c>
      <c r="H366" s="179">
        <v>0</v>
      </c>
      <c r="I366" s="179">
        <v>700999390.63999999</v>
      </c>
      <c r="J366" s="179">
        <v>8689342.0099999998</v>
      </c>
      <c r="K366" s="179">
        <v>1666586524.8499999</v>
      </c>
      <c r="L366" s="179">
        <v>1605828554.8499999</v>
      </c>
      <c r="M366" s="179">
        <v>8596450742.5</v>
      </c>
      <c r="N366" s="179">
        <v>2896470267.5</v>
      </c>
    </row>
    <row r="367" spans="1:14" s="156" customFormat="1" x14ac:dyDescent="0.25">
      <c r="A367" s="156" t="s">
        <v>546</v>
      </c>
      <c r="B367" s="156" t="s">
        <v>364</v>
      </c>
      <c r="C367" s="156" t="s">
        <v>365</v>
      </c>
      <c r="D367" s="156" t="s">
        <v>541</v>
      </c>
      <c r="E367" s="179">
        <v>11640500</v>
      </c>
      <c r="F367" s="179">
        <v>11640500</v>
      </c>
      <c r="G367" s="179">
        <v>5820250</v>
      </c>
      <c r="H367" s="179">
        <v>0</v>
      </c>
      <c r="I367" s="179">
        <v>0</v>
      </c>
      <c r="J367" s="179">
        <v>0</v>
      </c>
      <c r="K367" s="179">
        <v>0</v>
      </c>
      <c r="L367" s="179">
        <v>0</v>
      </c>
      <c r="M367" s="179">
        <v>11640500</v>
      </c>
      <c r="N367" s="179">
        <v>5820250</v>
      </c>
    </row>
    <row r="368" spans="1:14" s="156" customFormat="1" x14ac:dyDescent="0.25">
      <c r="A368" s="156" t="s">
        <v>546</v>
      </c>
      <c r="B368" s="156" t="s">
        <v>216</v>
      </c>
      <c r="C368" s="156" t="s">
        <v>217</v>
      </c>
      <c r="D368" s="156" t="s">
        <v>541</v>
      </c>
      <c r="E368" s="179">
        <v>446867786</v>
      </c>
      <c r="F368" s="179">
        <v>446867786</v>
      </c>
      <c r="G368" s="179">
        <v>214646133.5</v>
      </c>
      <c r="H368" s="179">
        <v>0</v>
      </c>
      <c r="I368" s="179">
        <v>16682177.4</v>
      </c>
      <c r="J368" s="179">
        <v>10515530</v>
      </c>
      <c r="K368" s="179">
        <v>28178581.800000001</v>
      </c>
      <c r="L368" s="179">
        <v>28178581.800000001</v>
      </c>
      <c r="M368" s="179">
        <v>391491496.80000001</v>
      </c>
      <c r="N368" s="179">
        <v>159269844.30000001</v>
      </c>
    </row>
    <row r="369" spans="1:14" s="156" customFormat="1" x14ac:dyDescent="0.25">
      <c r="A369" s="156" t="s">
        <v>546</v>
      </c>
      <c r="B369" s="156" t="s">
        <v>218</v>
      </c>
      <c r="C369" s="156" t="s">
        <v>219</v>
      </c>
      <c r="D369" s="156" t="s">
        <v>541</v>
      </c>
      <c r="E369" s="179">
        <v>122902000</v>
      </c>
      <c r="F369" s="179">
        <v>122902000</v>
      </c>
      <c r="G369" s="179">
        <v>60063213</v>
      </c>
      <c r="H369" s="179">
        <v>0</v>
      </c>
      <c r="I369" s="179">
        <v>8120620.8499999996</v>
      </c>
      <c r="J369" s="179">
        <v>0</v>
      </c>
      <c r="K369" s="179">
        <v>3727874.8</v>
      </c>
      <c r="L369" s="179">
        <v>3727874.8</v>
      </c>
      <c r="M369" s="179">
        <v>111053504.34999999</v>
      </c>
      <c r="N369" s="179">
        <v>48214717.350000001</v>
      </c>
    </row>
    <row r="370" spans="1:14" s="156" customFormat="1" x14ac:dyDescent="0.25">
      <c r="A370" s="156" t="s">
        <v>546</v>
      </c>
      <c r="B370" s="156" t="s">
        <v>336</v>
      </c>
      <c r="C370" s="156" t="s">
        <v>337</v>
      </c>
      <c r="D370" s="156" t="s">
        <v>541</v>
      </c>
      <c r="E370" s="179">
        <v>50168000</v>
      </c>
      <c r="F370" s="179">
        <v>50168000</v>
      </c>
      <c r="G370" s="179">
        <v>25084000</v>
      </c>
      <c r="H370" s="179">
        <v>0</v>
      </c>
      <c r="I370" s="179">
        <v>1440123</v>
      </c>
      <c r="J370" s="179">
        <v>1247760</v>
      </c>
      <c r="K370" s="179">
        <v>1247760</v>
      </c>
      <c r="L370" s="179">
        <v>1247760</v>
      </c>
      <c r="M370" s="179">
        <v>46232357</v>
      </c>
      <c r="N370" s="179">
        <v>21148357</v>
      </c>
    </row>
    <row r="371" spans="1:14" s="156" customFormat="1" x14ac:dyDescent="0.25">
      <c r="A371" s="156" t="s">
        <v>546</v>
      </c>
      <c r="B371" s="156" t="s">
        <v>338</v>
      </c>
      <c r="C371" s="156" t="s">
        <v>339</v>
      </c>
      <c r="D371" s="156" t="s">
        <v>541</v>
      </c>
      <c r="E371" s="179">
        <v>89195672</v>
      </c>
      <c r="F371" s="179">
        <v>89195672</v>
      </c>
      <c r="G371" s="179">
        <v>55845623</v>
      </c>
      <c r="H371" s="179">
        <v>0</v>
      </c>
      <c r="I371" s="179">
        <v>6955000</v>
      </c>
      <c r="J371" s="179">
        <v>9267770</v>
      </c>
      <c r="K371" s="179">
        <v>22947828</v>
      </c>
      <c r="L371" s="179">
        <v>22947828</v>
      </c>
      <c r="M371" s="179">
        <v>50025074</v>
      </c>
      <c r="N371" s="179">
        <v>16675025</v>
      </c>
    </row>
    <row r="372" spans="1:14" s="156" customFormat="1" x14ac:dyDescent="0.25">
      <c r="A372" s="156" t="s">
        <v>546</v>
      </c>
      <c r="B372" s="156" t="s">
        <v>220</v>
      </c>
      <c r="C372" s="156" t="s">
        <v>221</v>
      </c>
      <c r="D372" s="156" t="s">
        <v>541</v>
      </c>
      <c r="E372" s="179">
        <v>90316000</v>
      </c>
      <c r="F372" s="179">
        <v>90316000</v>
      </c>
      <c r="G372" s="179">
        <v>35298000</v>
      </c>
      <c r="H372" s="179">
        <v>0</v>
      </c>
      <c r="I372" s="179">
        <v>143069.37</v>
      </c>
      <c r="J372" s="179">
        <v>0</v>
      </c>
      <c r="K372" s="179">
        <v>255119</v>
      </c>
      <c r="L372" s="179">
        <v>255119</v>
      </c>
      <c r="M372" s="179">
        <v>89917811.629999995</v>
      </c>
      <c r="N372" s="179">
        <v>34899811.630000003</v>
      </c>
    </row>
    <row r="373" spans="1:14" s="156" customFormat="1" x14ac:dyDescent="0.25">
      <c r="A373" s="156" t="s">
        <v>546</v>
      </c>
      <c r="B373" s="156" t="s">
        <v>222</v>
      </c>
      <c r="C373" s="156" t="s">
        <v>223</v>
      </c>
      <c r="D373" s="156" t="s">
        <v>541</v>
      </c>
      <c r="E373" s="179">
        <v>7059000</v>
      </c>
      <c r="F373" s="179">
        <v>7059000</v>
      </c>
      <c r="G373" s="179">
        <v>2481183</v>
      </c>
      <c r="H373" s="179">
        <v>0</v>
      </c>
      <c r="I373" s="179">
        <v>0</v>
      </c>
      <c r="J373" s="179">
        <v>0</v>
      </c>
      <c r="K373" s="179">
        <v>0</v>
      </c>
      <c r="L373" s="179">
        <v>0</v>
      </c>
      <c r="M373" s="179">
        <v>7059000</v>
      </c>
      <c r="N373" s="179">
        <v>2481183</v>
      </c>
    </row>
    <row r="374" spans="1:14" s="156" customFormat="1" x14ac:dyDescent="0.25">
      <c r="A374" s="156" t="s">
        <v>546</v>
      </c>
      <c r="B374" s="156" t="s">
        <v>224</v>
      </c>
      <c r="C374" s="156" t="s">
        <v>225</v>
      </c>
      <c r="D374" s="156" t="s">
        <v>541</v>
      </c>
      <c r="E374" s="179">
        <v>61279000</v>
      </c>
      <c r="F374" s="179">
        <v>61279000</v>
      </c>
      <c r="G374" s="179">
        <v>22900057</v>
      </c>
      <c r="H374" s="179">
        <v>0</v>
      </c>
      <c r="I374" s="179">
        <v>23364.18</v>
      </c>
      <c r="J374" s="179">
        <v>0</v>
      </c>
      <c r="K374" s="179">
        <v>0</v>
      </c>
      <c r="L374" s="179">
        <v>0</v>
      </c>
      <c r="M374" s="179">
        <v>61255635.82</v>
      </c>
      <c r="N374" s="179">
        <v>22876692.82</v>
      </c>
    </row>
    <row r="375" spans="1:14" s="156" customFormat="1" x14ac:dyDescent="0.25">
      <c r="A375" s="156" t="s">
        <v>546</v>
      </c>
      <c r="B375" s="156" t="s">
        <v>226</v>
      </c>
      <c r="C375" s="156" t="s">
        <v>227</v>
      </c>
      <c r="D375" s="156" t="s">
        <v>541</v>
      </c>
      <c r="E375" s="179">
        <v>25948114</v>
      </c>
      <c r="F375" s="179">
        <v>25948114</v>
      </c>
      <c r="G375" s="179">
        <v>12974057.5</v>
      </c>
      <c r="H375" s="179">
        <v>0</v>
      </c>
      <c r="I375" s="179">
        <v>0</v>
      </c>
      <c r="J375" s="179">
        <v>0</v>
      </c>
      <c r="K375" s="179">
        <v>0</v>
      </c>
      <c r="L375" s="179">
        <v>0</v>
      </c>
      <c r="M375" s="179">
        <v>25948114</v>
      </c>
      <c r="N375" s="179">
        <v>12974057.5</v>
      </c>
    </row>
    <row r="376" spans="1:14" s="156" customFormat="1" x14ac:dyDescent="0.25">
      <c r="A376" s="156" t="s">
        <v>546</v>
      </c>
      <c r="B376" s="156" t="s">
        <v>228</v>
      </c>
      <c r="C376" s="156" t="s">
        <v>229</v>
      </c>
      <c r="D376" s="156" t="s">
        <v>541</v>
      </c>
      <c r="E376" s="179">
        <v>150560000</v>
      </c>
      <c r="F376" s="179">
        <v>150560000</v>
      </c>
      <c r="G376" s="179">
        <v>93738720</v>
      </c>
      <c r="H376" s="179">
        <v>0</v>
      </c>
      <c r="I376" s="179">
        <v>13820389.58</v>
      </c>
      <c r="J376" s="179">
        <v>9746000</v>
      </c>
      <c r="K376" s="179">
        <v>17573643.449999999</v>
      </c>
      <c r="L376" s="179">
        <v>17573643.449999999</v>
      </c>
      <c r="M376" s="179">
        <v>109419966.97</v>
      </c>
      <c r="N376" s="179">
        <v>52598686.969999999</v>
      </c>
    </row>
    <row r="377" spans="1:14" s="156" customFormat="1" x14ac:dyDescent="0.25">
      <c r="A377" s="156" t="s">
        <v>546</v>
      </c>
      <c r="B377" s="156" t="s">
        <v>230</v>
      </c>
      <c r="C377" s="156" t="s">
        <v>231</v>
      </c>
      <c r="D377" s="156" t="s">
        <v>541</v>
      </c>
      <c r="E377" s="179">
        <v>53615000</v>
      </c>
      <c r="F377" s="179">
        <v>53615000</v>
      </c>
      <c r="G377" s="179">
        <v>29108720</v>
      </c>
      <c r="H377" s="179">
        <v>0</v>
      </c>
      <c r="I377" s="179">
        <v>7540000</v>
      </c>
      <c r="J377" s="179">
        <v>0</v>
      </c>
      <c r="K377" s="179">
        <v>9315580</v>
      </c>
      <c r="L377" s="179">
        <v>9315580</v>
      </c>
      <c r="M377" s="179">
        <v>36759420</v>
      </c>
      <c r="N377" s="179">
        <v>12253140</v>
      </c>
    </row>
    <row r="378" spans="1:14" s="156" customFormat="1" x14ac:dyDescent="0.25">
      <c r="A378" s="156" t="s">
        <v>546</v>
      </c>
      <c r="B378" s="156" t="s">
        <v>232</v>
      </c>
      <c r="C378" s="156" t="s">
        <v>233</v>
      </c>
      <c r="D378" s="156" t="s">
        <v>541</v>
      </c>
      <c r="E378" s="179">
        <v>96945000</v>
      </c>
      <c r="F378" s="179">
        <v>96945000</v>
      </c>
      <c r="G378" s="179">
        <v>64630000</v>
      </c>
      <c r="H378" s="179">
        <v>0</v>
      </c>
      <c r="I378" s="179">
        <v>6280389.5800000001</v>
      </c>
      <c r="J378" s="179">
        <v>9746000</v>
      </c>
      <c r="K378" s="179">
        <v>8258063.4500000002</v>
      </c>
      <c r="L378" s="179">
        <v>8258063.4500000002</v>
      </c>
      <c r="M378" s="179">
        <v>72660546.969999999</v>
      </c>
      <c r="N378" s="179">
        <v>40345546.969999999</v>
      </c>
    </row>
    <row r="379" spans="1:14" s="156" customFormat="1" x14ac:dyDescent="0.25">
      <c r="A379" s="156" t="s">
        <v>546</v>
      </c>
      <c r="B379" s="156" t="s">
        <v>609</v>
      </c>
      <c r="C379" s="156" t="s">
        <v>610</v>
      </c>
      <c r="D379" s="156" t="s">
        <v>541</v>
      </c>
      <c r="E379" s="179">
        <v>0</v>
      </c>
      <c r="F379" s="179">
        <v>0</v>
      </c>
      <c r="G379" s="179">
        <v>0</v>
      </c>
      <c r="H379" s="179">
        <v>0</v>
      </c>
      <c r="I379" s="179">
        <v>0</v>
      </c>
      <c r="J379" s="179">
        <v>0</v>
      </c>
      <c r="K379" s="179">
        <v>0</v>
      </c>
      <c r="L379" s="179">
        <v>0</v>
      </c>
      <c r="M379" s="179">
        <v>0</v>
      </c>
      <c r="N379" s="179">
        <v>0</v>
      </c>
    </row>
    <row r="380" spans="1:14" s="156" customFormat="1" x14ac:dyDescent="0.25">
      <c r="A380" s="156" t="s">
        <v>546</v>
      </c>
      <c r="B380" s="156" t="s">
        <v>611</v>
      </c>
      <c r="C380" s="156" t="s">
        <v>612</v>
      </c>
      <c r="D380" s="156" t="s">
        <v>541</v>
      </c>
      <c r="E380" s="179">
        <v>0</v>
      </c>
      <c r="F380" s="179">
        <v>0</v>
      </c>
      <c r="G380" s="179">
        <v>0</v>
      </c>
      <c r="H380" s="179">
        <v>0</v>
      </c>
      <c r="I380" s="179">
        <v>0</v>
      </c>
      <c r="J380" s="179">
        <v>0</v>
      </c>
      <c r="K380" s="179">
        <v>0</v>
      </c>
      <c r="L380" s="179">
        <v>0</v>
      </c>
      <c r="M380" s="179">
        <v>0</v>
      </c>
      <c r="N380" s="179">
        <v>0</v>
      </c>
    </row>
    <row r="381" spans="1:14" s="156" customFormat="1" x14ac:dyDescent="0.25">
      <c r="A381" s="156" t="s">
        <v>546</v>
      </c>
      <c r="B381" s="156" t="s">
        <v>234</v>
      </c>
      <c r="C381" s="156" t="s">
        <v>601</v>
      </c>
      <c r="D381" s="156" t="s">
        <v>541</v>
      </c>
      <c r="E381" s="179">
        <v>1656349984</v>
      </c>
      <c r="F381" s="179">
        <v>1656349984</v>
      </c>
      <c r="G381" s="179">
        <v>922144083</v>
      </c>
      <c r="H381" s="179">
        <v>0</v>
      </c>
      <c r="I381" s="179">
        <v>38143379.640000001</v>
      </c>
      <c r="J381" s="179">
        <v>14830959.550000001</v>
      </c>
      <c r="K381" s="179">
        <v>99542148.489999995</v>
      </c>
      <c r="L381" s="179">
        <v>92959349.340000004</v>
      </c>
      <c r="M381" s="179">
        <v>1503833496.3199999</v>
      </c>
      <c r="N381" s="179">
        <v>769627595.32000005</v>
      </c>
    </row>
    <row r="382" spans="1:14" s="156" customFormat="1" x14ac:dyDescent="0.25">
      <c r="A382" s="156" t="s">
        <v>546</v>
      </c>
      <c r="B382" s="156" t="s">
        <v>235</v>
      </c>
      <c r="C382" s="156" t="s">
        <v>236</v>
      </c>
      <c r="D382" s="156" t="s">
        <v>541</v>
      </c>
      <c r="E382" s="179">
        <v>34070136</v>
      </c>
      <c r="F382" s="179">
        <v>34070136</v>
      </c>
      <c r="G382" s="179">
        <v>17035068</v>
      </c>
      <c r="H382" s="179">
        <v>0</v>
      </c>
      <c r="I382" s="179">
        <v>0</v>
      </c>
      <c r="J382" s="179">
        <v>0</v>
      </c>
      <c r="K382" s="179">
        <v>0</v>
      </c>
      <c r="L382" s="179">
        <v>0</v>
      </c>
      <c r="M382" s="179">
        <v>34070136</v>
      </c>
      <c r="N382" s="179">
        <v>17035068</v>
      </c>
    </row>
    <row r="383" spans="1:14" s="156" customFormat="1" x14ac:dyDescent="0.25">
      <c r="A383" s="156" t="s">
        <v>546</v>
      </c>
      <c r="B383" s="156" t="s">
        <v>237</v>
      </c>
      <c r="C383" s="156" t="s">
        <v>238</v>
      </c>
      <c r="D383" s="156" t="s">
        <v>541</v>
      </c>
      <c r="E383" s="179">
        <v>65363019</v>
      </c>
      <c r="F383" s="179">
        <v>65363019</v>
      </c>
      <c r="G383" s="179">
        <v>32681509.75</v>
      </c>
      <c r="H383" s="179">
        <v>0</v>
      </c>
      <c r="I383" s="179">
        <v>388524.54</v>
      </c>
      <c r="J383" s="179">
        <v>0</v>
      </c>
      <c r="K383" s="179">
        <v>5068757.07</v>
      </c>
      <c r="L383" s="179">
        <v>5068757.07</v>
      </c>
      <c r="M383" s="179">
        <v>59905737.390000001</v>
      </c>
      <c r="N383" s="179">
        <v>27224228.140000001</v>
      </c>
    </row>
    <row r="384" spans="1:14" s="156" customFormat="1" x14ac:dyDescent="0.25">
      <c r="A384" s="156" t="s">
        <v>546</v>
      </c>
      <c r="B384" s="156" t="s">
        <v>239</v>
      </c>
      <c r="C384" s="156" t="s">
        <v>240</v>
      </c>
      <c r="D384" s="156" t="s">
        <v>541</v>
      </c>
      <c r="E384" s="179">
        <v>146259000</v>
      </c>
      <c r="F384" s="179">
        <v>146259000</v>
      </c>
      <c r="G384" s="179">
        <v>73129500</v>
      </c>
      <c r="H384" s="179">
        <v>0</v>
      </c>
      <c r="I384" s="179">
        <v>9909996</v>
      </c>
      <c r="J384" s="179">
        <v>0</v>
      </c>
      <c r="K384" s="179">
        <v>9393804.6999999993</v>
      </c>
      <c r="L384" s="179">
        <v>9151476</v>
      </c>
      <c r="M384" s="179">
        <v>126955199.3</v>
      </c>
      <c r="N384" s="179">
        <v>53825699.299999997</v>
      </c>
    </row>
    <row r="385" spans="1:14" s="156" customFormat="1" x14ac:dyDescent="0.25">
      <c r="A385" s="156" t="s">
        <v>546</v>
      </c>
      <c r="B385" s="156" t="s">
        <v>241</v>
      </c>
      <c r="C385" s="156" t="s">
        <v>242</v>
      </c>
      <c r="D385" s="156" t="s">
        <v>541</v>
      </c>
      <c r="E385" s="179">
        <v>643150000</v>
      </c>
      <c r="F385" s="179">
        <v>643150000</v>
      </c>
      <c r="G385" s="179">
        <v>410325211</v>
      </c>
      <c r="H385" s="179">
        <v>0</v>
      </c>
      <c r="I385" s="179">
        <v>1962362</v>
      </c>
      <c r="J385" s="179">
        <v>0</v>
      </c>
      <c r="K385" s="179">
        <v>3594120</v>
      </c>
      <c r="L385" s="179">
        <v>3594120</v>
      </c>
      <c r="M385" s="179">
        <v>637593518</v>
      </c>
      <c r="N385" s="179">
        <v>404768729</v>
      </c>
    </row>
    <row r="386" spans="1:14" s="156" customFormat="1" x14ac:dyDescent="0.25">
      <c r="A386" s="156" t="s">
        <v>546</v>
      </c>
      <c r="B386" s="156" t="s">
        <v>243</v>
      </c>
      <c r="C386" s="156" t="s">
        <v>244</v>
      </c>
      <c r="D386" s="156" t="s">
        <v>541</v>
      </c>
      <c r="E386" s="179">
        <v>302355000</v>
      </c>
      <c r="F386" s="179">
        <v>302355000</v>
      </c>
      <c r="G386" s="179">
        <v>151177500</v>
      </c>
      <c r="H386" s="179">
        <v>0</v>
      </c>
      <c r="I386" s="179">
        <v>186484.5</v>
      </c>
      <c r="J386" s="179">
        <v>0</v>
      </c>
      <c r="K386" s="179">
        <v>35108199.090000004</v>
      </c>
      <c r="L386" s="179">
        <v>28767728.640000001</v>
      </c>
      <c r="M386" s="179">
        <v>267060316.41</v>
      </c>
      <c r="N386" s="179">
        <v>115882816.41</v>
      </c>
    </row>
    <row r="387" spans="1:14" s="156" customFormat="1" x14ac:dyDescent="0.25">
      <c r="A387" s="156" t="s">
        <v>546</v>
      </c>
      <c r="B387" s="156" t="s">
        <v>245</v>
      </c>
      <c r="C387" s="156" t="s">
        <v>246</v>
      </c>
      <c r="D387" s="156" t="s">
        <v>541</v>
      </c>
      <c r="E387" s="179">
        <v>182921000</v>
      </c>
      <c r="F387" s="179">
        <v>182921000</v>
      </c>
      <c r="G387" s="179">
        <v>91460500</v>
      </c>
      <c r="H387" s="179">
        <v>0</v>
      </c>
      <c r="I387" s="179">
        <v>32549</v>
      </c>
      <c r="J387" s="179">
        <v>0</v>
      </c>
      <c r="K387" s="179">
        <v>420493.25</v>
      </c>
      <c r="L387" s="179">
        <v>420493.25</v>
      </c>
      <c r="M387" s="179">
        <v>182467957.75</v>
      </c>
      <c r="N387" s="179">
        <v>91007457.75</v>
      </c>
    </row>
    <row r="388" spans="1:14" s="156" customFormat="1" x14ac:dyDescent="0.25">
      <c r="A388" s="156" t="s">
        <v>546</v>
      </c>
      <c r="B388" s="156" t="s">
        <v>247</v>
      </c>
      <c r="C388" s="156" t="s">
        <v>248</v>
      </c>
      <c r="D388" s="156" t="s">
        <v>541</v>
      </c>
      <c r="E388" s="179">
        <v>92727347</v>
      </c>
      <c r="F388" s="179">
        <v>92727347</v>
      </c>
      <c r="G388" s="179">
        <v>46363673.75</v>
      </c>
      <c r="H388" s="179">
        <v>0</v>
      </c>
      <c r="I388" s="179">
        <v>19174617.219999999</v>
      </c>
      <c r="J388" s="179">
        <v>14830959.550000001</v>
      </c>
      <c r="K388" s="179">
        <v>0</v>
      </c>
      <c r="L388" s="179">
        <v>0</v>
      </c>
      <c r="M388" s="179">
        <v>58721770.229999997</v>
      </c>
      <c r="N388" s="179">
        <v>12358096.98</v>
      </c>
    </row>
    <row r="389" spans="1:14" s="156" customFormat="1" x14ac:dyDescent="0.25">
      <c r="A389" s="156" t="s">
        <v>546</v>
      </c>
      <c r="B389" s="156" t="s">
        <v>249</v>
      </c>
      <c r="C389" s="156" t="s">
        <v>250</v>
      </c>
      <c r="D389" s="156" t="s">
        <v>541</v>
      </c>
      <c r="E389" s="179">
        <v>189504482</v>
      </c>
      <c r="F389" s="179">
        <v>189504482</v>
      </c>
      <c r="G389" s="179">
        <v>99971120.5</v>
      </c>
      <c r="H389" s="179">
        <v>0</v>
      </c>
      <c r="I389" s="179">
        <v>6488846.3799999999</v>
      </c>
      <c r="J389" s="179">
        <v>0</v>
      </c>
      <c r="K389" s="179">
        <v>45956774.380000003</v>
      </c>
      <c r="L389" s="179">
        <v>45956774.380000003</v>
      </c>
      <c r="M389" s="179">
        <v>137058861.24000001</v>
      </c>
      <c r="N389" s="179">
        <v>47525499.740000002</v>
      </c>
    </row>
    <row r="390" spans="1:14" s="156" customFormat="1" x14ac:dyDescent="0.25">
      <c r="A390" s="156" t="s">
        <v>546</v>
      </c>
      <c r="B390" s="156" t="s">
        <v>279</v>
      </c>
      <c r="C390" s="156" t="s">
        <v>280</v>
      </c>
      <c r="D390" s="156" t="s">
        <v>541</v>
      </c>
      <c r="E390" s="179">
        <v>883769579</v>
      </c>
      <c r="F390" s="179">
        <v>2629734727</v>
      </c>
      <c r="G390" s="179">
        <v>2432877161.75</v>
      </c>
      <c r="H390" s="179">
        <v>0</v>
      </c>
      <c r="I390" s="179">
        <v>481092883.42000002</v>
      </c>
      <c r="J390" s="179">
        <v>197328508.88</v>
      </c>
      <c r="K390" s="179">
        <v>90270584.659999996</v>
      </c>
      <c r="L390" s="179">
        <v>89596584.659999996</v>
      </c>
      <c r="M390" s="179">
        <v>1861042750.04</v>
      </c>
      <c r="N390" s="179">
        <v>1664185184.79</v>
      </c>
    </row>
    <row r="391" spans="1:14" s="156" customFormat="1" x14ac:dyDescent="0.25">
      <c r="A391" s="156" t="s">
        <v>546</v>
      </c>
      <c r="B391" s="156" t="s">
        <v>281</v>
      </c>
      <c r="C391" s="156" t="s">
        <v>282</v>
      </c>
      <c r="D391" s="156" t="s">
        <v>541</v>
      </c>
      <c r="E391" s="179">
        <v>667187579</v>
      </c>
      <c r="F391" s="179">
        <v>667187579</v>
      </c>
      <c r="G391" s="179">
        <v>574577013.75</v>
      </c>
      <c r="H391" s="179">
        <v>0</v>
      </c>
      <c r="I391" s="179">
        <v>33234339.539999999</v>
      </c>
      <c r="J391" s="179">
        <v>2383665.9300000002</v>
      </c>
      <c r="K391" s="179">
        <v>85776446.459999993</v>
      </c>
      <c r="L391" s="179">
        <v>85776446.459999993</v>
      </c>
      <c r="M391" s="179">
        <v>545793127.07000005</v>
      </c>
      <c r="N391" s="179">
        <v>453182561.81999999</v>
      </c>
    </row>
    <row r="392" spans="1:14" s="156" customFormat="1" x14ac:dyDescent="0.25">
      <c r="A392" s="156" t="s">
        <v>546</v>
      </c>
      <c r="B392" s="156" t="s">
        <v>285</v>
      </c>
      <c r="C392" s="156" t="s">
        <v>286</v>
      </c>
      <c r="D392" s="156" t="s">
        <v>541</v>
      </c>
      <c r="E392" s="179">
        <v>0</v>
      </c>
      <c r="F392" s="179">
        <v>0</v>
      </c>
      <c r="G392" s="179">
        <v>0</v>
      </c>
      <c r="H392" s="179">
        <v>0</v>
      </c>
      <c r="I392" s="179">
        <v>0</v>
      </c>
      <c r="J392" s="179">
        <v>0</v>
      </c>
      <c r="K392" s="179">
        <v>0</v>
      </c>
      <c r="L392" s="179">
        <v>0</v>
      </c>
      <c r="M392" s="179">
        <v>0</v>
      </c>
      <c r="N392" s="179">
        <v>0</v>
      </c>
    </row>
    <row r="393" spans="1:14" s="156" customFormat="1" x14ac:dyDescent="0.25">
      <c r="A393" s="156" t="s">
        <v>546</v>
      </c>
      <c r="B393" s="156" t="s">
        <v>287</v>
      </c>
      <c r="C393" s="156" t="s">
        <v>288</v>
      </c>
      <c r="D393" s="156" t="s">
        <v>541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9">
        <v>0</v>
      </c>
      <c r="K393" s="179">
        <v>0</v>
      </c>
      <c r="L393" s="179">
        <v>0</v>
      </c>
      <c r="M393" s="179">
        <v>0</v>
      </c>
      <c r="N393" s="179">
        <v>0</v>
      </c>
    </row>
    <row r="394" spans="1:14" s="156" customFormat="1" x14ac:dyDescent="0.25">
      <c r="A394" s="156" t="s">
        <v>546</v>
      </c>
      <c r="B394" s="156" t="s">
        <v>283</v>
      </c>
      <c r="C394" s="156" t="s">
        <v>284</v>
      </c>
      <c r="D394" s="156" t="s">
        <v>543</v>
      </c>
      <c r="E394" s="179">
        <v>33062000</v>
      </c>
      <c r="F394" s="179">
        <v>33062000</v>
      </c>
      <c r="G394" s="179">
        <v>19951724</v>
      </c>
      <c r="H394" s="179">
        <v>0</v>
      </c>
      <c r="I394" s="179">
        <v>0</v>
      </c>
      <c r="J394" s="179">
        <v>0</v>
      </c>
      <c r="K394" s="179">
        <v>0</v>
      </c>
      <c r="L394" s="179">
        <v>0</v>
      </c>
      <c r="M394" s="179">
        <v>33062000</v>
      </c>
      <c r="N394" s="179">
        <v>19951724</v>
      </c>
    </row>
    <row r="395" spans="1:14" s="156" customFormat="1" x14ac:dyDescent="0.25">
      <c r="A395" s="156" t="s">
        <v>546</v>
      </c>
      <c r="B395" s="156" t="s">
        <v>398</v>
      </c>
      <c r="C395" s="156" t="s">
        <v>501</v>
      </c>
      <c r="D395" s="156" t="s">
        <v>543</v>
      </c>
      <c r="E395" s="179">
        <v>72100000</v>
      </c>
      <c r="F395" s="179">
        <v>72100000</v>
      </c>
      <c r="G395" s="179">
        <v>72100000</v>
      </c>
      <c r="H395" s="179">
        <v>0</v>
      </c>
      <c r="I395" s="179">
        <v>0</v>
      </c>
      <c r="J395" s="179">
        <v>0</v>
      </c>
      <c r="K395" s="179">
        <v>16883370</v>
      </c>
      <c r="L395" s="179">
        <v>16883370</v>
      </c>
      <c r="M395" s="179">
        <v>55216630</v>
      </c>
      <c r="N395" s="179">
        <v>55216630</v>
      </c>
    </row>
    <row r="396" spans="1:14" s="156" customFormat="1" x14ac:dyDescent="0.25">
      <c r="A396" s="156" t="s">
        <v>546</v>
      </c>
      <c r="B396" s="156" t="s">
        <v>285</v>
      </c>
      <c r="C396" s="156" t="s">
        <v>286</v>
      </c>
      <c r="D396" s="156" t="s">
        <v>543</v>
      </c>
      <c r="E396" s="179">
        <v>147248000</v>
      </c>
      <c r="F396" s="179">
        <v>147248000</v>
      </c>
      <c r="G396" s="179">
        <v>147248000</v>
      </c>
      <c r="H396" s="179">
        <v>0</v>
      </c>
      <c r="I396" s="179">
        <v>16197.33</v>
      </c>
      <c r="J396" s="179">
        <v>0</v>
      </c>
      <c r="K396" s="179">
        <v>0</v>
      </c>
      <c r="L396" s="179">
        <v>0</v>
      </c>
      <c r="M396" s="179">
        <v>147231802.66999999</v>
      </c>
      <c r="N396" s="179">
        <v>147231802.66999999</v>
      </c>
    </row>
    <row r="397" spans="1:14" s="156" customFormat="1" x14ac:dyDescent="0.25">
      <c r="A397" s="156" t="s">
        <v>546</v>
      </c>
      <c r="B397" s="156" t="s">
        <v>287</v>
      </c>
      <c r="C397" s="156" t="s">
        <v>288</v>
      </c>
      <c r="D397" s="156" t="s">
        <v>543</v>
      </c>
      <c r="E397" s="179">
        <v>69415579</v>
      </c>
      <c r="F397" s="179">
        <v>69415579</v>
      </c>
      <c r="G397" s="179">
        <v>69415578.75</v>
      </c>
      <c r="H397" s="179">
        <v>0</v>
      </c>
      <c r="I397" s="179">
        <v>8448600</v>
      </c>
      <c r="J397" s="179">
        <v>0</v>
      </c>
      <c r="K397" s="179">
        <v>2306404</v>
      </c>
      <c r="L397" s="179">
        <v>2306404</v>
      </c>
      <c r="M397" s="179">
        <v>58660575</v>
      </c>
      <c r="N397" s="179">
        <v>58660574.75</v>
      </c>
    </row>
    <row r="398" spans="1:14" s="156" customFormat="1" x14ac:dyDescent="0.25">
      <c r="A398" s="156" t="s">
        <v>546</v>
      </c>
      <c r="B398" s="156" t="s">
        <v>289</v>
      </c>
      <c r="C398" s="156" t="s">
        <v>290</v>
      </c>
      <c r="D398" s="156" t="s">
        <v>543</v>
      </c>
      <c r="E398" s="179">
        <v>21137000</v>
      </c>
      <c r="F398" s="179">
        <v>21137000</v>
      </c>
      <c r="G398" s="179">
        <v>21137000</v>
      </c>
      <c r="H398" s="179">
        <v>0</v>
      </c>
      <c r="I398" s="179">
        <v>0</v>
      </c>
      <c r="J398" s="179">
        <v>0</v>
      </c>
      <c r="K398" s="179">
        <v>13982594.789999999</v>
      </c>
      <c r="L398" s="179">
        <v>13982594.789999999</v>
      </c>
      <c r="M398" s="179">
        <v>7154405.21</v>
      </c>
      <c r="N398" s="179">
        <v>7154405.21</v>
      </c>
    </row>
    <row r="399" spans="1:14" s="156" customFormat="1" x14ac:dyDescent="0.25">
      <c r="A399" s="156" t="s">
        <v>546</v>
      </c>
      <c r="B399" s="156" t="s">
        <v>291</v>
      </c>
      <c r="C399" s="156" t="s">
        <v>292</v>
      </c>
      <c r="D399" s="156" t="s">
        <v>543</v>
      </c>
      <c r="E399" s="179">
        <v>29458000</v>
      </c>
      <c r="F399" s="179">
        <v>29458000</v>
      </c>
      <c r="G399" s="179">
        <v>29458000</v>
      </c>
      <c r="H399" s="179">
        <v>0</v>
      </c>
      <c r="I399" s="179">
        <v>6983613</v>
      </c>
      <c r="J399" s="179">
        <v>2383665.9300000002</v>
      </c>
      <c r="K399" s="179">
        <v>7117265.5599999996</v>
      </c>
      <c r="L399" s="179">
        <v>7117265.5599999996</v>
      </c>
      <c r="M399" s="179">
        <v>12973455.51</v>
      </c>
      <c r="N399" s="179">
        <v>12973455.51</v>
      </c>
    </row>
    <row r="400" spans="1:14" s="156" customFormat="1" x14ac:dyDescent="0.25">
      <c r="A400" s="156" t="s">
        <v>546</v>
      </c>
      <c r="B400" s="156" t="s">
        <v>293</v>
      </c>
      <c r="C400" s="156" t="s">
        <v>294</v>
      </c>
      <c r="D400" s="156" t="s">
        <v>543</v>
      </c>
      <c r="E400" s="179">
        <v>5405000</v>
      </c>
      <c r="F400" s="179">
        <v>5405000</v>
      </c>
      <c r="G400" s="179">
        <v>5405000</v>
      </c>
      <c r="H400" s="179">
        <v>0</v>
      </c>
      <c r="I400" s="179">
        <v>3981450</v>
      </c>
      <c r="J400" s="179">
        <v>0</v>
      </c>
      <c r="K400" s="179">
        <v>0</v>
      </c>
      <c r="L400" s="179">
        <v>0</v>
      </c>
      <c r="M400" s="179">
        <v>1423550</v>
      </c>
      <c r="N400" s="179">
        <v>1423550</v>
      </c>
    </row>
    <row r="401" spans="1:14" s="156" customFormat="1" x14ac:dyDescent="0.25">
      <c r="A401" s="156" t="s">
        <v>546</v>
      </c>
      <c r="B401" s="156" t="s">
        <v>295</v>
      </c>
      <c r="C401" s="156" t="s">
        <v>296</v>
      </c>
      <c r="D401" s="156" t="s">
        <v>543</v>
      </c>
      <c r="E401" s="179">
        <v>289362000</v>
      </c>
      <c r="F401" s="179">
        <v>289362000</v>
      </c>
      <c r="G401" s="179">
        <v>209861711</v>
      </c>
      <c r="H401" s="179">
        <v>0</v>
      </c>
      <c r="I401" s="179">
        <v>13804479.210000001</v>
      </c>
      <c r="J401" s="179">
        <v>0</v>
      </c>
      <c r="K401" s="179">
        <v>45486812.109999999</v>
      </c>
      <c r="L401" s="179">
        <v>45486812.109999999</v>
      </c>
      <c r="M401" s="179">
        <v>230070708.68000001</v>
      </c>
      <c r="N401" s="179">
        <v>150570419.68000001</v>
      </c>
    </row>
    <row r="402" spans="1:14" s="156" customFormat="1" x14ac:dyDescent="0.25">
      <c r="A402" s="156" t="s">
        <v>546</v>
      </c>
      <c r="B402" s="156" t="s">
        <v>297</v>
      </c>
      <c r="C402" s="156" t="s">
        <v>298</v>
      </c>
      <c r="D402" s="156" t="s">
        <v>543</v>
      </c>
      <c r="E402" s="179">
        <v>8088000</v>
      </c>
      <c r="F402" s="179">
        <v>1754053148</v>
      </c>
      <c r="G402" s="179">
        <v>1754053148</v>
      </c>
      <c r="H402" s="179">
        <v>0</v>
      </c>
      <c r="I402" s="179">
        <v>446858543.88</v>
      </c>
      <c r="J402" s="179">
        <v>194944842.94999999</v>
      </c>
      <c r="K402" s="179">
        <v>2021999</v>
      </c>
      <c r="L402" s="179">
        <v>1347999</v>
      </c>
      <c r="M402" s="179">
        <v>1110227762.1700001</v>
      </c>
      <c r="N402" s="179">
        <v>1110227762.1700001</v>
      </c>
    </row>
    <row r="403" spans="1:14" s="156" customFormat="1" x14ac:dyDescent="0.25">
      <c r="A403" s="156" t="s">
        <v>546</v>
      </c>
      <c r="B403" s="156" t="s">
        <v>299</v>
      </c>
      <c r="C403" s="156" t="s">
        <v>300</v>
      </c>
      <c r="D403" s="156" t="s">
        <v>543</v>
      </c>
      <c r="E403" s="179">
        <v>0</v>
      </c>
      <c r="F403" s="179">
        <v>1745965148</v>
      </c>
      <c r="G403" s="179">
        <v>1745965148</v>
      </c>
      <c r="H403" s="179">
        <v>0</v>
      </c>
      <c r="I403" s="179">
        <v>446858543.88</v>
      </c>
      <c r="J403" s="179">
        <v>194944842.94999999</v>
      </c>
      <c r="K403" s="179">
        <v>0</v>
      </c>
      <c r="L403" s="179">
        <v>0</v>
      </c>
      <c r="M403" s="179">
        <v>1104161761.1700001</v>
      </c>
      <c r="N403" s="179">
        <v>1104161761.1700001</v>
      </c>
    </row>
    <row r="404" spans="1:14" s="156" customFormat="1" x14ac:dyDescent="0.25">
      <c r="A404" s="156" t="s">
        <v>546</v>
      </c>
      <c r="B404" s="156" t="s">
        <v>366</v>
      </c>
      <c r="C404" s="156" t="s">
        <v>367</v>
      </c>
      <c r="D404" s="156" t="s">
        <v>543</v>
      </c>
      <c r="E404" s="179">
        <v>8088000</v>
      </c>
      <c r="F404" s="179">
        <v>8088000</v>
      </c>
      <c r="G404" s="179">
        <v>8088000</v>
      </c>
      <c r="H404" s="179">
        <v>0</v>
      </c>
      <c r="I404" s="179">
        <v>0</v>
      </c>
      <c r="J404" s="179">
        <v>0</v>
      </c>
      <c r="K404" s="179">
        <v>2021999</v>
      </c>
      <c r="L404" s="179">
        <v>1347999</v>
      </c>
      <c r="M404" s="179">
        <v>6066001</v>
      </c>
      <c r="N404" s="179">
        <v>6066001</v>
      </c>
    </row>
    <row r="405" spans="1:14" s="156" customFormat="1" x14ac:dyDescent="0.25">
      <c r="A405" s="156" t="s">
        <v>546</v>
      </c>
      <c r="B405" s="156" t="s">
        <v>340</v>
      </c>
      <c r="C405" s="156" t="s">
        <v>341</v>
      </c>
      <c r="D405" s="156" t="s">
        <v>543</v>
      </c>
      <c r="E405" s="179">
        <v>208494000</v>
      </c>
      <c r="F405" s="179">
        <v>208494000</v>
      </c>
      <c r="G405" s="179">
        <v>104247000</v>
      </c>
      <c r="H405" s="179">
        <v>0</v>
      </c>
      <c r="I405" s="179">
        <v>1000000</v>
      </c>
      <c r="J405" s="179">
        <v>0</v>
      </c>
      <c r="K405" s="179">
        <v>2472139.2000000002</v>
      </c>
      <c r="L405" s="179">
        <v>2472139.2000000002</v>
      </c>
      <c r="M405" s="179">
        <v>205021860.80000001</v>
      </c>
      <c r="N405" s="179">
        <v>100774860.8</v>
      </c>
    </row>
    <row r="406" spans="1:14" s="156" customFormat="1" x14ac:dyDescent="0.25">
      <c r="A406" s="156" t="s">
        <v>546</v>
      </c>
      <c r="B406" s="156" t="s">
        <v>342</v>
      </c>
      <c r="C406" s="156" t="s">
        <v>343</v>
      </c>
      <c r="D406" s="156" t="s">
        <v>543</v>
      </c>
      <c r="E406" s="179">
        <v>208494000</v>
      </c>
      <c r="F406" s="179">
        <v>208494000</v>
      </c>
      <c r="G406" s="179">
        <v>104247000</v>
      </c>
      <c r="H406" s="179">
        <v>0</v>
      </c>
      <c r="I406" s="179">
        <v>1000000</v>
      </c>
      <c r="J406" s="179">
        <v>0</v>
      </c>
      <c r="K406" s="179">
        <v>2472139.2000000002</v>
      </c>
      <c r="L406" s="179">
        <v>2472139.2000000002</v>
      </c>
      <c r="M406" s="179">
        <v>205021860.80000001</v>
      </c>
      <c r="N406" s="179">
        <v>100774860.8</v>
      </c>
    </row>
    <row r="407" spans="1:14" s="156" customFormat="1" x14ac:dyDescent="0.25">
      <c r="A407" s="156" t="s">
        <v>546</v>
      </c>
      <c r="B407" s="156" t="s">
        <v>251</v>
      </c>
      <c r="C407" s="156" t="s">
        <v>252</v>
      </c>
      <c r="D407" s="156" t="s">
        <v>541</v>
      </c>
      <c r="E407" s="179">
        <v>11597046000</v>
      </c>
      <c r="F407" s="179">
        <v>11597046000</v>
      </c>
      <c r="G407" s="179">
        <v>4725509206.25</v>
      </c>
      <c r="H407" s="179">
        <v>0</v>
      </c>
      <c r="I407" s="179">
        <v>3675380345.54</v>
      </c>
      <c r="J407" s="179">
        <v>0</v>
      </c>
      <c r="K407" s="179">
        <v>523020099.16000003</v>
      </c>
      <c r="L407" s="179">
        <v>523020099.16000003</v>
      </c>
      <c r="M407" s="179">
        <v>7398645555.3000002</v>
      </c>
      <c r="N407" s="179">
        <v>527108761.55000001</v>
      </c>
    </row>
    <row r="408" spans="1:14" s="156" customFormat="1" x14ac:dyDescent="0.25">
      <c r="A408" s="156" t="s">
        <v>546</v>
      </c>
      <c r="B408" s="156" t="s">
        <v>253</v>
      </c>
      <c r="C408" s="156" t="s">
        <v>254</v>
      </c>
      <c r="D408" s="156" t="s">
        <v>541</v>
      </c>
      <c r="E408" s="179">
        <v>9955805000</v>
      </c>
      <c r="F408" s="179">
        <v>9955805000</v>
      </c>
      <c r="G408" s="179">
        <v>3895805000</v>
      </c>
      <c r="H408" s="179">
        <v>0</v>
      </c>
      <c r="I408" s="179">
        <v>3642539846</v>
      </c>
      <c r="J408" s="179">
        <v>0</v>
      </c>
      <c r="K408" s="179">
        <v>233265154</v>
      </c>
      <c r="L408" s="179">
        <v>233265154</v>
      </c>
      <c r="M408" s="179">
        <v>6080000000</v>
      </c>
      <c r="N408" s="179">
        <v>20000000</v>
      </c>
    </row>
    <row r="409" spans="1:14" s="156" customFormat="1" x14ac:dyDescent="0.25">
      <c r="A409" s="156" t="s">
        <v>546</v>
      </c>
      <c r="B409" s="156" t="s">
        <v>368</v>
      </c>
      <c r="C409" s="156" t="s">
        <v>369</v>
      </c>
      <c r="D409" s="156" t="s">
        <v>541</v>
      </c>
      <c r="E409" s="179">
        <v>80000000</v>
      </c>
      <c r="F409" s="179">
        <v>80000000</v>
      </c>
      <c r="G409" s="179">
        <v>20000000</v>
      </c>
      <c r="H409" s="179">
        <v>0</v>
      </c>
      <c r="I409" s="179">
        <v>0</v>
      </c>
      <c r="J409" s="179">
        <v>0</v>
      </c>
      <c r="K409" s="179">
        <v>0</v>
      </c>
      <c r="L409" s="179">
        <v>0</v>
      </c>
      <c r="M409" s="179">
        <v>80000000</v>
      </c>
      <c r="N409" s="179">
        <v>20000000</v>
      </c>
    </row>
    <row r="410" spans="1:14" s="156" customFormat="1" x14ac:dyDescent="0.25">
      <c r="A410" s="156" t="s">
        <v>546</v>
      </c>
      <c r="B410" s="156" t="s">
        <v>370</v>
      </c>
      <c r="C410" s="156" t="s">
        <v>602</v>
      </c>
      <c r="D410" s="156" t="s">
        <v>541</v>
      </c>
      <c r="E410" s="179">
        <v>673849000</v>
      </c>
      <c r="F410" s="179">
        <v>673849000</v>
      </c>
      <c r="G410" s="179">
        <v>673849000</v>
      </c>
      <c r="H410" s="179">
        <v>0</v>
      </c>
      <c r="I410" s="179">
        <v>479722294</v>
      </c>
      <c r="J410" s="179">
        <v>0</v>
      </c>
      <c r="K410" s="179">
        <v>194126706</v>
      </c>
      <c r="L410" s="179">
        <v>194126706</v>
      </c>
      <c r="M410" s="179">
        <v>0</v>
      </c>
      <c r="N410" s="179">
        <v>0</v>
      </c>
    </row>
    <row r="411" spans="1:14" s="156" customFormat="1" x14ac:dyDescent="0.25">
      <c r="A411" s="156" t="s">
        <v>546</v>
      </c>
      <c r="B411" s="156" t="s">
        <v>371</v>
      </c>
      <c r="C411" s="156" t="s">
        <v>603</v>
      </c>
      <c r="D411" s="156" t="s">
        <v>541</v>
      </c>
      <c r="E411" s="179">
        <v>135856000</v>
      </c>
      <c r="F411" s="179">
        <v>135856000</v>
      </c>
      <c r="G411" s="179">
        <v>135856000</v>
      </c>
      <c r="H411" s="179">
        <v>0</v>
      </c>
      <c r="I411" s="179">
        <v>96717552</v>
      </c>
      <c r="J411" s="179">
        <v>0</v>
      </c>
      <c r="K411" s="179">
        <v>39138448</v>
      </c>
      <c r="L411" s="179">
        <v>39138448</v>
      </c>
      <c r="M411" s="179">
        <v>0</v>
      </c>
      <c r="N411" s="179">
        <v>0</v>
      </c>
    </row>
    <row r="412" spans="1:14" s="156" customFormat="1" x14ac:dyDescent="0.25">
      <c r="A412" s="156" t="s">
        <v>546</v>
      </c>
      <c r="B412" s="156" t="s">
        <v>606</v>
      </c>
      <c r="C412" s="156" t="s">
        <v>608</v>
      </c>
      <c r="D412" s="156" t="s">
        <v>543</v>
      </c>
      <c r="E412" s="179">
        <v>9066100000</v>
      </c>
      <c r="F412" s="179">
        <v>9066100000</v>
      </c>
      <c r="G412" s="179">
        <v>3066100000</v>
      </c>
      <c r="H412" s="179">
        <v>0</v>
      </c>
      <c r="I412" s="179">
        <v>3066100000</v>
      </c>
      <c r="J412" s="179">
        <v>0</v>
      </c>
      <c r="K412" s="179">
        <v>0</v>
      </c>
      <c r="L412" s="179">
        <v>0</v>
      </c>
      <c r="M412" s="179">
        <v>6000000000</v>
      </c>
      <c r="N412" s="179">
        <v>0</v>
      </c>
    </row>
    <row r="413" spans="1:14" s="156" customFormat="1" x14ac:dyDescent="0.25">
      <c r="A413" s="156" t="s">
        <v>546</v>
      </c>
      <c r="B413" s="156" t="s">
        <v>372</v>
      </c>
      <c r="C413" s="156" t="s">
        <v>373</v>
      </c>
      <c r="D413" s="156" t="s">
        <v>541</v>
      </c>
      <c r="E413" s="179">
        <v>550000000</v>
      </c>
      <c r="F413" s="179">
        <v>550000000</v>
      </c>
      <c r="G413" s="179">
        <v>275000000</v>
      </c>
      <c r="H413" s="179">
        <v>0</v>
      </c>
      <c r="I413" s="179">
        <v>15000000</v>
      </c>
      <c r="J413" s="179">
        <v>0</v>
      </c>
      <c r="K413" s="179">
        <v>90000000</v>
      </c>
      <c r="L413" s="179">
        <v>90000000</v>
      </c>
      <c r="M413" s="179">
        <v>445000000</v>
      </c>
      <c r="N413" s="179">
        <v>170000000</v>
      </c>
    </row>
    <row r="414" spans="1:14" s="156" customFormat="1" x14ac:dyDescent="0.25">
      <c r="A414" s="156" t="s">
        <v>546</v>
      </c>
      <c r="B414" s="156" t="s">
        <v>374</v>
      </c>
      <c r="C414" s="156" t="s">
        <v>375</v>
      </c>
      <c r="D414" s="156" t="s">
        <v>541</v>
      </c>
      <c r="E414" s="179">
        <v>550000000</v>
      </c>
      <c r="F414" s="179">
        <v>550000000</v>
      </c>
      <c r="G414" s="179">
        <v>275000000</v>
      </c>
      <c r="H414" s="179">
        <v>0</v>
      </c>
      <c r="I414" s="179">
        <v>15000000</v>
      </c>
      <c r="J414" s="179">
        <v>0</v>
      </c>
      <c r="K414" s="179">
        <v>90000000</v>
      </c>
      <c r="L414" s="179">
        <v>90000000</v>
      </c>
      <c r="M414" s="179">
        <v>445000000</v>
      </c>
      <c r="N414" s="179">
        <v>170000000</v>
      </c>
    </row>
    <row r="415" spans="1:14" s="156" customFormat="1" x14ac:dyDescent="0.25">
      <c r="A415" s="156" t="s">
        <v>546</v>
      </c>
      <c r="B415" s="156" t="s">
        <v>261</v>
      </c>
      <c r="C415" s="156" t="s">
        <v>262</v>
      </c>
      <c r="D415" s="156" t="s">
        <v>541</v>
      </c>
      <c r="E415" s="179">
        <v>1002889000</v>
      </c>
      <c r="F415" s="179">
        <v>1002889000</v>
      </c>
      <c r="G415" s="179">
        <v>478028206.25</v>
      </c>
      <c r="H415" s="179">
        <v>0</v>
      </c>
      <c r="I415" s="179">
        <v>1502658.82</v>
      </c>
      <c r="J415" s="179">
        <v>0</v>
      </c>
      <c r="K415" s="179">
        <v>137911265.38</v>
      </c>
      <c r="L415" s="179">
        <v>137911265.38</v>
      </c>
      <c r="M415" s="179">
        <v>863475075.79999995</v>
      </c>
      <c r="N415" s="179">
        <v>338614282.05000001</v>
      </c>
    </row>
    <row r="416" spans="1:14" s="156" customFormat="1" x14ac:dyDescent="0.25">
      <c r="A416" s="156" t="s">
        <v>546</v>
      </c>
      <c r="B416" s="156" t="s">
        <v>263</v>
      </c>
      <c r="C416" s="156" t="s">
        <v>264</v>
      </c>
      <c r="D416" s="156" t="s">
        <v>541</v>
      </c>
      <c r="E416" s="179">
        <v>657462000</v>
      </c>
      <c r="F416" s="179">
        <v>657462000</v>
      </c>
      <c r="G416" s="179">
        <v>259216115</v>
      </c>
      <c r="H416" s="179">
        <v>0</v>
      </c>
      <c r="I416" s="179">
        <v>1502658.82</v>
      </c>
      <c r="J416" s="179">
        <v>0</v>
      </c>
      <c r="K416" s="179">
        <v>58590514.18</v>
      </c>
      <c r="L416" s="179">
        <v>58590514.18</v>
      </c>
      <c r="M416" s="179">
        <v>597368827</v>
      </c>
      <c r="N416" s="179">
        <v>199122942</v>
      </c>
    </row>
    <row r="417" spans="1:14" s="156" customFormat="1" x14ac:dyDescent="0.25">
      <c r="A417" s="156" t="s">
        <v>546</v>
      </c>
      <c r="B417" s="156" t="s">
        <v>265</v>
      </c>
      <c r="C417" s="156" t="s">
        <v>266</v>
      </c>
      <c r="D417" s="156" t="s">
        <v>541</v>
      </c>
      <c r="E417" s="179">
        <v>345427000</v>
      </c>
      <c r="F417" s="179">
        <v>345427000</v>
      </c>
      <c r="G417" s="179">
        <v>218812091.25</v>
      </c>
      <c r="H417" s="179">
        <v>0</v>
      </c>
      <c r="I417" s="179">
        <v>0</v>
      </c>
      <c r="J417" s="179">
        <v>0</v>
      </c>
      <c r="K417" s="179">
        <v>79320751.200000003</v>
      </c>
      <c r="L417" s="179">
        <v>79320751.200000003</v>
      </c>
      <c r="M417" s="179">
        <v>266106248.80000001</v>
      </c>
      <c r="N417" s="179">
        <v>139491340.05000001</v>
      </c>
    </row>
    <row r="418" spans="1:14" s="156" customFormat="1" x14ac:dyDescent="0.25">
      <c r="A418" s="156" t="s">
        <v>546</v>
      </c>
      <c r="B418" s="156" t="s">
        <v>267</v>
      </c>
      <c r="C418" s="156" t="s">
        <v>268</v>
      </c>
      <c r="D418" s="156" t="s">
        <v>541</v>
      </c>
      <c r="E418" s="179">
        <v>88352000</v>
      </c>
      <c r="F418" s="179">
        <v>88352000</v>
      </c>
      <c r="G418" s="179">
        <v>76676000</v>
      </c>
      <c r="H418" s="179">
        <v>0</v>
      </c>
      <c r="I418" s="179">
        <v>16337840.720000001</v>
      </c>
      <c r="J418" s="179">
        <v>0</v>
      </c>
      <c r="K418" s="179">
        <v>61843679.780000001</v>
      </c>
      <c r="L418" s="179">
        <v>61843679.780000001</v>
      </c>
      <c r="M418" s="179">
        <v>10170479.5</v>
      </c>
      <c r="N418" s="184">
        <v>-1505520.5</v>
      </c>
    </row>
    <row r="419" spans="1:14" s="156" customFormat="1" x14ac:dyDescent="0.25">
      <c r="A419" s="156" t="s">
        <v>546</v>
      </c>
      <c r="B419" s="156" t="s">
        <v>269</v>
      </c>
      <c r="C419" s="156" t="s">
        <v>270</v>
      </c>
      <c r="D419" s="156" t="s">
        <v>541</v>
      </c>
      <c r="E419" s="179">
        <v>65000000</v>
      </c>
      <c r="F419" s="179">
        <v>65000000</v>
      </c>
      <c r="G419" s="179">
        <v>65000000</v>
      </c>
      <c r="H419" s="179">
        <v>0</v>
      </c>
      <c r="I419" s="179">
        <v>3156320.22</v>
      </c>
      <c r="J419" s="179">
        <v>0</v>
      </c>
      <c r="K419" s="179">
        <v>61843679.780000001</v>
      </c>
      <c r="L419" s="179">
        <v>61843679.780000001</v>
      </c>
      <c r="M419" s="179">
        <v>0</v>
      </c>
      <c r="N419" s="179">
        <v>0</v>
      </c>
    </row>
    <row r="420" spans="1:14" s="156" customFormat="1" x14ac:dyDescent="0.25">
      <c r="A420" s="156" t="s">
        <v>546</v>
      </c>
      <c r="B420" s="156" t="s">
        <v>271</v>
      </c>
      <c r="C420" s="156" t="s">
        <v>272</v>
      </c>
      <c r="D420" s="156" t="s">
        <v>541</v>
      </c>
      <c r="E420" s="179">
        <v>23352000</v>
      </c>
      <c r="F420" s="179">
        <v>23352000</v>
      </c>
      <c r="G420" s="179">
        <v>11676000</v>
      </c>
      <c r="H420" s="179">
        <v>0</v>
      </c>
      <c r="I420" s="179">
        <v>13181520.5</v>
      </c>
      <c r="J420" s="179">
        <v>0</v>
      </c>
      <c r="K420" s="179">
        <v>0</v>
      </c>
      <c r="L420" s="179">
        <v>0</v>
      </c>
      <c r="M420" s="179">
        <v>10170479.5</v>
      </c>
      <c r="N420" s="184">
        <v>-1505520.5</v>
      </c>
    </row>
    <row r="421" spans="1:14" s="156" customFormat="1" x14ac:dyDescent="0.25">
      <c r="A421" s="156" t="s">
        <v>546</v>
      </c>
      <c r="B421" s="156" t="s">
        <v>376</v>
      </c>
      <c r="C421" s="156" t="s">
        <v>377</v>
      </c>
      <c r="D421" s="156" t="s">
        <v>543</v>
      </c>
      <c r="E421" s="179">
        <v>573100000</v>
      </c>
      <c r="F421" s="179">
        <v>827134852</v>
      </c>
      <c r="G421" s="179">
        <v>254697352</v>
      </c>
      <c r="H421" s="179">
        <v>0</v>
      </c>
      <c r="I421" s="179">
        <v>0</v>
      </c>
      <c r="J421" s="179">
        <v>0</v>
      </c>
      <c r="K421" s="179">
        <v>0</v>
      </c>
      <c r="L421" s="179">
        <v>0</v>
      </c>
      <c r="M421" s="179">
        <v>827134852</v>
      </c>
      <c r="N421" s="179">
        <v>254697352</v>
      </c>
    </row>
    <row r="422" spans="1:14" s="156" customFormat="1" x14ac:dyDescent="0.25">
      <c r="A422" s="156" t="s">
        <v>546</v>
      </c>
      <c r="B422" s="156" t="s">
        <v>378</v>
      </c>
      <c r="C422" s="156" t="s">
        <v>379</v>
      </c>
      <c r="D422" s="156" t="s">
        <v>543</v>
      </c>
      <c r="E422" s="179">
        <v>573100000</v>
      </c>
      <c r="F422" s="179">
        <v>827134852</v>
      </c>
      <c r="G422" s="179">
        <v>254697352</v>
      </c>
      <c r="H422" s="179">
        <v>0</v>
      </c>
      <c r="I422" s="179">
        <v>0</v>
      </c>
      <c r="J422" s="179">
        <v>0</v>
      </c>
      <c r="K422" s="179">
        <v>0</v>
      </c>
      <c r="L422" s="179">
        <v>0</v>
      </c>
      <c r="M422" s="179">
        <v>827134852</v>
      </c>
      <c r="N422" s="179">
        <v>254697352</v>
      </c>
    </row>
    <row r="423" spans="1:14" s="156" customFormat="1" x14ac:dyDescent="0.25">
      <c r="A423" s="156" t="s">
        <v>546</v>
      </c>
      <c r="B423" s="156" t="s">
        <v>380</v>
      </c>
      <c r="C423" s="156" t="s">
        <v>381</v>
      </c>
      <c r="D423" s="156" t="s">
        <v>543</v>
      </c>
      <c r="E423" s="179">
        <v>573100000</v>
      </c>
      <c r="F423" s="179">
        <v>827134852</v>
      </c>
      <c r="G423" s="179">
        <v>254697352</v>
      </c>
      <c r="H423" s="179">
        <v>0</v>
      </c>
      <c r="I423" s="179">
        <v>0</v>
      </c>
      <c r="J423" s="179">
        <v>0</v>
      </c>
      <c r="K423" s="179">
        <v>0</v>
      </c>
      <c r="L423" s="179">
        <v>0</v>
      </c>
      <c r="M423" s="179">
        <v>827134852</v>
      </c>
      <c r="N423" s="179">
        <v>254697352</v>
      </c>
    </row>
    <row r="424" spans="1:14" s="156" customFormat="1" x14ac:dyDescent="0.25">
      <c r="A424" s="156">
        <v>214784</v>
      </c>
      <c r="B424" s="156" t="s">
        <v>587</v>
      </c>
      <c r="C424" s="156" t="s">
        <v>587</v>
      </c>
      <c r="D424" s="156" t="s">
        <v>541</v>
      </c>
      <c r="E424" s="179">
        <v>13837611334</v>
      </c>
      <c r="F424" s="179">
        <v>13837611334</v>
      </c>
      <c r="G424" s="179">
        <v>13672929203</v>
      </c>
      <c r="H424" s="179">
        <v>0</v>
      </c>
      <c r="I424" s="179">
        <v>1684313311.79</v>
      </c>
      <c r="J424" s="179">
        <v>0</v>
      </c>
      <c r="K424" s="179">
        <v>3588958973.9200001</v>
      </c>
      <c r="L424" s="179">
        <v>3588958973.9200001</v>
      </c>
      <c r="M424" s="179">
        <v>8564339048.29</v>
      </c>
      <c r="N424" s="179">
        <v>8399656917.29</v>
      </c>
    </row>
    <row r="425" spans="1:14" s="156" customFormat="1" x14ac:dyDescent="0.25">
      <c r="A425" s="156" t="s">
        <v>547</v>
      </c>
      <c r="B425" s="156" t="s">
        <v>92</v>
      </c>
      <c r="C425" s="156" t="s">
        <v>93</v>
      </c>
      <c r="D425" s="156" t="s">
        <v>541</v>
      </c>
      <c r="E425" s="179">
        <v>13313316000</v>
      </c>
      <c r="F425" s="179">
        <v>13313316000</v>
      </c>
      <c r="G425" s="179">
        <v>13313316000</v>
      </c>
      <c r="H425" s="179">
        <v>0</v>
      </c>
      <c r="I425" s="179">
        <v>1519121214.6400001</v>
      </c>
      <c r="J425" s="179">
        <v>0</v>
      </c>
      <c r="K425" s="179">
        <v>3515903742.27</v>
      </c>
      <c r="L425" s="179">
        <v>3515903742.27</v>
      </c>
      <c r="M425" s="179">
        <v>8278291043.0900002</v>
      </c>
      <c r="N425" s="179">
        <v>8278291043.0900002</v>
      </c>
    </row>
    <row r="426" spans="1:14" s="156" customFormat="1" x14ac:dyDescent="0.25">
      <c r="A426" s="156" t="s">
        <v>547</v>
      </c>
      <c r="B426" s="156" t="s">
        <v>94</v>
      </c>
      <c r="C426" s="156" t="s">
        <v>95</v>
      </c>
      <c r="D426" s="156" t="s">
        <v>541</v>
      </c>
      <c r="E426" s="179">
        <v>4473382000</v>
      </c>
      <c r="F426" s="179">
        <v>4473382000</v>
      </c>
      <c r="G426" s="179">
        <v>4473382000</v>
      </c>
      <c r="H426" s="179">
        <v>0</v>
      </c>
      <c r="I426" s="179">
        <v>0</v>
      </c>
      <c r="J426" s="179">
        <v>0</v>
      </c>
      <c r="K426" s="179">
        <v>1004637882.97</v>
      </c>
      <c r="L426" s="179">
        <v>1004637882.97</v>
      </c>
      <c r="M426" s="179">
        <v>3468744117.0300002</v>
      </c>
      <c r="N426" s="179">
        <v>3468744117.0300002</v>
      </c>
    </row>
    <row r="427" spans="1:14" s="156" customFormat="1" x14ac:dyDescent="0.25">
      <c r="A427" s="156" t="s">
        <v>547</v>
      </c>
      <c r="B427" s="156" t="s">
        <v>96</v>
      </c>
      <c r="C427" s="156" t="s">
        <v>97</v>
      </c>
      <c r="D427" s="156" t="s">
        <v>541</v>
      </c>
      <c r="E427" s="179">
        <v>4473382000</v>
      </c>
      <c r="F427" s="179">
        <v>4473382000</v>
      </c>
      <c r="G427" s="179">
        <v>4473382000</v>
      </c>
      <c r="H427" s="179">
        <v>0</v>
      </c>
      <c r="I427" s="179">
        <v>0</v>
      </c>
      <c r="J427" s="179">
        <v>0</v>
      </c>
      <c r="K427" s="179">
        <v>1004637882.97</v>
      </c>
      <c r="L427" s="179">
        <v>1004637882.97</v>
      </c>
      <c r="M427" s="179">
        <v>3468744117.0300002</v>
      </c>
      <c r="N427" s="179">
        <v>3468744117.0300002</v>
      </c>
    </row>
    <row r="428" spans="1:14" s="156" customFormat="1" x14ac:dyDescent="0.25">
      <c r="A428" s="156" t="s">
        <v>547</v>
      </c>
      <c r="B428" s="156" t="s">
        <v>102</v>
      </c>
      <c r="C428" s="156" t="s">
        <v>103</v>
      </c>
      <c r="D428" s="156" t="s">
        <v>541</v>
      </c>
      <c r="E428" s="179">
        <v>6745487000</v>
      </c>
      <c r="F428" s="179">
        <v>6745487000</v>
      </c>
      <c r="G428" s="179">
        <v>6745487000</v>
      </c>
      <c r="H428" s="179">
        <v>0</v>
      </c>
      <c r="I428" s="179">
        <v>0</v>
      </c>
      <c r="J428" s="179">
        <v>0</v>
      </c>
      <c r="K428" s="179">
        <v>1935940073.9400001</v>
      </c>
      <c r="L428" s="179">
        <v>1935940073.9400001</v>
      </c>
      <c r="M428" s="179">
        <v>4809546926.0600004</v>
      </c>
      <c r="N428" s="179">
        <v>4809546926.0600004</v>
      </c>
    </row>
    <row r="429" spans="1:14" s="156" customFormat="1" x14ac:dyDescent="0.25">
      <c r="A429" s="156" t="s">
        <v>547</v>
      </c>
      <c r="B429" s="156" t="s">
        <v>104</v>
      </c>
      <c r="C429" s="156" t="s">
        <v>105</v>
      </c>
      <c r="D429" s="156" t="s">
        <v>541</v>
      </c>
      <c r="E429" s="179">
        <v>1460185000</v>
      </c>
      <c r="F429" s="179">
        <v>1460185000</v>
      </c>
      <c r="G429" s="179">
        <v>1460185000</v>
      </c>
      <c r="H429" s="179">
        <v>0</v>
      </c>
      <c r="I429" s="179">
        <v>0</v>
      </c>
      <c r="J429" s="179">
        <v>0</v>
      </c>
      <c r="K429" s="179">
        <v>330439574.81</v>
      </c>
      <c r="L429" s="179">
        <v>330439574.81</v>
      </c>
      <c r="M429" s="179">
        <v>1129745425.1900001</v>
      </c>
      <c r="N429" s="179">
        <v>1129745425.1900001</v>
      </c>
    </row>
    <row r="430" spans="1:14" s="156" customFormat="1" x14ac:dyDescent="0.25">
      <c r="A430" s="156" t="s">
        <v>547</v>
      </c>
      <c r="B430" s="156" t="s">
        <v>106</v>
      </c>
      <c r="C430" s="156" t="s">
        <v>107</v>
      </c>
      <c r="D430" s="156" t="s">
        <v>541</v>
      </c>
      <c r="E430" s="179">
        <v>2519609000</v>
      </c>
      <c r="F430" s="179">
        <v>2519609000</v>
      </c>
      <c r="G430" s="179">
        <v>2519609000</v>
      </c>
      <c r="H430" s="179">
        <v>0</v>
      </c>
      <c r="I430" s="179">
        <v>0</v>
      </c>
      <c r="J430" s="179">
        <v>0</v>
      </c>
      <c r="K430" s="179">
        <v>587138524.49000001</v>
      </c>
      <c r="L430" s="179">
        <v>587138524.49000001</v>
      </c>
      <c r="M430" s="179">
        <v>1932470475.51</v>
      </c>
      <c r="N430" s="179">
        <v>1932470475.51</v>
      </c>
    </row>
    <row r="431" spans="1:14" s="156" customFormat="1" x14ac:dyDescent="0.25">
      <c r="A431" s="156" t="s">
        <v>547</v>
      </c>
      <c r="B431" s="156" t="s">
        <v>108</v>
      </c>
      <c r="C431" s="156" t="s">
        <v>109</v>
      </c>
      <c r="D431" s="156" t="s">
        <v>541</v>
      </c>
      <c r="E431" s="179">
        <v>738904000</v>
      </c>
      <c r="F431" s="179">
        <v>738904000</v>
      </c>
      <c r="G431" s="179">
        <v>738904000</v>
      </c>
      <c r="H431" s="179">
        <v>0</v>
      </c>
      <c r="I431" s="179">
        <v>0</v>
      </c>
      <c r="J431" s="179">
        <v>0</v>
      </c>
      <c r="K431" s="179">
        <v>737016521.14999998</v>
      </c>
      <c r="L431" s="179">
        <v>737016521.14999998</v>
      </c>
      <c r="M431" s="179">
        <v>1887478.85</v>
      </c>
      <c r="N431" s="179">
        <v>1887478.85</v>
      </c>
    </row>
    <row r="432" spans="1:14" s="156" customFormat="1" x14ac:dyDescent="0.25">
      <c r="A432" s="156" t="s">
        <v>547</v>
      </c>
      <c r="B432" s="156" t="s">
        <v>110</v>
      </c>
      <c r="C432" s="156" t="s">
        <v>111</v>
      </c>
      <c r="D432" s="156" t="s">
        <v>541</v>
      </c>
      <c r="E432" s="179">
        <v>1196454000</v>
      </c>
      <c r="F432" s="179">
        <v>1196454000</v>
      </c>
      <c r="G432" s="179">
        <v>1196454000</v>
      </c>
      <c r="H432" s="179">
        <v>0</v>
      </c>
      <c r="I432" s="179">
        <v>0</v>
      </c>
      <c r="J432" s="179">
        <v>0</v>
      </c>
      <c r="K432" s="179">
        <v>281345453.49000001</v>
      </c>
      <c r="L432" s="179">
        <v>281345453.49000001</v>
      </c>
      <c r="M432" s="179">
        <v>915108546.50999999</v>
      </c>
      <c r="N432" s="179">
        <v>915108546.50999999</v>
      </c>
    </row>
    <row r="433" spans="1:14" s="156" customFormat="1" x14ac:dyDescent="0.25">
      <c r="A433" s="156" t="s">
        <v>547</v>
      </c>
      <c r="B433" s="156" t="s">
        <v>112</v>
      </c>
      <c r="C433" s="156" t="s">
        <v>113</v>
      </c>
      <c r="D433" s="156" t="s">
        <v>543</v>
      </c>
      <c r="E433" s="179">
        <v>830335000</v>
      </c>
      <c r="F433" s="179">
        <v>830335000</v>
      </c>
      <c r="G433" s="179">
        <v>830335000</v>
      </c>
      <c r="H433" s="179">
        <v>0</v>
      </c>
      <c r="I433" s="179">
        <v>0</v>
      </c>
      <c r="J433" s="179">
        <v>0</v>
      </c>
      <c r="K433" s="179">
        <v>0</v>
      </c>
      <c r="L433" s="179">
        <v>0</v>
      </c>
      <c r="M433" s="179">
        <v>830335000</v>
      </c>
      <c r="N433" s="179">
        <v>830335000</v>
      </c>
    </row>
    <row r="434" spans="1:14" s="156" customFormat="1" x14ac:dyDescent="0.25">
      <c r="A434" s="156" t="s">
        <v>547</v>
      </c>
      <c r="B434" s="156" t="s">
        <v>114</v>
      </c>
      <c r="C434" s="156" t="s">
        <v>115</v>
      </c>
      <c r="D434" s="156" t="s">
        <v>541</v>
      </c>
      <c r="E434" s="179">
        <v>1012881000</v>
      </c>
      <c r="F434" s="179">
        <v>1012881000</v>
      </c>
      <c r="G434" s="179">
        <v>1012881000</v>
      </c>
      <c r="H434" s="179">
        <v>0</v>
      </c>
      <c r="I434" s="179">
        <v>724674137</v>
      </c>
      <c r="J434" s="179">
        <v>0</v>
      </c>
      <c r="K434" s="179">
        <v>288206863</v>
      </c>
      <c r="L434" s="179">
        <v>288206863</v>
      </c>
      <c r="M434" s="179">
        <v>0</v>
      </c>
      <c r="N434" s="179">
        <v>0</v>
      </c>
    </row>
    <row r="435" spans="1:14" s="156" customFormat="1" x14ac:dyDescent="0.25">
      <c r="A435" s="156" t="s">
        <v>547</v>
      </c>
      <c r="B435" s="156" t="s">
        <v>382</v>
      </c>
      <c r="C435" s="156" t="s">
        <v>597</v>
      </c>
      <c r="D435" s="156" t="s">
        <v>541</v>
      </c>
      <c r="E435" s="179">
        <v>960939000</v>
      </c>
      <c r="F435" s="179">
        <v>960939000</v>
      </c>
      <c r="G435" s="179">
        <v>960939000</v>
      </c>
      <c r="H435" s="179">
        <v>0</v>
      </c>
      <c r="I435" s="179">
        <v>687511126</v>
      </c>
      <c r="J435" s="179">
        <v>0</v>
      </c>
      <c r="K435" s="179">
        <v>273427874</v>
      </c>
      <c r="L435" s="179">
        <v>273427874</v>
      </c>
      <c r="M435" s="179">
        <v>0</v>
      </c>
      <c r="N435" s="179">
        <v>0</v>
      </c>
    </row>
    <row r="436" spans="1:14" s="156" customFormat="1" x14ac:dyDescent="0.25">
      <c r="A436" s="156" t="s">
        <v>547</v>
      </c>
      <c r="B436" s="156" t="s">
        <v>383</v>
      </c>
      <c r="C436" s="156" t="s">
        <v>583</v>
      </c>
      <c r="D436" s="156" t="s">
        <v>541</v>
      </c>
      <c r="E436" s="179">
        <v>51942000</v>
      </c>
      <c r="F436" s="179">
        <v>51942000</v>
      </c>
      <c r="G436" s="179">
        <v>51942000</v>
      </c>
      <c r="H436" s="179">
        <v>0</v>
      </c>
      <c r="I436" s="179">
        <v>37163011</v>
      </c>
      <c r="J436" s="179">
        <v>0</v>
      </c>
      <c r="K436" s="179">
        <v>14778989</v>
      </c>
      <c r="L436" s="179">
        <v>14778989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118</v>
      </c>
      <c r="C437" s="156" t="s">
        <v>119</v>
      </c>
      <c r="D437" s="156" t="s">
        <v>541</v>
      </c>
      <c r="E437" s="179">
        <v>1081566000</v>
      </c>
      <c r="F437" s="179">
        <v>1081566000</v>
      </c>
      <c r="G437" s="179">
        <v>1081566000</v>
      </c>
      <c r="H437" s="179">
        <v>0</v>
      </c>
      <c r="I437" s="179">
        <v>794447077.63999999</v>
      </c>
      <c r="J437" s="179">
        <v>0</v>
      </c>
      <c r="K437" s="179">
        <v>287118922.36000001</v>
      </c>
      <c r="L437" s="179">
        <v>287118922.36000001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384</v>
      </c>
      <c r="C438" s="156" t="s">
        <v>598</v>
      </c>
      <c r="D438" s="156" t="s">
        <v>541</v>
      </c>
      <c r="E438" s="179">
        <v>527737000</v>
      </c>
      <c r="F438" s="179">
        <v>527737000</v>
      </c>
      <c r="G438" s="179">
        <v>527737000</v>
      </c>
      <c r="H438" s="179">
        <v>0</v>
      </c>
      <c r="I438" s="179">
        <v>399817119</v>
      </c>
      <c r="J438" s="179">
        <v>0</v>
      </c>
      <c r="K438" s="179">
        <v>127919881</v>
      </c>
      <c r="L438" s="179">
        <v>127919881</v>
      </c>
      <c r="M438" s="179">
        <v>0</v>
      </c>
      <c r="N438" s="179">
        <v>0</v>
      </c>
    </row>
    <row r="439" spans="1:14" s="156" customFormat="1" x14ac:dyDescent="0.25">
      <c r="A439" s="156" t="s">
        <v>547</v>
      </c>
      <c r="B439" s="156" t="s">
        <v>385</v>
      </c>
      <c r="C439" s="156" t="s">
        <v>599</v>
      </c>
      <c r="D439" s="156" t="s">
        <v>541</v>
      </c>
      <c r="E439" s="179">
        <v>155828000</v>
      </c>
      <c r="F439" s="179">
        <v>155828000</v>
      </c>
      <c r="G439" s="179">
        <v>155828000</v>
      </c>
      <c r="H439" s="179">
        <v>0</v>
      </c>
      <c r="I439" s="179">
        <v>111490980</v>
      </c>
      <c r="J439" s="179">
        <v>0</v>
      </c>
      <c r="K439" s="179">
        <v>44337020</v>
      </c>
      <c r="L439" s="179">
        <v>44337020</v>
      </c>
      <c r="M439" s="179">
        <v>0</v>
      </c>
      <c r="N439" s="179">
        <v>0</v>
      </c>
    </row>
    <row r="440" spans="1:14" s="156" customFormat="1" x14ac:dyDescent="0.25">
      <c r="A440" s="156" t="s">
        <v>547</v>
      </c>
      <c r="B440" s="156" t="s">
        <v>386</v>
      </c>
      <c r="C440" s="156" t="s">
        <v>600</v>
      </c>
      <c r="D440" s="156" t="s">
        <v>541</v>
      </c>
      <c r="E440" s="179">
        <v>311656000</v>
      </c>
      <c r="F440" s="179">
        <v>311656000</v>
      </c>
      <c r="G440" s="179">
        <v>311656000</v>
      </c>
      <c r="H440" s="179">
        <v>0</v>
      </c>
      <c r="I440" s="179">
        <v>222982025</v>
      </c>
      <c r="J440" s="179">
        <v>0</v>
      </c>
      <c r="K440" s="179">
        <v>88673975</v>
      </c>
      <c r="L440" s="179">
        <v>88673975</v>
      </c>
      <c r="M440" s="179">
        <v>0</v>
      </c>
      <c r="N440" s="179">
        <v>0</v>
      </c>
    </row>
    <row r="441" spans="1:14" s="156" customFormat="1" x14ac:dyDescent="0.25">
      <c r="A441" s="156" t="s">
        <v>547</v>
      </c>
      <c r="B441" s="156" t="s">
        <v>387</v>
      </c>
      <c r="C441" s="156" t="s">
        <v>388</v>
      </c>
      <c r="D441" s="156" t="s">
        <v>541</v>
      </c>
      <c r="E441" s="179">
        <v>86345000</v>
      </c>
      <c r="F441" s="179">
        <v>86345000</v>
      </c>
      <c r="G441" s="179">
        <v>86345000</v>
      </c>
      <c r="H441" s="179">
        <v>0</v>
      </c>
      <c r="I441" s="179">
        <v>60156953.640000001</v>
      </c>
      <c r="J441" s="179">
        <v>0</v>
      </c>
      <c r="K441" s="179">
        <v>26188046.359999999</v>
      </c>
      <c r="L441" s="179">
        <v>26188046.359999999</v>
      </c>
      <c r="M441" s="179">
        <v>0</v>
      </c>
      <c r="N441" s="179">
        <v>0</v>
      </c>
    </row>
    <row r="442" spans="1:14" s="156" customFormat="1" x14ac:dyDescent="0.25">
      <c r="A442" s="156" t="s">
        <v>547</v>
      </c>
      <c r="B442" s="156" t="s">
        <v>123</v>
      </c>
      <c r="C442" s="156" t="s">
        <v>124</v>
      </c>
      <c r="D442" s="156" t="s">
        <v>541</v>
      </c>
      <c r="E442" s="179">
        <v>31730334</v>
      </c>
      <c r="F442" s="179">
        <v>31730334</v>
      </c>
      <c r="G442" s="179">
        <v>31730334</v>
      </c>
      <c r="H442" s="179">
        <v>0</v>
      </c>
      <c r="I442" s="179">
        <v>410517</v>
      </c>
      <c r="J442" s="179">
        <v>0</v>
      </c>
      <c r="K442" s="179">
        <v>0</v>
      </c>
      <c r="L442" s="179">
        <v>0</v>
      </c>
      <c r="M442" s="179">
        <v>31319817</v>
      </c>
      <c r="N442" s="179">
        <v>31319817</v>
      </c>
    </row>
    <row r="443" spans="1:14" s="156" customFormat="1" x14ac:dyDescent="0.25">
      <c r="A443" s="156" t="s">
        <v>547</v>
      </c>
      <c r="B443" s="156" t="s">
        <v>168</v>
      </c>
      <c r="C443" s="156" t="s">
        <v>169</v>
      </c>
      <c r="D443" s="156" t="s">
        <v>541</v>
      </c>
      <c r="E443" s="179">
        <v>31730334</v>
      </c>
      <c r="F443" s="179">
        <v>31730334</v>
      </c>
      <c r="G443" s="179">
        <v>31730334</v>
      </c>
      <c r="H443" s="179">
        <v>0</v>
      </c>
      <c r="I443" s="179">
        <v>410517</v>
      </c>
      <c r="J443" s="179">
        <v>0</v>
      </c>
      <c r="K443" s="179">
        <v>0</v>
      </c>
      <c r="L443" s="179">
        <v>0</v>
      </c>
      <c r="M443" s="179">
        <v>31319817</v>
      </c>
      <c r="N443" s="179">
        <v>31319817</v>
      </c>
    </row>
    <row r="444" spans="1:14" s="156" customFormat="1" x14ac:dyDescent="0.25">
      <c r="A444" s="156" t="s">
        <v>547</v>
      </c>
      <c r="B444" s="156" t="s">
        <v>170</v>
      </c>
      <c r="C444" s="156" t="s">
        <v>171</v>
      </c>
      <c r="D444" s="156" t="s">
        <v>541</v>
      </c>
      <c r="E444" s="179">
        <v>31730334</v>
      </c>
      <c r="F444" s="179">
        <v>31730334</v>
      </c>
      <c r="G444" s="179">
        <v>31730334</v>
      </c>
      <c r="H444" s="179">
        <v>0</v>
      </c>
      <c r="I444" s="179">
        <v>410517</v>
      </c>
      <c r="J444" s="179">
        <v>0</v>
      </c>
      <c r="K444" s="179">
        <v>0</v>
      </c>
      <c r="L444" s="179">
        <v>0</v>
      </c>
      <c r="M444" s="179">
        <v>31319817</v>
      </c>
      <c r="N444" s="179">
        <v>31319817</v>
      </c>
    </row>
    <row r="445" spans="1:14" s="156" customFormat="1" x14ac:dyDescent="0.25">
      <c r="A445" s="156" t="s">
        <v>547</v>
      </c>
      <c r="B445" s="156" t="s">
        <v>251</v>
      </c>
      <c r="C445" s="156" t="s">
        <v>252</v>
      </c>
      <c r="D445" s="156" t="s">
        <v>541</v>
      </c>
      <c r="E445" s="179">
        <v>492565000</v>
      </c>
      <c r="F445" s="179">
        <v>492565000</v>
      </c>
      <c r="G445" s="179">
        <v>327882869</v>
      </c>
      <c r="H445" s="179">
        <v>0</v>
      </c>
      <c r="I445" s="179">
        <v>164781580.15000001</v>
      </c>
      <c r="J445" s="179">
        <v>0</v>
      </c>
      <c r="K445" s="179">
        <v>73055231.650000006</v>
      </c>
      <c r="L445" s="179">
        <v>73055231.650000006</v>
      </c>
      <c r="M445" s="179">
        <v>254728188.19999999</v>
      </c>
      <c r="N445" s="179">
        <v>90046057.200000003</v>
      </c>
    </row>
    <row r="446" spans="1:14" s="156" customFormat="1" x14ac:dyDescent="0.25">
      <c r="A446" s="156" t="s">
        <v>547</v>
      </c>
      <c r="B446" s="156" t="s">
        <v>253</v>
      </c>
      <c r="C446" s="156" t="s">
        <v>254</v>
      </c>
      <c r="D446" s="156" t="s">
        <v>541</v>
      </c>
      <c r="E446" s="179">
        <v>154788000</v>
      </c>
      <c r="F446" s="179">
        <v>154788000</v>
      </c>
      <c r="G446" s="179">
        <v>154788000</v>
      </c>
      <c r="H446" s="179">
        <v>0</v>
      </c>
      <c r="I446" s="179">
        <v>120538918.26000001</v>
      </c>
      <c r="J446" s="179">
        <v>0</v>
      </c>
      <c r="K446" s="179">
        <v>34249081.740000002</v>
      </c>
      <c r="L446" s="179">
        <v>34249081.740000002</v>
      </c>
      <c r="M446" s="179">
        <v>0</v>
      </c>
      <c r="N446" s="179">
        <v>0</v>
      </c>
    </row>
    <row r="447" spans="1:14" s="156" customFormat="1" x14ac:dyDescent="0.25">
      <c r="A447" s="156" t="s">
        <v>547</v>
      </c>
      <c r="B447" s="156" t="s">
        <v>389</v>
      </c>
      <c r="C447" s="156" t="s">
        <v>602</v>
      </c>
      <c r="D447" s="156" t="s">
        <v>541</v>
      </c>
      <c r="E447" s="179">
        <v>128817000</v>
      </c>
      <c r="F447" s="179">
        <v>128817000</v>
      </c>
      <c r="G447" s="179">
        <v>128817000</v>
      </c>
      <c r="H447" s="179">
        <v>0</v>
      </c>
      <c r="I447" s="179">
        <v>101957486.16</v>
      </c>
      <c r="J447" s="179">
        <v>0</v>
      </c>
      <c r="K447" s="179">
        <v>26859513.84</v>
      </c>
      <c r="L447" s="179">
        <v>26859513.84</v>
      </c>
      <c r="M447" s="179">
        <v>0</v>
      </c>
      <c r="N447" s="179">
        <v>0</v>
      </c>
    </row>
    <row r="448" spans="1:14" s="156" customFormat="1" x14ac:dyDescent="0.25">
      <c r="A448" s="156" t="s">
        <v>547</v>
      </c>
      <c r="B448" s="156" t="s">
        <v>390</v>
      </c>
      <c r="C448" s="156" t="s">
        <v>603</v>
      </c>
      <c r="D448" s="156" t="s">
        <v>541</v>
      </c>
      <c r="E448" s="179">
        <v>25971000</v>
      </c>
      <c r="F448" s="179">
        <v>25971000</v>
      </c>
      <c r="G448" s="179">
        <v>25971000</v>
      </c>
      <c r="H448" s="179">
        <v>0</v>
      </c>
      <c r="I448" s="179">
        <v>18581432.100000001</v>
      </c>
      <c r="J448" s="179">
        <v>0</v>
      </c>
      <c r="K448" s="179">
        <v>7389567.9000000004</v>
      </c>
      <c r="L448" s="179">
        <v>7389567.9000000004</v>
      </c>
      <c r="M448" s="179">
        <v>0</v>
      </c>
      <c r="N448" s="179">
        <v>0</v>
      </c>
    </row>
    <row r="449" spans="1:14" s="156" customFormat="1" x14ac:dyDescent="0.25">
      <c r="A449" s="156" t="s">
        <v>547</v>
      </c>
      <c r="B449" s="156" t="s">
        <v>261</v>
      </c>
      <c r="C449" s="156" t="s">
        <v>262</v>
      </c>
      <c r="D449" s="156" t="s">
        <v>541</v>
      </c>
      <c r="E449" s="179">
        <v>312777000</v>
      </c>
      <c r="F449" s="179">
        <v>312777000</v>
      </c>
      <c r="G449" s="179">
        <v>155594869</v>
      </c>
      <c r="H449" s="179">
        <v>0</v>
      </c>
      <c r="I449" s="179">
        <v>38035916.829999998</v>
      </c>
      <c r="J449" s="179">
        <v>0</v>
      </c>
      <c r="K449" s="179">
        <v>38762894.969999999</v>
      </c>
      <c r="L449" s="179">
        <v>38762894.969999999</v>
      </c>
      <c r="M449" s="179">
        <v>235978188.19999999</v>
      </c>
      <c r="N449" s="179">
        <v>78796057.200000003</v>
      </c>
    </row>
    <row r="450" spans="1:14" s="156" customFormat="1" x14ac:dyDescent="0.25">
      <c r="A450" s="156" t="s">
        <v>547</v>
      </c>
      <c r="B450" s="156" t="s">
        <v>263</v>
      </c>
      <c r="C450" s="156" t="s">
        <v>264</v>
      </c>
      <c r="D450" s="156" t="s">
        <v>541</v>
      </c>
      <c r="E450" s="179">
        <v>239389000</v>
      </c>
      <c r="F450" s="179">
        <v>239389000</v>
      </c>
      <c r="G450" s="179">
        <v>98829334</v>
      </c>
      <c r="H450" s="179">
        <v>0</v>
      </c>
      <c r="I450" s="179">
        <v>38035916.829999998</v>
      </c>
      <c r="J450" s="179">
        <v>0</v>
      </c>
      <c r="K450" s="179">
        <v>29743915.170000002</v>
      </c>
      <c r="L450" s="179">
        <v>29743915.170000002</v>
      </c>
      <c r="M450" s="179">
        <v>171609168</v>
      </c>
      <c r="N450" s="179">
        <v>31049502</v>
      </c>
    </row>
    <row r="451" spans="1:14" s="156" customFormat="1" x14ac:dyDescent="0.25">
      <c r="A451" s="156" t="s">
        <v>547</v>
      </c>
      <c r="B451" s="156" t="s">
        <v>265</v>
      </c>
      <c r="C451" s="156" t="s">
        <v>266</v>
      </c>
      <c r="D451" s="156" t="s">
        <v>541</v>
      </c>
      <c r="E451" s="179">
        <v>73388000</v>
      </c>
      <c r="F451" s="179">
        <v>73388000</v>
      </c>
      <c r="G451" s="179">
        <v>56765535</v>
      </c>
      <c r="H451" s="179">
        <v>0</v>
      </c>
      <c r="I451" s="179">
        <v>0</v>
      </c>
      <c r="J451" s="179">
        <v>0</v>
      </c>
      <c r="K451" s="179">
        <v>9018979.8000000007</v>
      </c>
      <c r="L451" s="179">
        <v>9018979.8000000007</v>
      </c>
      <c r="M451" s="179">
        <v>64369020.200000003</v>
      </c>
      <c r="N451" s="179">
        <v>47746555.200000003</v>
      </c>
    </row>
    <row r="452" spans="1:14" x14ac:dyDescent="0.25">
      <c r="A452" s="156" t="s">
        <v>547</v>
      </c>
      <c r="B452" s="156" t="s">
        <v>267</v>
      </c>
      <c r="C452" s="156" t="s">
        <v>268</v>
      </c>
      <c r="D452" s="156" t="s">
        <v>541</v>
      </c>
      <c r="E452" s="179">
        <v>25000000</v>
      </c>
      <c r="F452" s="179">
        <v>25000000</v>
      </c>
      <c r="G452" s="179">
        <v>17500000</v>
      </c>
      <c r="H452" s="179">
        <v>0</v>
      </c>
      <c r="I452" s="179">
        <v>6206745.0599999996</v>
      </c>
      <c r="J452" s="179">
        <v>0</v>
      </c>
      <c r="K452" s="179">
        <v>43254.94</v>
      </c>
      <c r="L452" s="179">
        <v>43254.94</v>
      </c>
      <c r="M452" s="179">
        <v>18750000</v>
      </c>
      <c r="N452" s="179">
        <v>11250000</v>
      </c>
    </row>
    <row r="453" spans="1:14" x14ac:dyDescent="0.25">
      <c r="A453" s="156" t="s">
        <v>547</v>
      </c>
      <c r="B453" s="156" t="s">
        <v>269</v>
      </c>
      <c r="C453" s="156" t="s">
        <v>270</v>
      </c>
      <c r="D453" s="156" t="s">
        <v>541</v>
      </c>
      <c r="E453" s="179">
        <v>10000000</v>
      </c>
      <c r="F453" s="179">
        <v>10000000</v>
      </c>
      <c r="G453" s="179">
        <v>2500000</v>
      </c>
      <c r="H453" s="179">
        <v>0</v>
      </c>
      <c r="I453" s="179">
        <v>2500000</v>
      </c>
      <c r="J453" s="179">
        <v>0</v>
      </c>
      <c r="K453" s="179">
        <v>0</v>
      </c>
      <c r="L453" s="179">
        <v>0</v>
      </c>
      <c r="M453" s="179">
        <v>7500000</v>
      </c>
      <c r="N453" s="179">
        <v>0</v>
      </c>
    </row>
    <row r="454" spans="1:14" x14ac:dyDescent="0.25">
      <c r="A454" s="156" t="s">
        <v>547</v>
      </c>
      <c r="B454" s="156" t="s">
        <v>271</v>
      </c>
      <c r="C454" s="156" t="s">
        <v>272</v>
      </c>
      <c r="D454" s="156" t="s">
        <v>541</v>
      </c>
      <c r="E454" s="179">
        <v>15000000</v>
      </c>
      <c r="F454" s="179">
        <v>15000000</v>
      </c>
      <c r="G454" s="179">
        <v>15000000</v>
      </c>
      <c r="H454" s="179">
        <v>0</v>
      </c>
      <c r="I454" s="179">
        <v>3706745.06</v>
      </c>
      <c r="J454" s="179">
        <v>0</v>
      </c>
      <c r="K454" s="179">
        <v>43254.94</v>
      </c>
      <c r="L454" s="179">
        <v>43254.94</v>
      </c>
      <c r="M454" s="179">
        <v>11250000</v>
      </c>
      <c r="N454" s="179">
        <v>11250000</v>
      </c>
    </row>
    <row r="455" spans="1:14" x14ac:dyDescent="0.25">
      <c r="A455" s="180" t="s">
        <v>587</v>
      </c>
      <c r="B455" s="180" t="s">
        <v>587</v>
      </c>
      <c r="C455" s="180" t="s">
        <v>587</v>
      </c>
      <c r="D455" s="180" t="s">
        <v>587</v>
      </c>
      <c r="E455" s="181">
        <v>675435665000</v>
      </c>
      <c r="F455" s="181">
        <v>705435665000</v>
      </c>
      <c r="G455" s="181">
        <v>599703104833.75</v>
      </c>
      <c r="H455" s="181">
        <v>48784313.299999997</v>
      </c>
      <c r="I455" s="181">
        <v>82269873632.300003</v>
      </c>
      <c r="J455" s="181">
        <v>1319269955.8</v>
      </c>
      <c r="K455" s="181">
        <v>148873758183.35001</v>
      </c>
      <c r="L455" s="181">
        <v>148233725192.5</v>
      </c>
      <c r="M455" s="181">
        <v>472923978915.25</v>
      </c>
      <c r="N455" s="181">
        <v>367191418749</v>
      </c>
    </row>
  </sheetData>
  <conditionalFormatting sqref="K2:K45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C8D3-8F30-489B-B911-E22A70023B31}">
  <dimension ref="A1:N451"/>
  <sheetViews>
    <sheetView workbookViewId="0">
      <pane ySplit="600" activePane="bottomLeft"/>
      <selection pane="bottomLeft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135087133000</v>
      </c>
      <c r="G2" s="179">
        <v>106792131122.85001</v>
      </c>
      <c r="H2" s="179">
        <v>1229762.8999999999</v>
      </c>
      <c r="I2" s="179">
        <v>22501372742.07</v>
      </c>
      <c r="J2" s="179">
        <v>335067188.25</v>
      </c>
      <c r="K2" s="179">
        <v>12292861912.77</v>
      </c>
      <c r="L2" s="179">
        <v>11839559186.52</v>
      </c>
      <c r="M2" s="179">
        <v>99956601394.009995</v>
      </c>
      <c r="N2" s="179">
        <v>71661599516.860001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1712313692</v>
      </c>
      <c r="H3" s="179">
        <v>1229762.8999999999</v>
      </c>
      <c r="I3" s="179">
        <v>374694436.30000001</v>
      </c>
      <c r="J3" s="179">
        <v>84624</v>
      </c>
      <c r="K3" s="182">
        <v>242582833.88</v>
      </c>
      <c r="L3" s="179">
        <v>227020561.94999999</v>
      </c>
      <c r="M3" s="179">
        <v>1900857569.9200001</v>
      </c>
      <c r="N3" s="179">
        <v>1093722034.9200001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1386097000</v>
      </c>
      <c r="G4" s="179">
        <v>1386097000</v>
      </c>
      <c r="H4" s="179">
        <v>0</v>
      </c>
      <c r="I4" s="179">
        <v>195574133</v>
      </c>
      <c r="J4" s="179">
        <v>0</v>
      </c>
      <c r="K4" s="179">
        <v>152451726.28999999</v>
      </c>
      <c r="L4" s="179">
        <v>152451726.28999999</v>
      </c>
      <c r="M4" s="179">
        <v>1038071140.71</v>
      </c>
      <c r="N4" s="179">
        <v>1038071140.71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526394000</v>
      </c>
      <c r="G5" s="179">
        <v>526394000</v>
      </c>
      <c r="H5" s="179">
        <v>0</v>
      </c>
      <c r="I5" s="179">
        <v>0</v>
      </c>
      <c r="J5" s="179">
        <v>0</v>
      </c>
      <c r="K5" s="179">
        <v>36228161.340000004</v>
      </c>
      <c r="L5" s="179">
        <v>36228161.340000004</v>
      </c>
      <c r="M5" s="179">
        <v>490165838.66000003</v>
      </c>
      <c r="N5" s="179">
        <v>490165838.66000003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526394000</v>
      </c>
      <c r="G6" s="179">
        <v>526394000</v>
      </c>
      <c r="H6" s="179">
        <v>0</v>
      </c>
      <c r="I6" s="179">
        <v>0</v>
      </c>
      <c r="J6" s="179">
        <v>0</v>
      </c>
      <c r="K6" s="179">
        <v>36228161.340000004</v>
      </c>
      <c r="L6" s="179">
        <v>36228161.340000004</v>
      </c>
      <c r="M6" s="179">
        <v>490165838.66000003</v>
      </c>
      <c r="N6" s="179">
        <v>490165838.66000003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649722000</v>
      </c>
      <c r="G7" s="179">
        <v>649722000</v>
      </c>
      <c r="H7" s="179">
        <v>0</v>
      </c>
      <c r="I7" s="179">
        <v>0</v>
      </c>
      <c r="J7" s="179">
        <v>0</v>
      </c>
      <c r="K7" s="179">
        <v>101816697.95</v>
      </c>
      <c r="L7" s="179">
        <v>101816697.95</v>
      </c>
      <c r="M7" s="179">
        <v>547905302.04999995</v>
      </c>
      <c r="N7" s="179">
        <v>547905302.04999995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138872000</v>
      </c>
      <c r="G8" s="179">
        <v>138872000</v>
      </c>
      <c r="H8" s="179">
        <v>0</v>
      </c>
      <c r="I8" s="179">
        <v>0</v>
      </c>
      <c r="J8" s="179">
        <v>0</v>
      </c>
      <c r="K8" s="179">
        <v>7463597.4000000004</v>
      </c>
      <c r="L8" s="179">
        <v>7463597.4000000004</v>
      </c>
      <c r="M8" s="179">
        <v>131408402.59999999</v>
      </c>
      <c r="N8" s="179">
        <v>131408402.59999999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289755000</v>
      </c>
      <c r="G9" s="179">
        <v>289755000</v>
      </c>
      <c r="H9" s="179">
        <v>0</v>
      </c>
      <c r="I9" s="179">
        <v>0</v>
      </c>
      <c r="J9" s="179">
        <v>0</v>
      </c>
      <c r="K9" s="179">
        <v>16665373.66</v>
      </c>
      <c r="L9" s="179">
        <v>16665373.66</v>
      </c>
      <c r="M9" s="179">
        <v>273089626.33999997</v>
      </c>
      <c r="N9" s="179">
        <v>273089626.33999997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83881000</v>
      </c>
      <c r="F10" s="179">
        <v>83881000</v>
      </c>
      <c r="G10" s="179">
        <v>83881000</v>
      </c>
      <c r="H10" s="179">
        <v>0</v>
      </c>
      <c r="I10" s="179">
        <v>0</v>
      </c>
      <c r="J10" s="179">
        <v>0</v>
      </c>
      <c r="K10" s="179">
        <v>74682002.099999994</v>
      </c>
      <c r="L10" s="179">
        <v>74682002.099999994</v>
      </c>
      <c r="M10" s="179">
        <v>9198997.9000000004</v>
      </c>
      <c r="N10" s="179">
        <v>9198997.9000000004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47407000</v>
      </c>
      <c r="F11" s="179">
        <v>47407000</v>
      </c>
      <c r="G11" s="179">
        <v>47407000</v>
      </c>
      <c r="H11" s="179">
        <v>0</v>
      </c>
      <c r="I11" s="179">
        <v>0</v>
      </c>
      <c r="J11" s="179">
        <v>0</v>
      </c>
      <c r="K11" s="179">
        <v>3005724.79</v>
      </c>
      <c r="L11" s="179">
        <v>3005724.79</v>
      </c>
      <c r="M11" s="179">
        <v>44401275.210000001</v>
      </c>
      <c r="N11" s="179">
        <v>44401275.210000001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89807000</v>
      </c>
      <c r="F12" s="179">
        <v>89807000</v>
      </c>
      <c r="G12" s="179">
        <v>89807000</v>
      </c>
      <c r="H12" s="179">
        <v>0</v>
      </c>
      <c r="I12" s="179">
        <v>0</v>
      </c>
      <c r="J12" s="179">
        <v>0</v>
      </c>
      <c r="K12" s="179">
        <v>0</v>
      </c>
      <c r="L12" s="179">
        <v>0</v>
      </c>
      <c r="M12" s="179">
        <v>89807000</v>
      </c>
      <c r="N12" s="179">
        <v>89807000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98647213</v>
      </c>
      <c r="J13" s="179">
        <v>0</v>
      </c>
      <c r="K13" s="179">
        <v>7266787</v>
      </c>
      <c r="L13" s="179">
        <v>7266787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93588871</v>
      </c>
      <c r="J14" s="179">
        <v>0</v>
      </c>
      <c r="K14" s="179">
        <v>6894129</v>
      </c>
      <c r="L14" s="179">
        <v>6894129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5058342</v>
      </c>
      <c r="J15" s="179">
        <v>0</v>
      </c>
      <c r="K15" s="179">
        <v>372658</v>
      </c>
      <c r="L15" s="179">
        <v>372658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96926920</v>
      </c>
      <c r="J16" s="179">
        <v>0</v>
      </c>
      <c r="K16" s="179">
        <v>7140080</v>
      </c>
      <c r="L16" s="179">
        <v>7140080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51397820</v>
      </c>
      <c r="J17" s="179">
        <v>0</v>
      </c>
      <c r="K17" s="179">
        <v>3786180</v>
      </c>
      <c r="L17" s="179">
        <v>3786180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15176035</v>
      </c>
      <c r="J18" s="179">
        <v>0</v>
      </c>
      <c r="K18" s="179">
        <v>1117965</v>
      </c>
      <c r="L18" s="179">
        <v>1117965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30353065</v>
      </c>
      <c r="J19" s="179">
        <v>0</v>
      </c>
      <c r="K19" s="179">
        <v>2235935</v>
      </c>
      <c r="L19" s="179">
        <v>2235935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80523780</v>
      </c>
      <c r="H20" s="179">
        <v>1229762.8999999999</v>
      </c>
      <c r="I20" s="179">
        <v>55252076.140000001</v>
      </c>
      <c r="J20" s="179">
        <v>0</v>
      </c>
      <c r="K20" s="179">
        <v>5786930.9500000002</v>
      </c>
      <c r="L20" s="179">
        <v>302964.47999999998</v>
      </c>
      <c r="M20" s="179">
        <v>280472809.00999999</v>
      </c>
      <c r="N20" s="179">
        <v>18255010.010000002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31079538</v>
      </c>
      <c r="H21" s="179">
        <v>300000</v>
      </c>
      <c r="I21" s="179">
        <v>22112017.32</v>
      </c>
      <c r="J21" s="179">
        <v>0</v>
      </c>
      <c r="K21" s="179">
        <v>1241637.67</v>
      </c>
      <c r="L21" s="179">
        <v>0</v>
      </c>
      <c r="M21" s="179">
        <v>102191791.01000001</v>
      </c>
      <c r="N21" s="179">
        <v>7425883.0099999998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30999538</v>
      </c>
      <c r="H22" s="179">
        <v>300000</v>
      </c>
      <c r="I22" s="179">
        <v>22112017.32</v>
      </c>
      <c r="J22" s="179">
        <v>0</v>
      </c>
      <c r="K22" s="179">
        <v>1241637.67</v>
      </c>
      <c r="L22" s="179">
        <v>0</v>
      </c>
      <c r="M22" s="179">
        <v>102111791.01000001</v>
      </c>
      <c r="N22" s="179">
        <v>7345883.0099999998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80000</v>
      </c>
      <c r="N23" s="179">
        <v>80000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30310000</v>
      </c>
      <c r="H24" s="179">
        <v>0</v>
      </c>
      <c r="I24" s="179">
        <v>23076011.289999999</v>
      </c>
      <c r="J24" s="179">
        <v>0</v>
      </c>
      <c r="K24" s="179">
        <v>4230498.8</v>
      </c>
      <c r="L24" s="179">
        <v>0</v>
      </c>
      <c r="M24" s="179">
        <v>104121842.91</v>
      </c>
      <c r="N24" s="179">
        <v>3003489.91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4971429</v>
      </c>
      <c r="G25" s="179">
        <v>1200000</v>
      </c>
      <c r="H25" s="179">
        <v>0</v>
      </c>
      <c r="I25" s="179">
        <v>645135</v>
      </c>
      <c r="J25" s="179">
        <v>0</v>
      </c>
      <c r="K25" s="179">
        <v>554865</v>
      </c>
      <c r="L25" s="179">
        <v>0</v>
      </c>
      <c r="M25" s="179">
        <v>3771429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14000000</v>
      </c>
      <c r="H26" s="179">
        <v>0</v>
      </c>
      <c r="I26" s="179">
        <v>14000000</v>
      </c>
      <c r="J26" s="179">
        <v>0</v>
      </c>
      <c r="K26" s="179">
        <v>0</v>
      </c>
      <c r="L26" s="179">
        <v>0</v>
      </c>
      <c r="M26" s="179">
        <v>42000000</v>
      </c>
      <c r="N26" s="179">
        <v>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20000</v>
      </c>
      <c r="J27" s="179">
        <v>0</v>
      </c>
      <c r="K27" s="179">
        <v>0</v>
      </c>
      <c r="L27" s="179">
        <v>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70076924</v>
      </c>
      <c r="G28" s="179">
        <v>15000000</v>
      </c>
      <c r="H28" s="179">
        <v>0</v>
      </c>
      <c r="I28" s="179">
        <v>8380876.29</v>
      </c>
      <c r="J28" s="179">
        <v>0</v>
      </c>
      <c r="K28" s="179">
        <v>3675633.8</v>
      </c>
      <c r="L28" s="179">
        <v>0</v>
      </c>
      <c r="M28" s="179">
        <v>58020413.909999996</v>
      </c>
      <c r="N28" s="179">
        <v>2943489.91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90000</v>
      </c>
      <c r="H29" s="179">
        <v>0</v>
      </c>
      <c r="I29" s="179">
        <v>30000</v>
      </c>
      <c r="J29" s="179">
        <v>0</v>
      </c>
      <c r="K29" s="179">
        <v>0</v>
      </c>
      <c r="L29" s="179">
        <v>0</v>
      </c>
      <c r="M29" s="179">
        <v>330000</v>
      </c>
      <c r="N29" s="179">
        <v>60000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8700000</v>
      </c>
      <c r="G30" s="179">
        <v>2218500</v>
      </c>
      <c r="H30" s="179">
        <v>412500</v>
      </c>
      <c r="I30" s="179">
        <v>1793931</v>
      </c>
      <c r="J30" s="179">
        <v>0</v>
      </c>
      <c r="K30" s="179">
        <v>11830</v>
      </c>
      <c r="L30" s="179">
        <v>0</v>
      </c>
      <c r="M30" s="179">
        <v>6481739</v>
      </c>
      <c r="N30" s="179">
        <v>239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1750000</v>
      </c>
      <c r="H31" s="179">
        <v>0</v>
      </c>
      <c r="I31" s="179">
        <v>1737931</v>
      </c>
      <c r="J31" s="179">
        <v>0</v>
      </c>
      <c r="K31" s="179">
        <v>11830</v>
      </c>
      <c r="L31" s="179">
        <v>0</v>
      </c>
      <c r="M31" s="179">
        <v>5250239</v>
      </c>
      <c r="N31" s="179">
        <v>239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418500</v>
      </c>
      <c r="H32" s="179">
        <v>412500</v>
      </c>
      <c r="I32" s="179">
        <v>6000</v>
      </c>
      <c r="J32" s="179">
        <v>0</v>
      </c>
      <c r="K32" s="179">
        <v>0</v>
      </c>
      <c r="L32" s="179">
        <v>0</v>
      </c>
      <c r="M32" s="179">
        <v>1231500</v>
      </c>
      <c r="N32" s="179">
        <v>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151</v>
      </c>
      <c r="C34" s="156" t="s">
        <v>152</v>
      </c>
      <c r="D34" s="156" t="s">
        <v>541</v>
      </c>
      <c r="E34" s="179">
        <v>5851429</v>
      </c>
      <c r="F34" s="179">
        <v>5851429</v>
      </c>
      <c r="G34" s="179">
        <v>2598036</v>
      </c>
      <c r="H34" s="179">
        <v>0</v>
      </c>
      <c r="I34" s="179">
        <v>700000</v>
      </c>
      <c r="J34" s="179">
        <v>0</v>
      </c>
      <c r="K34" s="179">
        <v>0</v>
      </c>
      <c r="L34" s="179">
        <v>0</v>
      </c>
      <c r="M34" s="179">
        <v>5151429</v>
      </c>
      <c r="N34" s="179">
        <v>1898036</v>
      </c>
    </row>
    <row r="35" spans="1:14" s="156" customFormat="1" x14ac:dyDescent="0.25">
      <c r="A35" s="156" t="s">
        <v>542</v>
      </c>
      <c r="B35" s="156" t="s">
        <v>154</v>
      </c>
      <c r="C35" s="156" t="s">
        <v>155</v>
      </c>
      <c r="D35" s="156" t="s">
        <v>541</v>
      </c>
      <c r="E35" s="179">
        <v>3080000</v>
      </c>
      <c r="F35" s="179">
        <v>3080000</v>
      </c>
      <c r="G35" s="179">
        <v>770000</v>
      </c>
      <c r="H35" s="179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3080000</v>
      </c>
      <c r="N35" s="179">
        <v>770000</v>
      </c>
    </row>
    <row r="36" spans="1:14" s="156" customFormat="1" x14ac:dyDescent="0.25">
      <c r="A36" s="156" t="s">
        <v>542</v>
      </c>
      <c r="B36" s="156" t="s">
        <v>156</v>
      </c>
      <c r="C36" s="156" t="s">
        <v>157</v>
      </c>
      <c r="D36" s="156" t="s">
        <v>541</v>
      </c>
      <c r="E36" s="179">
        <v>2771429</v>
      </c>
      <c r="F36" s="179">
        <v>2771429</v>
      </c>
      <c r="G36" s="179">
        <v>1828036</v>
      </c>
      <c r="H36" s="179">
        <v>0</v>
      </c>
      <c r="I36" s="179">
        <v>700000</v>
      </c>
      <c r="J36" s="179">
        <v>0</v>
      </c>
      <c r="K36" s="179">
        <v>0</v>
      </c>
      <c r="L36" s="179">
        <v>0</v>
      </c>
      <c r="M36" s="179">
        <v>2071429</v>
      </c>
      <c r="N36" s="179">
        <v>1128036</v>
      </c>
    </row>
    <row r="37" spans="1:14" s="156" customFormat="1" x14ac:dyDescent="0.25">
      <c r="A37" s="156" t="s">
        <v>542</v>
      </c>
      <c r="B37" s="156" t="s">
        <v>158</v>
      </c>
      <c r="C37" s="156" t="s">
        <v>159</v>
      </c>
      <c r="D37" s="156" t="s">
        <v>541</v>
      </c>
      <c r="E37" s="179">
        <v>17774865</v>
      </c>
      <c r="F37" s="179">
        <v>17774865</v>
      </c>
      <c r="G37" s="179">
        <v>4200000</v>
      </c>
      <c r="H37" s="179">
        <v>0</v>
      </c>
      <c r="I37" s="179">
        <v>2118692.5299999998</v>
      </c>
      <c r="J37" s="179">
        <v>0</v>
      </c>
      <c r="K37" s="179">
        <v>302964.47999999998</v>
      </c>
      <c r="L37" s="179">
        <v>302964.47999999998</v>
      </c>
      <c r="M37" s="179">
        <v>15353207.99</v>
      </c>
      <c r="N37" s="179">
        <v>1778342.99</v>
      </c>
    </row>
    <row r="38" spans="1:14" s="156" customFormat="1" x14ac:dyDescent="0.25">
      <c r="A38" s="156" t="s">
        <v>542</v>
      </c>
      <c r="B38" s="156" t="s">
        <v>160</v>
      </c>
      <c r="C38" s="156" t="s">
        <v>161</v>
      </c>
      <c r="D38" s="156" t="s">
        <v>541</v>
      </c>
      <c r="E38" s="179">
        <v>100000</v>
      </c>
      <c r="F38" s="179">
        <v>100000</v>
      </c>
      <c r="G38" s="179">
        <v>100000</v>
      </c>
      <c r="H38" s="179">
        <v>0</v>
      </c>
      <c r="I38" s="179">
        <v>0</v>
      </c>
      <c r="J38" s="179">
        <v>0</v>
      </c>
      <c r="K38" s="179">
        <v>0</v>
      </c>
      <c r="L38" s="179">
        <v>0</v>
      </c>
      <c r="M38" s="179">
        <v>100000</v>
      </c>
      <c r="N38" s="179">
        <v>100000</v>
      </c>
    </row>
    <row r="39" spans="1:14" s="156" customFormat="1" x14ac:dyDescent="0.25">
      <c r="A39" s="156" t="s">
        <v>542</v>
      </c>
      <c r="B39" s="156" t="s">
        <v>162</v>
      </c>
      <c r="C39" s="156" t="s">
        <v>163</v>
      </c>
      <c r="D39" s="156" t="s">
        <v>541</v>
      </c>
      <c r="E39" s="179">
        <v>6685715</v>
      </c>
      <c r="F39" s="179">
        <v>6685715</v>
      </c>
      <c r="G39" s="179">
        <v>1700000</v>
      </c>
      <c r="H39" s="179">
        <v>0</v>
      </c>
      <c r="I39" s="179">
        <v>1484600</v>
      </c>
      <c r="J39" s="179">
        <v>0</v>
      </c>
      <c r="K39" s="179">
        <v>215400</v>
      </c>
      <c r="L39" s="179">
        <v>215400</v>
      </c>
      <c r="M39" s="179">
        <v>4985715</v>
      </c>
      <c r="N39" s="179">
        <v>0</v>
      </c>
    </row>
    <row r="40" spans="1:14" s="156" customFormat="1" x14ac:dyDescent="0.25">
      <c r="A40" s="156" t="s">
        <v>542</v>
      </c>
      <c r="B40" s="156" t="s">
        <v>164</v>
      </c>
      <c r="C40" s="156" t="s">
        <v>165</v>
      </c>
      <c r="D40" s="156" t="s">
        <v>541</v>
      </c>
      <c r="E40" s="179">
        <v>5170968</v>
      </c>
      <c r="F40" s="179">
        <v>5170968</v>
      </c>
      <c r="G40" s="179">
        <v>1200000</v>
      </c>
      <c r="H40" s="179">
        <v>0</v>
      </c>
      <c r="I40" s="179">
        <v>59528.52</v>
      </c>
      <c r="J40" s="179">
        <v>0</v>
      </c>
      <c r="K40" s="179">
        <v>87564.479999999996</v>
      </c>
      <c r="L40" s="179">
        <v>87564.479999999996</v>
      </c>
      <c r="M40" s="179">
        <v>5023875</v>
      </c>
      <c r="N40" s="179">
        <v>1052907</v>
      </c>
    </row>
    <row r="41" spans="1:14" s="156" customFormat="1" x14ac:dyDescent="0.25">
      <c r="A41" s="156" t="s">
        <v>542</v>
      </c>
      <c r="B41" s="156" t="s">
        <v>166</v>
      </c>
      <c r="C41" s="156" t="s">
        <v>167</v>
      </c>
      <c r="D41" s="156" t="s">
        <v>541</v>
      </c>
      <c r="E41" s="179">
        <v>5818182</v>
      </c>
      <c r="F41" s="179">
        <v>5818182</v>
      </c>
      <c r="G41" s="179">
        <v>1200000</v>
      </c>
      <c r="H41" s="179">
        <v>0</v>
      </c>
      <c r="I41" s="179">
        <v>574564.01</v>
      </c>
      <c r="J41" s="179">
        <v>0</v>
      </c>
      <c r="K41" s="179">
        <v>0</v>
      </c>
      <c r="L41" s="179">
        <v>0</v>
      </c>
      <c r="M41" s="179">
        <v>5243617.99</v>
      </c>
      <c r="N41" s="179">
        <v>625435.99</v>
      </c>
    </row>
    <row r="42" spans="1:14" s="156" customFormat="1" x14ac:dyDescent="0.25">
      <c r="A42" s="156" t="s">
        <v>542</v>
      </c>
      <c r="B42" s="156" t="s">
        <v>168</v>
      </c>
      <c r="C42" s="156" t="s">
        <v>169</v>
      </c>
      <c r="D42" s="156" t="s">
        <v>541</v>
      </c>
      <c r="E42" s="179">
        <v>32290000</v>
      </c>
      <c r="F42" s="179">
        <v>32290000</v>
      </c>
      <c r="G42" s="179">
        <v>4851506</v>
      </c>
      <c r="H42" s="179">
        <v>0</v>
      </c>
      <c r="I42" s="179">
        <v>612040</v>
      </c>
      <c r="J42" s="179">
        <v>0</v>
      </c>
      <c r="K42" s="179">
        <v>0</v>
      </c>
      <c r="L42" s="179">
        <v>0</v>
      </c>
      <c r="M42" s="179">
        <v>31677960</v>
      </c>
      <c r="N42" s="179">
        <v>4239466</v>
      </c>
    </row>
    <row r="43" spans="1:14" s="156" customFormat="1" x14ac:dyDescent="0.25">
      <c r="A43" s="156" t="s">
        <v>542</v>
      </c>
      <c r="B43" s="156" t="s">
        <v>170</v>
      </c>
      <c r="C43" s="156" t="s">
        <v>171</v>
      </c>
      <c r="D43" s="156" t="s">
        <v>541</v>
      </c>
      <c r="E43" s="179">
        <v>32290000</v>
      </c>
      <c r="F43" s="179">
        <v>32290000</v>
      </c>
      <c r="G43" s="179">
        <v>4851506</v>
      </c>
      <c r="H43" s="179">
        <v>0</v>
      </c>
      <c r="I43" s="179">
        <v>612040</v>
      </c>
      <c r="J43" s="179">
        <v>0</v>
      </c>
      <c r="K43" s="179">
        <v>0</v>
      </c>
      <c r="L43" s="179">
        <v>0</v>
      </c>
      <c r="M43" s="179">
        <v>31677960</v>
      </c>
      <c r="N43" s="179">
        <v>4239466</v>
      </c>
    </row>
    <row r="44" spans="1:14" s="156" customFormat="1" x14ac:dyDescent="0.25">
      <c r="A44" s="156" t="s">
        <v>542</v>
      </c>
      <c r="B44" s="156" t="s">
        <v>172</v>
      </c>
      <c r="C44" s="156" t="s">
        <v>173</v>
      </c>
      <c r="D44" s="156" t="s">
        <v>541</v>
      </c>
      <c r="E44" s="179">
        <v>2150000</v>
      </c>
      <c r="F44" s="179">
        <v>2150000</v>
      </c>
      <c r="G44" s="179">
        <v>600000</v>
      </c>
      <c r="H44" s="179">
        <v>0</v>
      </c>
      <c r="I44" s="179">
        <v>600000</v>
      </c>
      <c r="J44" s="179">
        <v>0</v>
      </c>
      <c r="K44" s="179">
        <v>0</v>
      </c>
      <c r="L44" s="179">
        <v>0</v>
      </c>
      <c r="M44" s="179">
        <v>1550000</v>
      </c>
      <c r="N44" s="179">
        <v>0</v>
      </c>
    </row>
    <row r="45" spans="1:14" s="156" customFormat="1" x14ac:dyDescent="0.25">
      <c r="A45" s="156" t="s">
        <v>542</v>
      </c>
      <c r="B45" s="156" t="s">
        <v>309</v>
      </c>
      <c r="C45" s="156" t="s">
        <v>310</v>
      </c>
      <c r="D45" s="156" t="s">
        <v>541</v>
      </c>
      <c r="E45" s="179">
        <v>0</v>
      </c>
      <c r="F45" s="179">
        <v>0</v>
      </c>
      <c r="G45" s="179">
        <v>0</v>
      </c>
      <c r="H45" s="179">
        <v>0</v>
      </c>
      <c r="I45" s="179">
        <v>0</v>
      </c>
      <c r="J45" s="179">
        <v>0</v>
      </c>
      <c r="K45" s="179">
        <v>0</v>
      </c>
      <c r="L45" s="179">
        <v>0</v>
      </c>
      <c r="M45" s="179">
        <v>0</v>
      </c>
      <c r="N45" s="179">
        <v>0</v>
      </c>
    </row>
    <row r="46" spans="1:14" s="156" customFormat="1" x14ac:dyDescent="0.25">
      <c r="A46" s="156" t="s">
        <v>542</v>
      </c>
      <c r="B46" s="156" t="s">
        <v>174</v>
      </c>
      <c r="C46" s="156" t="s">
        <v>175</v>
      </c>
      <c r="D46" s="156" t="s">
        <v>541</v>
      </c>
      <c r="E46" s="179">
        <v>1550000</v>
      </c>
      <c r="F46" s="179">
        <v>1550000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1550000</v>
      </c>
      <c r="N46" s="179">
        <v>0</v>
      </c>
    </row>
    <row r="47" spans="1:14" s="156" customFormat="1" x14ac:dyDescent="0.25">
      <c r="A47" s="156" t="s">
        <v>542</v>
      </c>
      <c r="B47" s="156" t="s">
        <v>176</v>
      </c>
      <c r="C47" s="156" t="s">
        <v>177</v>
      </c>
      <c r="D47" s="156" t="s">
        <v>541</v>
      </c>
      <c r="E47" s="179">
        <v>600000</v>
      </c>
      <c r="F47" s="179">
        <v>600000</v>
      </c>
      <c r="G47" s="179">
        <v>600000</v>
      </c>
      <c r="H47" s="179">
        <v>0</v>
      </c>
      <c r="I47" s="179">
        <v>600000</v>
      </c>
      <c r="J47" s="179">
        <v>0</v>
      </c>
      <c r="K47" s="179">
        <v>0</v>
      </c>
      <c r="L47" s="179">
        <v>0</v>
      </c>
      <c r="M47" s="179">
        <v>0</v>
      </c>
      <c r="N47" s="179">
        <v>0</v>
      </c>
    </row>
    <row r="48" spans="1:14" s="156" customFormat="1" x14ac:dyDescent="0.25">
      <c r="A48" s="156" t="s">
        <v>542</v>
      </c>
      <c r="B48" s="156" t="s">
        <v>178</v>
      </c>
      <c r="C48" s="156" t="s">
        <v>179</v>
      </c>
      <c r="D48" s="156" t="s">
        <v>541</v>
      </c>
      <c r="E48" s="179">
        <v>17019667</v>
      </c>
      <c r="F48" s="179">
        <v>17019667</v>
      </c>
      <c r="G48" s="179">
        <v>4666200</v>
      </c>
      <c r="H48" s="179">
        <v>517262.9</v>
      </c>
      <c r="I48" s="179">
        <v>2188700</v>
      </c>
      <c r="J48" s="179">
        <v>0</v>
      </c>
      <c r="K48" s="179">
        <v>0</v>
      </c>
      <c r="L48" s="179">
        <v>0</v>
      </c>
      <c r="M48" s="179">
        <v>14313704.1</v>
      </c>
      <c r="N48" s="179">
        <v>1960237.1</v>
      </c>
    </row>
    <row r="49" spans="1:14" s="156" customFormat="1" x14ac:dyDescent="0.25">
      <c r="A49" s="156" t="s">
        <v>542</v>
      </c>
      <c r="B49" s="156" t="s">
        <v>332</v>
      </c>
      <c r="C49" s="156" t="s">
        <v>333</v>
      </c>
      <c r="D49" s="156" t="s">
        <v>541</v>
      </c>
      <c r="E49" s="179">
        <v>300000</v>
      </c>
      <c r="F49" s="179">
        <v>300000</v>
      </c>
      <c r="G49" s="179">
        <v>0</v>
      </c>
      <c r="H49" s="179">
        <v>0</v>
      </c>
      <c r="I49" s="179">
        <v>0</v>
      </c>
      <c r="J49" s="179">
        <v>0</v>
      </c>
      <c r="K49" s="179">
        <v>0</v>
      </c>
      <c r="L49" s="179">
        <v>0</v>
      </c>
      <c r="M49" s="179">
        <v>300000</v>
      </c>
      <c r="N49" s="179">
        <v>0</v>
      </c>
    </row>
    <row r="50" spans="1:14" s="156" customFormat="1" x14ac:dyDescent="0.25">
      <c r="A50" s="156" t="s">
        <v>542</v>
      </c>
      <c r="B50" s="156" t="s">
        <v>182</v>
      </c>
      <c r="C50" s="156" t="s">
        <v>183</v>
      </c>
      <c r="D50" s="156" t="s">
        <v>541</v>
      </c>
      <c r="E50" s="179">
        <v>9066667</v>
      </c>
      <c r="F50" s="179">
        <v>9066667</v>
      </c>
      <c r="G50" s="179">
        <v>2500000</v>
      </c>
      <c r="H50" s="179">
        <v>0</v>
      </c>
      <c r="I50" s="179">
        <v>547500</v>
      </c>
      <c r="J50" s="179">
        <v>0</v>
      </c>
      <c r="K50" s="179">
        <v>0</v>
      </c>
      <c r="L50" s="179">
        <v>0</v>
      </c>
      <c r="M50" s="179">
        <v>8519167</v>
      </c>
      <c r="N50" s="179">
        <v>1952500</v>
      </c>
    </row>
    <row r="51" spans="1:14" s="156" customFormat="1" x14ac:dyDescent="0.25">
      <c r="A51" s="156" t="s">
        <v>542</v>
      </c>
      <c r="B51" s="156" t="s">
        <v>186</v>
      </c>
      <c r="C51" s="156" t="s">
        <v>187</v>
      </c>
      <c r="D51" s="156" t="s">
        <v>541</v>
      </c>
      <c r="E51" s="179">
        <v>2900000</v>
      </c>
      <c r="F51" s="179">
        <v>2900000</v>
      </c>
      <c r="G51" s="179">
        <v>1641200</v>
      </c>
      <c r="H51" s="179">
        <v>0</v>
      </c>
      <c r="I51" s="179">
        <v>1641200</v>
      </c>
      <c r="J51" s="179">
        <v>0</v>
      </c>
      <c r="K51" s="179">
        <v>0</v>
      </c>
      <c r="L51" s="179">
        <v>0</v>
      </c>
      <c r="M51" s="179">
        <v>1258800</v>
      </c>
      <c r="N51" s="179">
        <v>0</v>
      </c>
    </row>
    <row r="52" spans="1:14" s="156" customFormat="1" x14ac:dyDescent="0.25">
      <c r="A52" s="156" t="s">
        <v>542</v>
      </c>
      <c r="B52" s="156" t="s">
        <v>188</v>
      </c>
      <c r="C52" s="156" t="s">
        <v>189</v>
      </c>
      <c r="D52" s="156" t="s">
        <v>541</v>
      </c>
      <c r="E52" s="179">
        <v>393000</v>
      </c>
      <c r="F52" s="179">
        <v>393000</v>
      </c>
      <c r="G52" s="179">
        <v>0</v>
      </c>
      <c r="H52" s="179">
        <v>0</v>
      </c>
      <c r="I52" s="179">
        <v>0</v>
      </c>
      <c r="J52" s="179">
        <v>0</v>
      </c>
      <c r="K52" s="179">
        <v>0</v>
      </c>
      <c r="L52" s="179">
        <v>0</v>
      </c>
      <c r="M52" s="179">
        <v>393000</v>
      </c>
      <c r="N52" s="179">
        <v>0</v>
      </c>
    </row>
    <row r="53" spans="1:14" s="156" customFormat="1" x14ac:dyDescent="0.25">
      <c r="A53" s="156" t="s">
        <v>542</v>
      </c>
      <c r="B53" s="156" t="s">
        <v>190</v>
      </c>
      <c r="C53" s="156" t="s">
        <v>191</v>
      </c>
      <c r="D53" s="156" t="s">
        <v>541</v>
      </c>
      <c r="E53" s="179">
        <v>4360000</v>
      </c>
      <c r="F53" s="179">
        <v>4360000</v>
      </c>
      <c r="G53" s="179">
        <v>525000</v>
      </c>
      <c r="H53" s="179">
        <v>517262.9</v>
      </c>
      <c r="I53" s="179">
        <v>0</v>
      </c>
      <c r="J53" s="179">
        <v>0</v>
      </c>
      <c r="K53" s="179">
        <v>0</v>
      </c>
      <c r="L53" s="179">
        <v>0</v>
      </c>
      <c r="M53" s="179">
        <v>3842737.1</v>
      </c>
      <c r="N53" s="179">
        <v>7737.1</v>
      </c>
    </row>
    <row r="54" spans="1:14" s="156" customFormat="1" x14ac:dyDescent="0.25">
      <c r="A54" s="156" t="s">
        <v>542</v>
      </c>
      <c r="B54" s="156" t="s">
        <v>192</v>
      </c>
      <c r="C54" s="156" t="s">
        <v>193</v>
      </c>
      <c r="D54" s="156" t="s">
        <v>541</v>
      </c>
      <c r="E54" s="179">
        <v>681819</v>
      </c>
      <c r="F54" s="179">
        <v>681819</v>
      </c>
      <c r="G54" s="179">
        <v>0</v>
      </c>
      <c r="H54" s="179">
        <v>0</v>
      </c>
      <c r="I54" s="179">
        <v>1250684</v>
      </c>
      <c r="J54" s="179">
        <v>0</v>
      </c>
      <c r="K54" s="179">
        <v>0</v>
      </c>
      <c r="L54" s="179">
        <v>0</v>
      </c>
      <c r="M54" s="183">
        <v>-568865</v>
      </c>
      <c r="N54" s="183">
        <v>-1250684</v>
      </c>
    </row>
    <row r="55" spans="1:14" s="156" customFormat="1" x14ac:dyDescent="0.25">
      <c r="A55" s="156" t="s">
        <v>542</v>
      </c>
      <c r="B55" s="156" t="s">
        <v>194</v>
      </c>
      <c r="C55" s="156" t="s">
        <v>195</v>
      </c>
      <c r="D55" s="156" t="s">
        <v>541</v>
      </c>
      <c r="E55" s="179">
        <v>681819</v>
      </c>
      <c r="F55" s="179">
        <v>681819</v>
      </c>
      <c r="G55" s="179">
        <v>0</v>
      </c>
      <c r="H55" s="179">
        <v>0</v>
      </c>
      <c r="I55" s="179">
        <v>1250684</v>
      </c>
      <c r="J55" s="179">
        <v>0</v>
      </c>
      <c r="K55" s="179">
        <v>0</v>
      </c>
      <c r="L55" s="179">
        <v>0</v>
      </c>
      <c r="M55" s="183">
        <v>-568865</v>
      </c>
      <c r="N55" s="183">
        <v>-1250684</v>
      </c>
    </row>
    <row r="56" spans="1:14" s="156" customFormat="1" x14ac:dyDescent="0.25">
      <c r="A56" s="156" t="s">
        <v>542</v>
      </c>
      <c r="B56" s="156" t="s">
        <v>196</v>
      </c>
      <c r="C56" s="156" t="s">
        <v>197</v>
      </c>
      <c r="D56" s="156" t="s">
        <v>541</v>
      </c>
      <c r="E56" s="179">
        <v>1000000</v>
      </c>
      <c r="F56" s="179">
        <v>1000000</v>
      </c>
      <c r="G56" s="179">
        <v>0</v>
      </c>
      <c r="H56" s="179">
        <v>0</v>
      </c>
      <c r="I56" s="179">
        <v>800000</v>
      </c>
      <c r="J56" s="179">
        <v>0</v>
      </c>
      <c r="K56" s="179">
        <v>0</v>
      </c>
      <c r="L56" s="179">
        <v>0</v>
      </c>
      <c r="M56" s="179">
        <v>200000</v>
      </c>
      <c r="N56" s="183">
        <v>-800000</v>
      </c>
    </row>
    <row r="57" spans="1:14" s="156" customFormat="1" x14ac:dyDescent="0.25">
      <c r="A57" s="156" t="s">
        <v>542</v>
      </c>
      <c r="B57" s="156" t="s">
        <v>198</v>
      </c>
      <c r="C57" s="156" t="s">
        <v>199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800000</v>
      </c>
      <c r="J57" s="179">
        <v>0</v>
      </c>
      <c r="K57" s="179">
        <v>0</v>
      </c>
      <c r="L57" s="179">
        <v>0</v>
      </c>
      <c r="M57" s="179">
        <v>200000</v>
      </c>
      <c r="N57" s="183">
        <v>-800000</v>
      </c>
    </row>
    <row r="58" spans="1:14" s="156" customFormat="1" x14ac:dyDescent="0.25">
      <c r="A58" s="156" t="s">
        <v>542</v>
      </c>
      <c r="B58" s="156" t="s">
        <v>200</v>
      </c>
      <c r="C58" s="156" t="s">
        <v>201</v>
      </c>
      <c r="D58" s="156" t="s">
        <v>541</v>
      </c>
      <c r="E58" s="179">
        <v>42229000</v>
      </c>
      <c r="F58" s="179">
        <v>42229000</v>
      </c>
      <c r="G58" s="179">
        <v>26641000</v>
      </c>
      <c r="H58" s="179">
        <v>0</v>
      </c>
      <c r="I58" s="179">
        <v>2790889.8</v>
      </c>
      <c r="J58" s="179">
        <v>84624</v>
      </c>
      <c r="K58" s="179">
        <v>290398</v>
      </c>
      <c r="L58" s="179">
        <v>290398</v>
      </c>
      <c r="M58" s="179">
        <v>39063088.200000003</v>
      </c>
      <c r="N58" s="179">
        <v>23475088.199999999</v>
      </c>
    </row>
    <row r="59" spans="1:14" s="156" customFormat="1" x14ac:dyDescent="0.25">
      <c r="A59" s="156" t="s">
        <v>542</v>
      </c>
      <c r="B59" s="156" t="s">
        <v>202</v>
      </c>
      <c r="C59" s="156" t="s">
        <v>203</v>
      </c>
      <c r="D59" s="156" t="s">
        <v>541</v>
      </c>
      <c r="E59" s="179">
        <v>17137000</v>
      </c>
      <c r="F59" s="179">
        <v>17137000</v>
      </c>
      <c r="G59" s="179">
        <v>2026000</v>
      </c>
      <c r="H59" s="179">
        <v>0</v>
      </c>
      <c r="I59" s="179">
        <v>1224539.8</v>
      </c>
      <c r="J59" s="179">
        <v>0</v>
      </c>
      <c r="K59" s="179">
        <v>290398</v>
      </c>
      <c r="L59" s="179">
        <v>290398</v>
      </c>
      <c r="M59" s="179">
        <v>15622062.199999999</v>
      </c>
      <c r="N59" s="179">
        <v>511062.2</v>
      </c>
    </row>
    <row r="60" spans="1:14" s="156" customFormat="1" x14ac:dyDescent="0.25">
      <c r="A60" s="156" t="s">
        <v>542</v>
      </c>
      <c r="B60" s="156" t="s">
        <v>204</v>
      </c>
      <c r="C60" s="156" t="s">
        <v>205</v>
      </c>
      <c r="D60" s="156" t="s">
        <v>541</v>
      </c>
      <c r="E60" s="179">
        <v>11100000</v>
      </c>
      <c r="F60" s="179">
        <v>11100000</v>
      </c>
      <c r="G60" s="179">
        <v>1900000</v>
      </c>
      <c r="H60" s="179">
        <v>0</v>
      </c>
      <c r="I60" s="179">
        <v>1224539.8</v>
      </c>
      <c r="J60" s="179">
        <v>0</v>
      </c>
      <c r="K60" s="179">
        <v>290398</v>
      </c>
      <c r="L60" s="179">
        <v>290398</v>
      </c>
      <c r="M60" s="179">
        <v>9585062.1999999993</v>
      </c>
      <c r="N60" s="179">
        <v>385062.2</v>
      </c>
    </row>
    <row r="61" spans="1:14" s="156" customFormat="1" x14ac:dyDescent="0.25">
      <c r="A61" s="156" t="s">
        <v>542</v>
      </c>
      <c r="B61" s="156" t="s">
        <v>206</v>
      </c>
      <c r="C61" s="156" t="s">
        <v>207</v>
      </c>
      <c r="D61" s="156" t="s">
        <v>541</v>
      </c>
      <c r="E61" s="179">
        <v>5000000</v>
      </c>
      <c r="F61" s="179">
        <v>5000000</v>
      </c>
      <c r="G61" s="179">
        <v>0</v>
      </c>
      <c r="H61" s="179">
        <v>0</v>
      </c>
      <c r="I61" s="179">
        <v>0</v>
      </c>
      <c r="J61" s="179">
        <v>0</v>
      </c>
      <c r="K61" s="179">
        <v>0</v>
      </c>
      <c r="L61" s="179">
        <v>0</v>
      </c>
      <c r="M61" s="179">
        <v>5000000</v>
      </c>
      <c r="N61" s="179">
        <v>0</v>
      </c>
    </row>
    <row r="62" spans="1:14" s="156" customFormat="1" x14ac:dyDescent="0.25">
      <c r="A62" s="156" t="s">
        <v>542</v>
      </c>
      <c r="B62" s="156" t="s">
        <v>208</v>
      </c>
      <c r="C62" s="156" t="s">
        <v>209</v>
      </c>
      <c r="D62" s="156" t="s">
        <v>541</v>
      </c>
      <c r="E62" s="179">
        <v>126000</v>
      </c>
      <c r="F62" s="179">
        <v>126000</v>
      </c>
      <c r="G62" s="179">
        <v>126000</v>
      </c>
      <c r="H62" s="179">
        <v>0</v>
      </c>
      <c r="I62" s="179">
        <v>0</v>
      </c>
      <c r="J62" s="179">
        <v>0</v>
      </c>
      <c r="K62" s="179">
        <v>0</v>
      </c>
      <c r="L62" s="179">
        <v>0</v>
      </c>
      <c r="M62" s="179">
        <v>126000</v>
      </c>
      <c r="N62" s="179">
        <v>126000</v>
      </c>
    </row>
    <row r="63" spans="1:14" s="156" customFormat="1" x14ac:dyDescent="0.25">
      <c r="A63" s="156" t="s">
        <v>542</v>
      </c>
      <c r="B63" s="156" t="s">
        <v>210</v>
      </c>
      <c r="C63" s="156" t="s">
        <v>211</v>
      </c>
      <c r="D63" s="156" t="s">
        <v>541</v>
      </c>
      <c r="E63" s="179">
        <v>911000</v>
      </c>
      <c r="F63" s="179">
        <v>911000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911000</v>
      </c>
      <c r="N63" s="179">
        <v>0</v>
      </c>
    </row>
    <row r="64" spans="1:14" s="156" customFormat="1" x14ac:dyDescent="0.25">
      <c r="A64" s="156" t="s">
        <v>542</v>
      </c>
      <c r="B64" s="156" t="s">
        <v>212</v>
      </c>
      <c r="C64" s="156" t="s">
        <v>213</v>
      </c>
      <c r="D64" s="156" t="s">
        <v>541</v>
      </c>
      <c r="E64" s="179">
        <v>3000000</v>
      </c>
      <c r="F64" s="179">
        <v>3000000</v>
      </c>
      <c r="G64" s="179">
        <v>3000000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3000000</v>
      </c>
      <c r="N64" s="179">
        <v>3000000</v>
      </c>
    </row>
    <row r="65" spans="1:14" s="156" customFormat="1" x14ac:dyDescent="0.25">
      <c r="A65" s="156" t="s">
        <v>542</v>
      </c>
      <c r="B65" s="156" t="s">
        <v>214</v>
      </c>
      <c r="C65" s="156" t="s">
        <v>215</v>
      </c>
      <c r="D65" s="156" t="s">
        <v>541</v>
      </c>
      <c r="E65" s="179">
        <v>3000000</v>
      </c>
      <c r="F65" s="179">
        <v>3000000</v>
      </c>
      <c r="G65" s="179">
        <v>3000000</v>
      </c>
      <c r="H65" s="179">
        <v>0</v>
      </c>
      <c r="I65" s="179">
        <v>0</v>
      </c>
      <c r="J65" s="179">
        <v>0</v>
      </c>
      <c r="K65" s="179">
        <v>0</v>
      </c>
      <c r="L65" s="179">
        <v>0</v>
      </c>
      <c r="M65" s="179">
        <v>3000000</v>
      </c>
      <c r="N65" s="179">
        <v>3000000</v>
      </c>
    </row>
    <row r="66" spans="1:14" s="156" customFormat="1" x14ac:dyDescent="0.25">
      <c r="A66" s="156" t="s">
        <v>542</v>
      </c>
      <c r="B66" s="156" t="s">
        <v>216</v>
      </c>
      <c r="C66" s="156" t="s">
        <v>217</v>
      </c>
      <c r="D66" s="156" t="s">
        <v>541</v>
      </c>
      <c r="E66" s="179">
        <v>936000</v>
      </c>
      <c r="F66" s="179">
        <v>936000</v>
      </c>
      <c r="G66" s="179">
        <v>771000</v>
      </c>
      <c r="H66" s="179">
        <v>0</v>
      </c>
      <c r="I66" s="179">
        <v>0</v>
      </c>
      <c r="J66" s="179">
        <v>0</v>
      </c>
      <c r="K66" s="179">
        <v>0</v>
      </c>
      <c r="L66" s="179">
        <v>0</v>
      </c>
      <c r="M66" s="179">
        <v>936000</v>
      </c>
      <c r="N66" s="179">
        <v>771000</v>
      </c>
    </row>
    <row r="67" spans="1:14" s="156" customFormat="1" x14ac:dyDescent="0.25">
      <c r="A67" s="156" t="s">
        <v>542</v>
      </c>
      <c r="B67" s="156" t="s">
        <v>220</v>
      </c>
      <c r="C67" s="156" t="s">
        <v>221</v>
      </c>
      <c r="D67" s="156" t="s">
        <v>541</v>
      </c>
      <c r="E67" s="179">
        <v>771000</v>
      </c>
      <c r="F67" s="179">
        <v>771000</v>
      </c>
      <c r="G67" s="179">
        <v>771000</v>
      </c>
      <c r="H67" s="179">
        <v>0</v>
      </c>
      <c r="I67" s="179">
        <v>0</v>
      </c>
      <c r="J67" s="179">
        <v>0</v>
      </c>
      <c r="K67" s="179">
        <v>0</v>
      </c>
      <c r="L67" s="179">
        <v>0</v>
      </c>
      <c r="M67" s="179">
        <v>771000</v>
      </c>
      <c r="N67" s="179">
        <v>771000</v>
      </c>
    </row>
    <row r="68" spans="1:14" s="156" customFormat="1" x14ac:dyDescent="0.25">
      <c r="A68" s="156" t="s">
        <v>542</v>
      </c>
      <c r="B68" s="156" t="s">
        <v>224</v>
      </c>
      <c r="C68" s="156" t="s">
        <v>225</v>
      </c>
      <c r="D68" s="156" t="s">
        <v>541</v>
      </c>
      <c r="E68" s="179">
        <v>165000</v>
      </c>
      <c r="F68" s="179">
        <v>165000</v>
      </c>
      <c r="G68" s="179">
        <v>0</v>
      </c>
      <c r="H68" s="179">
        <v>0</v>
      </c>
      <c r="I68" s="179">
        <v>0</v>
      </c>
      <c r="J68" s="179">
        <v>0</v>
      </c>
      <c r="K68" s="179">
        <v>0</v>
      </c>
      <c r="L68" s="179">
        <v>0</v>
      </c>
      <c r="M68" s="179">
        <v>165000</v>
      </c>
      <c r="N68" s="179">
        <v>0</v>
      </c>
    </row>
    <row r="69" spans="1:14" s="156" customFormat="1" x14ac:dyDescent="0.25">
      <c r="A69" s="156" t="s">
        <v>542</v>
      </c>
      <c r="B69" s="156" t="s">
        <v>228</v>
      </c>
      <c r="C69" s="156" t="s">
        <v>229</v>
      </c>
      <c r="D69" s="156" t="s">
        <v>541</v>
      </c>
      <c r="E69" s="179">
        <v>312000</v>
      </c>
      <c r="F69" s="179">
        <v>312000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312000</v>
      </c>
      <c r="N69" s="179">
        <v>0</v>
      </c>
    </row>
    <row r="70" spans="1:14" s="156" customFormat="1" x14ac:dyDescent="0.25">
      <c r="A70" s="156" t="s">
        <v>542</v>
      </c>
      <c r="B70" s="156" t="s">
        <v>230</v>
      </c>
      <c r="C70" s="156" t="s">
        <v>231</v>
      </c>
      <c r="D70" s="156" t="s">
        <v>541</v>
      </c>
      <c r="E70" s="179">
        <v>206000</v>
      </c>
      <c r="F70" s="179">
        <v>206000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206000</v>
      </c>
      <c r="N70" s="179">
        <v>0</v>
      </c>
    </row>
    <row r="71" spans="1:14" s="156" customFormat="1" x14ac:dyDescent="0.25">
      <c r="A71" s="156" t="s">
        <v>542</v>
      </c>
      <c r="B71" s="156" t="s">
        <v>232</v>
      </c>
      <c r="C71" s="156" t="s">
        <v>233</v>
      </c>
      <c r="D71" s="156" t="s">
        <v>541</v>
      </c>
      <c r="E71" s="179">
        <v>106000</v>
      </c>
      <c r="F71" s="179">
        <v>106000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106000</v>
      </c>
      <c r="N71" s="179">
        <v>0</v>
      </c>
    </row>
    <row r="72" spans="1:14" s="156" customFormat="1" x14ac:dyDescent="0.25">
      <c r="A72" s="156" t="s">
        <v>542</v>
      </c>
      <c r="B72" s="156" t="s">
        <v>234</v>
      </c>
      <c r="C72" s="156" t="s">
        <v>601</v>
      </c>
      <c r="D72" s="156" t="s">
        <v>541</v>
      </c>
      <c r="E72" s="179">
        <v>20844000</v>
      </c>
      <c r="F72" s="179">
        <v>20844000</v>
      </c>
      <c r="G72" s="179">
        <v>20844000</v>
      </c>
      <c r="H72" s="179">
        <v>0</v>
      </c>
      <c r="I72" s="179">
        <v>1566350</v>
      </c>
      <c r="J72" s="179">
        <v>84624</v>
      </c>
      <c r="K72" s="179">
        <v>0</v>
      </c>
      <c r="L72" s="179">
        <v>0</v>
      </c>
      <c r="M72" s="179">
        <v>19193026</v>
      </c>
      <c r="N72" s="179">
        <v>19193026</v>
      </c>
    </row>
    <row r="73" spans="1:14" s="156" customFormat="1" x14ac:dyDescent="0.25">
      <c r="A73" s="156" t="s">
        <v>542</v>
      </c>
      <c r="B73" s="156" t="s">
        <v>235</v>
      </c>
      <c r="C73" s="156" t="s">
        <v>236</v>
      </c>
      <c r="D73" s="156" t="s">
        <v>541</v>
      </c>
      <c r="E73" s="179">
        <v>3000000</v>
      </c>
      <c r="F73" s="179">
        <v>3000000</v>
      </c>
      <c r="G73" s="179">
        <v>3000000</v>
      </c>
      <c r="H73" s="179">
        <v>0</v>
      </c>
      <c r="I73" s="179">
        <v>0</v>
      </c>
      <c r="J73" s="179">
        <v>84624</v>
      </c>
      <c r="K73" s="179">
        <v>0</v>
      </c>
      <c r="L73" s="179">
        <v>0</v>
      </c>
      <c r="M73" s="179">
        <v>2915376</v>
      </c>
      <c r="N73" s="179">
        <v>2915376</v>
      </c>
    </row>
    <row r="74" spans="1:14" s="156" customFormat="1" x14ac:dyDescent="0.25">
      <c r="A74" s="156" t="s">
        <v>542</v>
      </c>
      <c r="B74" s="156" t="s">
        <v>237</v>
      </c>
      <c r="C74" s="156" t="s">
        <v>238</v>
      </c>
      <c r="D74" s="156" t="s">
        <v>541</v>
      </c>
      <c r="E74" s="179">
        <v>271000</v>
      </c>
      <c r="F74" s="179">
        <v>271000</v>
      </c>
      <c r="G74" s="179">
        <v>271000</v>
      </c>
      <c r="H74" s="179">
        <v>0</v>
      </c>
      <c r="I74" s="179">
        <v>0</v>
      </c>
      <c r="J74" s="179">
        <v>0</v>
      </c>
      <c r="K74" s="179">
        <v>0</v>
      </c>
      <c r="L74" s="179">
        <v>0</v>
      </c>
      <c r="M74" s="179">
        <v>271000</v>
      </c>
      <c r="N74" s="179">
        <v>271000</v>
      </c>
    </row>
    <row r="75" spans="1:14" s="156" customFormat="1" x14ac:dyDescent="0.25">
      <c r="A75" s="156" t="s">
        <v>542</v>
      </c>
      <c r="B75" s="156" t="s">
        <v>239</v>
      </c>
      <c r="C75" s="156" t="s">
        <v>240</v>
      </c>
      <c r="D75" s="156" t="s">
        <v>541</v>
      </c>
      <c r="E75" s="179">
        <v>12000000</v>
      </c>
      <c r="F75" s="179">
        <v>12000000</v>
      </c>
      <c r="G75" s="179">
        <v>12000000</v>
      </c>
      <c r="H75" s="179">
        <v>0</v>
      </c>
      <c r="I75" s="179">
        <v>1566350</v>
      </c>
      <c r="J75" s="179">
        <v>0</v>
      </c>
      <c r="K75" s="179">
        <v>0</v>
      </c>
      <c r="L75" s="179">
        <v>0</v>
      </c>
      <c r="M75" s="179">
        <v>10433650</v>
      </c>
      <c r="N75" s="179">
        <v>10433650</v>
      </c>
    </row>
    <row r="76" spans="1:14" s="156" customFormat="1" x14ac:dyDescent="0.25">
      <c r="A76" s="156" t="s">
        <v>542</v>
      </c>
      <c r="B76" s="156" t="s">
        <v>241</v>
      </c>
      <c r="C76" s="156" t="s">
        <v>242</v>
      </c>
      <c r="D76" s="156" t="s">
        <v>541</v>
      </c>
      <c r="E76" s="179">
        <v>1445000</v>
      </c>
      <c r="F76" s="179">
        <v>1445000</v>
      </c>
      <c r="G76" s="179">
        <v>1445000</v>
      </c>
      <c r="H76" s="179">
        <v>0</v>
      </c>
      <c r="I76" s="179">
        <v>0</v>
      </c>
      <c r="J76" s="179">
        <v>0</v>
      </c>
      <c r="K76" s="179">
        <v>0</v>
      </c>
      <c r="L76" s="179">
        <v>0</v>
      </c>
      <c r="M76" s="179">
        <v>1445000</v>
      </c>
      <c r="N76" s="179">
        <v>1445000</v>
      </c>
    </row>
    <row r="77" spans="1:14" s="156" customFormat="1" x14ac:dyDescent="0.25">
      <c r="A77" s="156" t="s">
        <v>542</v>
      </c>
      <c r="B77" s="156" t="s">
        <v>243</v>
      </c>
      <c r="C77" s="156" t="s">
        <v>244</v>
      </c>
      <c r="D77" s="156" t="s">
        <v>541</v>
      </c>
      <c r="E77" s="179">
        <v>2500000</v>
      </c>
      <c r="F77" s="179">
        <v>2500000</v>
      </c>
      <c r="G77" s="179">
        <v>2500000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2500000</v>
      </c>
      <c r="N77" s="179">
        <v>2500000</v>
      </c>
    </row>
    <row r="78" spans="1:14" s="156" customFormat="1" x14ac:dyDescent="0.25">
      <c r="A78" s="156" t="s">
        <v>542</v>
      </c>
      <c r="B78" s="156" t="s">
        <v>245</v>
      </c>
      <c r="C78" s="156" t="s">
        <v>246</v>
      </c>
      <c r="D78" s="156" t="s">
        <v>541</v>
      </c>
      <c r="E78" s="179">
        <v>66000</v>
      </c>
      <c r="F78" s="179">
        <v>66000</v>
      </c>
      <c r="G78" s="179">
        <v>66000</v>
      </c>
      <c r="H78" s="179">
        <v>0</v>
      </c>
      <c r="I78" s="179">
        <v>0</v>
      </c>
      <c r="J78" s="179">
        <v>0</v>
      </c>
      <c r="K78" s="179">
        <v>0</v>
      </c>
      <c r="L78" s="179">
        <v>0</v>
      </c>
      <c r="M78" s="179">
        <v>66000</v>
      </c>
      <c r="N78" s="179">
        <v>66000</v>
      </c>
    </row>
    <row r="79" spans="1:14" s="156" customFormat="1" x14ac:dyDescent="0.25">
      <c r="A79" s="156" t="s">
        <v>542</v>
      </c>
      <c r="B79" s="156" t="s">
        <v>247</v>
      </c>
      <c r="C79" s="156" t="s">
        <v>248</v>
      </c>
      <c r="D79" s="156" t="s">
        <v>541</v>
      </c>
      <c r="E79" s="179">
        <v>562000</v>
      </c>
      <c r="F79" s="179">
        <v>562000</v>
      </c>
      <c r="G79" s="179">
        <v>562000</v>
      </c>
      <c r="H79" s="179">
        <v>0</v>
      </c>
      <c r="I79" s="179">
        <v>0</v>
      </c>
      <c r="J79" s="179">
        <v>0</v>
      </c>
      <c r="K79" s="179">
        <v>0</v>
      </c>
      <c r="L79" s="179">
        <v>0</v>
      </c>
      <c r="M79" s="179">
        <v>562000</v>
      </c>
      <c r="N79" s="179">
        <v>562000</v>
      </c>
    </row>
    <row r="80" spans="1:14" s="156" customFormat="1" x14ac:dyDescent="0.25">
      <c r="A80" s="156" t="s">
        <v>542</v>
      </c>
      <c r="B80" s="156" t="s">
        <v>249</v>
      </c>
      <c r="C80" s="156" t="s">
        <v>250</v>
      </c>
      <c r="D80" s="156" t="s">
        <v>541</v>
      </c>
      <c r="E80" s="179">
        <v>1000000</v>
      </c>
      <c r="F80" s="179">
        <v>1000000</v>
      </c>
      <c r="G80" s="179">
        <v>1000000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9">
        <v>1000000</v>
      </c>
      <c r="N80" s="179">
        <v>1000000</v>
      </c>
    </row>
    <row r="81" spans="1:14" s="156" customFormat="1" x14ac:dyDescent="0.25">
      <c r="A81" s="156" t="s">
        <v>542</v>
      </c>
      <c r="B81" s="156" t="s">
        <v>251</v>
      </c>
      <c r="C81" s="156" t="s">
        <v>252</v>
      </c>
      <c r="D81" s="156" t="s">
        <v>541</v>
      </c>
      <c r="E81" s="179">
        <v>731283000</v>
      </c>
      <c r="F81" s="179">
        <v>731283000</v>
      </c>
      <c r="G81" s="179">
        <v>214777250</v>
      </c>
      <c r="H81" s="179">
        <v>0</v>
      </c>
      <c r="I81" s="179">
        <v>121077337.36</v>
      </c>
      <c r="J81" s="179">
        <v>0</v>
      </c>
      <c r="K81" s="179">
        <v>84053778.640000001</v>
      </c>
      <c r="L81" s="179">
        <v>73975473.180000007</v>
      </c>
      <c r="M81" s="179">
        <v>526151884</v>
      </c>
      <c r="N81" s="179">
        <v>9646134</v>
      </c>
    </row>
    <row r="82" spans="1:14" s="156" customFormat="1" x14ac:dyDescent="0.25">
      <c r="A82" s="156" t="s">
        <v>542</v>
      </c>
      <c r="B82" s="156" t="s">
        <v>253</v>
      </c>
      <c r="C82" s="156" t="s">
        <v>254</v>
      </c>
      <c r="D82" s="156" t="s">
        <v>541</v>
      </c>
      <c r="E82" s="179">
        <v>268185000</v>
      </c>
      <c r="F82" s="179">
        <v>268185000</v>
      </c>
      <c r="G82" s="179">
        <v>79185000</v>
      </c>
      <c r="H82" s="179">
        <v>0</v>
      </c>
      <c r="I82" s="179">
        <v>38819673.32</v>
      </c>
      <c r="J82" s="179">
        <v>0</v>
      </c>
      <c r="K82" s="179">
        <v>40365326.68</v>
      </c>
      <c r="L82" s="179">
        <v>40365326.68</v>
      </c>
      <c r="M82" s="179">
        <v>189000000</v>
      </c>
      <c r="N82" s="179">
        <v>0</v>
      </c>
    </row>
    <row r="83" spans="1:14" s="156" customFormat="1" x14ac:dyDescent="0.25">
      <c r="A83" s="156" t="s">
        <v>542</v>
      </c>
      <c r="B83" s="156" t="s">
        <v>255</v>
      </c>
      <c r="C83" s="156" t="s">
        <v>256</v>
      </c>
      <c r="D83" s="156" t="s">
        <v>541</v>
      </c>
      <c r="E83" s="179">
        <v>2000000</v>
      </c>
      <c r="F83" s="179">
        <v>2000000</v>
      </c>
      <c r="G83" s="179">
        <v>2000000</v>
      </c>
      <c r="H83" s="179">
        <v>0</v>
      </c>
      <c r="I83" s="179">
        <v>0</v>
      </c>
      <c r="J83" s="179">
        <v>0</v>
      </c>
      <c r="K83" s="179">
        <v>2000000</v>
      </c>
      <c r="L83" s="179">
        <v>2000000</v>
      </c>
      <c r="M83" s="179">
        <v>0</v>
      </c>
      <c r="N83" s="179">
        <v>0</v>
      </c>
    </row>
    <row r="84" spans="1:14" s="156" customFormat="1" x14ac:dyDescent="0.25">
      <c r="A84" s="156" t="s">
        <v>542</v>
      </c>
      <c r="B84" s="156" t="s">
        <v>257</v>
      </c>
      <c r="C84" s="156" t="s">
        <v>258</v>
      </c>
      <c r="D84" s="156" t="s">
        <v>541</v>
      </c>
      <c r="E84" s="179">
        <v>250000000</v>
      </c>
      <c r="F84" s="179">
        <v>250000000</v>
      </c>
      <c r="G84" s="179">
        <v>61000000</v>
      </c>
      <c r="H84" s="179">
        <v>0</v>
      </c>
      <c r="I84" s="179">
        <v>23745187.32</v>
      </c>
      <c r="J84" s="179">
        <v>0</v>
      </c>
      <c r="K84" s="179">
        <v>37254812.68</v>
      </c>
      <c r="L84" s="179">
        <v>37254812.68</v>
      </c>
      <c r="M84" s="179">
        <v>189000000</v>
      </c>
      <c r="N84" s="179">
        <v>0</v>
      </c>
    </row>
    <row r="85" spans="1:14" s="156" customFormat="1" x14ac:dyDescent="0.25">
      <c r="A85" s="156" t="s">
        <v>542</v>
      </c>
      <c r="B85" s="156" t="s">
        <v>259</v>
      </c>
      <c r="C85" s="156" t="s">
        <v>602</v>
      </c>
      <c r="D85" s="156" t="s">
        <v>541</v>
      </c>
      <c r="E85" s="179">
        <v>13470000</v>
      </c>
      <c r="F85" s="179">
        <v>13470000</v>
      </c>
      <c r="G85" s="179">
        <v>13470000</v>
      </c>
      <c r="H85" s="179">
        <v>0</v>
      </c>
      <c r="I85" s="179">
        <v>12545814</v>
      </c>
      <c r="J85" s="179">
        <v>0</v>
      </c>
      <c r="K85" s="179">
        <v>924186</v>
      </c>
      <c r="L85" s="179">
        <v>924186</v>
      </c>
      <c r="M85" s="179">
        <v>0</v>
      </c>
      <c r="N85" s="179">
        <v>0</v>
      </c>
    </row>
    <row r="86" spans="1:14" s="156" customFormat="1" x14ac:dyDescent="0.25">
      <c r="A86" s="156" t="s">
        <v>542</v>
      </c>
      <c r="B86" s="156" t="s">
        <v>260</v>
      </c>
      <c r="C86" s="156" t="s">
        <v>603</v>
      </c>
      <c r="D86" s="156" t="s">
        <v>541</v>
      </c>
      <c r="E86" s="179">
        <v>2715000</v>
      </c>
      <c r="F86" s="179">
        <v>2715000</v>
      </c>
      <c r="G86" s="179">
        <v>2715000</v>
      </c>
      <c r="H86" s="179">
        <v>0</v>
      </c>
      <c r="I86" s="179">
        <v>2528672</v>
      </c>
      <c r="J86" s="179">
        <v>0</v>
      </c>
      <c r="K86" s="179">
        <v>186328</v>
      </c>
      <c r="L86" s="179">
        <v>186328</v>
      </c>
      <c r="M86" s="179">
        <v>0</v>
      </c>
      <c r="N86" s="179">
        <v>0</v>
      </c>
    </row>
    <row r="87" spans="1:14" s="156" customFormat="1" x14ac:dyDescent="0.25">
      <c r="A87" s="156" t="s">
        <v>542</v>
      </c>
      <c r="B87" s="156" t="s">
        <v>261</v>
      </c>
      <c r="C87" s="156" t="s">
        <v>262</v>
      </c>
      <c r="D87" s="156" t="s">
        <v>541</v>
      </c>
      <c r="E87" s="179">
        <v>39757000</v>
      </c>
      <c r="F87" s="179">
        <v>39757000</v>
      </c>
      <c r="G87" s="179">
        <v>29757000</v>
      </c>
      <c r="H87" s="179">
        <v>0</v>
      </c>
      <c r="I87" s="179">
        <v>9921694.5399999991</v>
      </c>
      <c r="J87" s="179">
        <v>0</v>
      </c>
      <c r="K87" s="179">
        <v>10189171.460000001</v>
      </c>
      <c r="L87" s="179">
        <v>110866</v>
      </c>
      <c r="M87" s="179">
        <v>19646134</v>
      </c>
      <c r="N87" s="179">
        <v>9646134</v>
      </c>
    </row>
    <row r="88" spans="1:14" s="156" customFormat="1" x14ac:dyDescent="0.25">
      <c r="A88" s="156" t="s">
        <v>542</v>
      </c>
      <c r="B88" s="156" t="s">
        <v>263</v>
      </c>
      <c r="C88" s="156" t="s">
        <v>264</v>
      </c>
      <c r="D88" s="156" t="s">
        <v>541</v>
      </c>
      <c r="E88" s="179">
        <v>30000000</v>
      </c>
      <c r="F88" s="179">
        <v>30000000</v>
      </c>
      <c r="G88" s="179">
        <v>20000000</v>
      </c>
      <c r="H88" s="179">
        <v>0</v>
      </c>
      <c r="I88" s="179">
        <v>9921694.5399999991</v>
      </c>
      <c r="J88" s="179">
        <v>0</v>
      </c>
      <c r="K88" s="179">
        <v>10078305.460000001</v>
      </c>
      <c r="L88" s="179">
        <v>0</v>
      </c>
      <c r="M88" s="179">
        <v>10000000</v>
      </c>
      <c r="N88" s="179">
        <v>0</v>
      </c>
    </row>
    <row r="89" spans="1:14" s="156" customFormat="1" x14ac:dyDescent="0.25">
      <c r="A89" s="156" t="s">
        <v>542</v>
      </c>
      <c r="B89" s="156" t="s">
        <v>265</v>
      </c>
      <c r="C89" s="156" t="s">
        <v>266</v>
      </c>
      <c r="D89" s="156" t="s">
        <v>541</v>
      </c>
      <c r="E89" s="179">
        <v>9757000</v>
      </c>
      <c r="F89" s="179">
        <v>9757000</v>
      </c>
      <c r="G89" s="179">
        <v>9757000</v>
      </c>
      <c r="H89" s="179">
        <v>0</v>
      </c>
      <c r="I89" s="179">
        <v>0</v>
      </c>
      <c r="J89" s="179">
        <v>0</v>
      </c>
      <c r="K89" s="179">
        <v>110866</v>
      </c>
      <c r="L89" s="179">
        <v>110866</v>
      </c>
      <c r="M89" s="179">
        <v>9646134</v>
      </c>
      <c r="N89" s="179">
        <v>9646134</v>
      </c>
    </row>
    <row r="90" spans="1:14" s="156" customFormat="1" x14ac:dyDescent="0.25">
      <c r="A90" s="156" t="s">
        <v>542</v>
      </c>
      <c r="B90" s="156" t="s">
        <v>273</v>
      </c>
      <c r="C90" s="156" t="s">
        <v>274</v>
      </c>
      <c r="D90" s="156" t="s">
        <v>541</v>
      </c>
      <c r="E90" s="179">
        <v>423341000</v>
      </c>
      <c r="F90" s="179">
        <v>423341000</v>
      </c>
      <c r="G90" s="179">
        <v>105835250</v>
      </c>
      <c r="H90" s="179">
        <v>0</v>
      </c>
      <c r="I90" s="179">
        <v>72335969.5</v>
      </c>
      <c r="J90" s="179">
        <v>0</v>
      </c>
      <c r="K90" s="179">
        <v>33499280.5</v>
      </c>
      <c r="L90" s="179">
        <v>33499280.5</v>
      </c>
      <c r="M90" s="179">
        <v>317505750</v>
      </c>
      <c r="N90" s="179">
        <v>0</v>
      </c>
    </row>
    <row r="91" spans="1:14" s="156" customFormat="1" x14ac:dyDescent="0.25">
      <c r="A91" s="156" t="s">
        <v>542</v>
      </c>
      <c r="B91" s="156" t="s">
        <v>275</v>
      </c>
      <c r="C91" s="156" t="s">
        <v>276</v>
      </c>
      <c r="D91" s="156" t="s">
        <v>541</v>
      </c>
      <c r="E91" s="179">
        <v>406300000</v>
      </c>
      <c r="F91" s="179">
        <v>406300000</v>
      </c>
      <c r="G91" s="179">
        <v>88794250</v>
      </c>
      <c r="H91" s="179">
        <v>0</v>
      </c>
      <c r="I91" s="179">
        <v>58794250</v>
      </c>
      <c r="J91" s="179">
        <v>0</v>
      </c>
      <c r="K91" s="179">
        <v>30000000</v>
      </c>
      <c r="L91" s="179">
        <v>30000000</v>
      </c>
      <c r="M91" s="179">
        <v>317505750</v>
      </c>
      <c r="N91" s="179">
        <v>0</v>
      </c>
    </row>
    <row r="92" spans="1:14" s="156" customFormat="1" x14ac:dyDescent="0.25">
      <c r="A92" s="156" t="s">
        <v>542</v>
      </c>
      <c r="B92" s="156" t="s">
        <v>561</v>
      </c>
      <c r="C92" s="156" t="s">
        <v>584</v>
      </c>
      <c r="D92" s="156" t="s">
        <v>541</v>
      </c>
      <c r="E92" s="179">
        <v>13364000</v>
      </c>
      <c r="F92" s="179">
        <v>13364000</v>
      </c>
      <c r="G92" s="179">
        <v>13364000</v>
      </c>
      <c r="H92" s="179">
        <v>0</v>
      </c>
      <c r="I92" s="179">
        <v>13364000</v>
      </c>
      <c r="J92" s="179">
        <v>0</v>
      </c>
      <c r="K92" s="179">
        <v>0</v>
      </c>
      <c r="L92" s="179">
        <v>0</v>
      </c>
      <c r="M92" s="179">
        <v>0</v>
      </c>
      <c r="N92" s="179">
        <v>0</v>
      </c>
    </row>
    <row r="93" spans="1:14" s="156" customFormat="1" x14ac:dyDescent="0.25">
      <c r="A93" s="156" t="s">
        <v>542</v>
      </c>
      <c r="B93" s="156" t="s">
        <v>277</v>
      </c>
      <c r="C93" s="156" t="s">
        <v>278</v>
      </c>
      <c r="D93" s="156" t="s">
        <v>541</v>
      </c>
      <c r="E93" s="179">
        <v>3677000</v>
      </c>
      <c r="F93" s="179">
        <v>3677000</v>
      </c>
      <c r="G93" s="179">
        <v>3677000</v>
      </c>
      <c r="H93" s="179">
        <v>0</v>
      </c>
      <c r="I93" s="179">
        <v>177719.5</v>
      </c>
      <c r="J93" s="179">
        <v>0</v>
      </c>
      <c r="K93" s="179">
        <v>3499280.5</v>
      </c>
      <c r="L93" s="179">
        <v>3499280.5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279</v>
      </c>
      <c r="C94" s="156" t="s">
        <v>280</v>
      </c>
      <c r="D94" s="156" t="s">
        <v>543</v>
      </c>
      <c r="E94" s="179">
        <v>17098648</v>
      </c>
      <c r="F94" s="179">
        <v>17098648</v>
      </c>
      <c r="G94" s="179">
        <v>4274662</v>
      </c>
      <c r="H94" s="179">
        <v>0</v>
      </c>
      <c r="I94" s="179">
        <v>0</v>
      </c>
      <c r="J94" s="179">
        <v>0</v>
      </c>
      <c r="K94" s="179">
        <v>0</v>
      </c>
      <c r="L94" s="179">
        <v>0</v>
      </c>
      <c r="M94" s="179">
        <v>17098648</v>
      </c>
      <c r="N94" s="179">
        <v>4274662</v>
      </c>
    </row>
    <row r="95" spans="1:14" s="156" customFormat="1" x14ac:dyDescent="0.25">
      <c r="A95" s="156" t="s">
        <v>542</v>
      </c>
      <c r="B95" s="156" t="s">
        <v>281</v>
      </c>
      <c r="C95" s="156" t="s">
        <v>282</v>
      </c>
      <c r="D95" s="156" t="s">
        <v>543</v>
      </c>
      <c r="E95" s="179">
        <v>16598648</v>
      </c>
      <c r="F95" s="179">
        <v>16598648</v>
      </c>
      <c r="G95" s="179">
        <v>3774662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16598648</v>
      </c>
      <c r="N95" s="179">
        <v>3774662</v>
      </c>
    </row>
    <row r="96" spans="1:14" s="156" customFormat="1" x14ac:dyDescent="0.25">
      <c r="A96" s="156" t="s">
        <v>542</v>
      </c>
      <c r="B96" s="156" t="s">
        <v>283</v>
      </c>
      <c r="C96" s="156" t="s">
        <v>284</v>
      </c>
      <c r="D96" s="156" t="s">
        <v>543</v>
      </c>
      <c r="E96" s="179">
        <v>3000000</v>
      </c>
      <c r="F96" s="179">
        <v>3000000</v>
      </c>
      <c r="G96" s="179">
        <v>513662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3000000</v>
      </c>
      <c r="N96" s="179">
        <v>513662</v>
      </c>
    </row>
    <row r="97" spans="1:14" s="156" customFormat="1" x14ac:dyDescent="0.25">
      <c r="A97" s="156" t="s">
        <v>542</v>
      </c>
      <c r="B97" s="156" t="s">
        <v>285</v>
      </c>
      <c r="C97" s="156" t="s">
        <v>286</v>
      </c>
      <c r="D97" s="156" t="s">
        <v>543</v>
      </c>
      <c r="E97" s="179">
        <v>4000000</v>
      </c>
      <c r="F97" s="179">
        <v>4000000</v>
      </c>
      <c r="G97" s="179">
        <v>0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4000000</v>
      </c>
      <c r="N97" s="179">
        <v>0</v>
      </c>
    </row>
    <row r="98" spans="1:14" s="156" customFormat="1" x14ac:dyDescent="0.25">
      <c r="A98" s="156" t="s">
        <v>542</v>
      </c>
      <c r="B98" s="156" t="s">
        <v>287</v>
      </c>
      <c r="C98" s="156" t="s">
        <v>288</v>
      </c>
      <c r="D98" s="156" t="s">
        <v>543</v>
      </c>
      <c r="E98" s="179">
        <v>6337648</v>
      </c>
      <c r="F98" s="179">
        <v>6337648</v>
      </c>
      <c r="G98" s="179">
        <v>0</v>
      </c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6337648</v>
      </c>
      <c r="N98" s="179">
        <v>0</v>
      </c>
    </row>
    <row r="99" spans="1:14" s="156" customFormat="1" x14ac:dyDescent="0.25">
      <c r="A99" s="156" t="s">
        <v>542</v>
      </c>
      <c r="B99" s="156" t="s">
        <v>293</v>
      </c>
      <c r="C99" s="156" t="s">
        <v>294</v>
      </c>
      <c r="D99" s="156" t="s">
        <v>543</v>
      </c>
      <c r="E99" s="179">
        <v>2261000</v>
      </c>
      <c r="F99" s="179">
        <v>2261000</v>
      </c>
      <c r="G99" s="179">
        <v>2261000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2261000</v>
      </c>
      <c r="N99" s="179">
        <v>2261000</v>
      </c>
    </row>
    <row r="100" spans="1:14" s="156" customFormat="1" x14ac:dyDescent="0.25">
      <c r="A100" s="156" t="s">
        <v>542</v>
      </c>
      <c r="B100" s="156" t="s">
        <v>295</v>
      </c>
      <c r="C100" s="156" t="s">
        <v>296</v>
      </c>
      <c r="D100" s="156" t="s">
        <v>543</v>
      </c>
      <c r="E100" s="179">
        <v>1000000</v>
      </c>
      <c r="F100" s="179">
        <v>1000000</v>
      </c>
      <c r="G100" s="179">
        <v>1000000</v>
      </c>
      <c r="H100" s="179">
        <v>0</v>
      </c>
      <c r="I100" s="179">
        <v>0</v>
      </c>
      <c r="J100" s="179">
        <v>0</v>
      </c>
      <c r="K100" s="179">
        <v>0</v>
      </c>
      <c r="L100" s="179">
        <v>0</v>
      </c>
      <c r="M100" s="179">
        <v>1000000</v>
      </c>
      <c r="N100" s="179">
        <v>1000000</v>
      </c>
    </row>
    <row r="101" spans="1:14" s="156" customFormat="1" x14ac:dyDescent="0.25">
      <c r="A101" s="156" t="s">
        <v>542</v>
      </c>
      <c r="B101" s="156" t="s">
        <v>340</v>
      </c>
      <c r="C101" s="156" t="s">
        <v>341</v>
      </c>
      <c r="D101" s="156" t="s">
        <v>543</v>
      </c>
      <c r="E101" s="179">
        <v>500000</v>
      </c>
      <c r="F101" s="179">
        <v>500000</v>
      </c>
      <c r="G101" s="179">
        <v>500000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79">
        <v>500000</v>
      </c>
      <c r="N101" s="179">
        <v>500000</v>
      </c>
    </row>
    <row r="102" spans="1:14" s="156" customFormat="1" x14ac:dyDescent="0.25">
      <c r="A102" s="156" t="s">
        <v>542</v>
      </c>
      <c r="B102" s="156" t="s">
        <v>342</v>
      </c>
      <c r="C102" s="156" t="s">
        <v>343</v>
      </c>
      <c r="D102" s="156" t="s">
        <v>543</v>
      </c>
      <c r="E102" s="179">
        <v>500000</v>
      </c>
      <c r="F102" s="179">
        <v>500000</v>
      </c>
      <c r="G102" s="179">
        <v>500000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500000</v>
      </c>
      <c r="N102" s="179">
        <v>500000</v>
      </c>
    </row>
    <row r="103" spans="1:14" s="156" customFormat="1" x14ac:dyDescent="0.25">
      <c r="A103" s="156">
        <v>214780</v>
      </c>
      <c r="B103" s="156" t="s">
        <v>587</v>
      </c>
      <c r="C103" s="156" t="s">
        <v>587</v>
      </c>
      <c r="D103" s="156" t="s">
        <v>541</v>
      </c>
      <c r="E103" s="179">
        <v>1241247489</v>
      </c>
      <c r="F103" s="179">
        <v>1241247489</v>
      </c>
      <c r="G103" s="179">
        <v>1039928481.85</v>
      </c>
      <c r="H103" s="179">
        <v>0</v>
      </c>
      <c r="I103" s="179">
        <v>180361793.22</v>
      </c>
      <c r="J103" s="179">
        <v>0</v>
      </c>
      <c r="K103" s="182">
        <v>113368080.03</v>
      </c>
      <c r="L103" s="179">
        <v>104553199.81999999</v>
      </c>
      <c r="M103" s="179">
        <v>947517615.75</v>
      </c>
      <c r="N103" s="179">
        <v>746198608.60000002</v>
      </c>
    </row>
    <row r="104" spans="1:14" s="156" customFormat="1" x14ac:dyDescent="0.25">
      <c r="A104" s="156" t="s">
        <v>544</v>
      </c>
      <c r="B104" s="156" t="s">
        <v>92</v>
      </c>
      <c r="C104" s="156" t="s">
        <v>93</v>
      </c>
      <c r="D104" s="156" t="s">
        <v>541</v>
      </c>
      <c r="E104" s="179">
        <v>953910000</v>
      </c>
      <c r="F104" s="179">
        <v>953910000</v>
      </c>
      <c r="G104" s="179">
        <v>953910000</v>
      </c>
      <c r="H104" s="179">
        <v>0</v>
      </c>
      <c r="I104" s="179">
        <v>134825833</v>
      </c>
      <c r="J104" s="179">
        <v>0</v>
      </c>
      <c r="K104" s="179">
        <v>102959149.81999999</v>
      </c>
      <c r="L104" s="179">
        <v>102959149.81999999</v>
      </c>
      <c r="M104" s="179">
        <v>716125017.17999995</v>
      </c>
      <c r="N104" s="179">
        <v>716125017.17999995</v>
      </c>
    </row>
    <row r="105" spans="1:14" s="156" customFormat="1" x14ac:dyDescent="0.25">
      <c r="A105" s="156" t="s">
        <v>544</v>
      </c>
      <c r="B105" s="156" t="s">
        <v>94</v>
      </c>
      <c r="C105" s="156" t="s">
        <v>95</v>
      </c>
      <c r="D105" s="156" t="s">
        <v>541</v>
      </c>
      <c r="E105" s="179">
        <v>383841000</v>
      </c>
      <c r="F105" s="179">
        <v>383841000</v>
      </c>
      <c r="G105" s="179">
        <v>383841000</v>
      </c>
      <c r="H105" s="179">
        <v>0</v>
      </c>
      <c r="I105" s="179">
        <v>0</v>
      </c>
      <c r="J105" s="179">
        <v>0</v>
      </c>
      <c r="K105" s="179">
        <v>27409250</v>
      </c>
      <c r="L105" s="179">
        <v>27409250</v>
      </c>
      <c r="M105" s="179">
        <v>356431750</v>
      </c>
      <c r="N105" s="179">
        <v>356431750</v>
      </c>
    </row>
    <row r="106" spans="1:14" s="156" customFormat="1" x14ac:dyDescent="0.25">
      <c r="A106" s="156" t="s">
        <v>544</v>
      </c>
      <c r="B106" s="156" t="s">
        <v>96</v>
      </c>
      <c r="C106" s="156" t="s">
        <v>97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27409250</v>
      </c>
      <c r="L106" s="179">
        <v>27409250</v>
      </c>
      <c r="M106" s="179">
        <v>356431750</v>
      </c>
      <c r="N106" s="179">
        <v>356431750</v>
      </c>
    </row>
    <row r="107" spans="1:14" s="156" customFormat="1" x14ac:dyDescent="0.25">
      <c r="A107" s="156" t="s">
        <v>544</v>
      </c>
      <c r="B107" s="156" t="s">
        <v>102</v>
      </c>
      <c r="C107" s="156" t="s">
        <v>103</v>
      </c>
      <c r="D107" s="156" t="s">
        <v>541</v>
      </c>
      <c r="E107" s="179">
        <v>425514000</v>
      </c>
      <c r="F107" s="179">
        <v>425514000</v>
      </c>
      <c r="G107" s="179">
        <v>425514000</v>
      </c>
      <c r="H107" s="179">
        <v>0</v>
      </c>
      <c r="I107" s="179">
        <v>0</v>
      </c>
      <c r="J107" s="179">
        <v>0</v>
      </c>
      <c r="K107" s="179">
        <v>65820732.82</v>
      </c>
      <c r="L107" s="179">
        <v>65820732.82</v>
      </c>
      <c r="M107" s="179">
        <v>359693267.18000001</v>
      </c>
      <c r="N107" s="179">
        <v>359693267.18000001</v>
      </c>
    </row>
    <row r="108" spans="1:14" s="156" customFormat="1" x14ac:dyDescent="0.25">
      <c r="A108" s="156" t="s">
        <v>544</v>
      </c>
      <c r="B108" s="156" t="s">
        <v>104</v>
      </c>
      <c r="C108" s="156" t="s">
        <v>105</v>
      </c>
      <c r="D108" s="156" t="s">
        <v>541</v>
      </c>
      <c r="E108" s="179">
        <v>70660000</v>
      </c>
      <c r="F108" s="179">
        <v>70660000</v>
      </c>
      <c r="G108" s="179">
        <v>70660000</v>
      </c>
      <c r="H108" s="179">
        <v>0</v>
      </c>
      <c r="I108" s="179">
        <v>0</v>
      </c>
      <c r="J108" s="179">
        <v>0</v>
      </c>
      <c r="K108" s="179">
        <v>4805079.5</v>
      </c>
      <c r="L108" s="179">
        <v>4805079.5</v>
      </c>
      <c r="M108" s="179">
        <v>65854920.5</v>
      </c>
      <c r="N108" s="179">
        <v>65854920.5</v>
      </c>
    </row>
    <row r="109" spans="1:14" s="156" customFormat="1" x14ac:dyDescent="0.25">
      <c r="A109" s="156" t="s">
        <v>544</v>
      </c>
      <c r="B109" s="156" t="s">
        <v>106</v>
      </c>
      <c r="C109" s="156" t="s">
        <v>107</v>
      </c>
      <c r="D109" s="156" t="s">
        <v>541</v>
      </c>
      <c r="E109" s="179">
        <v>211191000</v>
      </c>
      <c r="F109" s="179">
        <v>211191000</v>
      </c>
      <c r="G109" s="179">
        <v>211191000</v>
      </c>
      <c r="H109" s="179">
        <v>0</v>
      </c>
      <c r="I109" s="179">
        <v>0</v>
      </c>
      <c r="J109" s="179">
        <v>0</v>
      </c>
      <c r="K109" s="179">
        <v>14058835</v>
      </c>
      <c r="L109" s="179">
        <v>14058835</v>
      </c>
      <c r="M109" s="179">
        <v>197132165</v>
      </c>
      <c r="N109" s="179">
        <v>197132165</v>
      </c>
    </row>
    <row r="110" spans="1:14" s="156" customFormat="1" x14ac:dyDescent="0.25">
      <c r="A110" s="156" t="s">
        <v>544</v>
      </c>
      <c r="B110" s="156" t="s">
        <v>108</v>
      </c>
      <c r="C110" s="156" t="s">
        <v>109</v>
      </c>
      <c r="D110" s="156" t="s">
        <v>541</v>
      </c>
      <c r="E110" s="179">
        <v>46480000</v>
      </c>
      <c r="F110" s="179">
        <v>46480000</v>
      </c>
      <c r="G110" s="179">
        <v>46480000</v>
      </c>
      <c r="H110" s="179">
        <v>0</v>
      </c>
      <c r="I110" s="179">
        <v>0</v>
      </c>
      <c r="J110" s="179">
        <v>0</v>
      </c>
      <c r="K110" s="179">
        <v>44448031.07</v>
      </c>
      <c r="L110" s="179">
        <v>44448031.07</v>
      </c>
      <c r="M110" s="179">
        <v>2031968.93</v>
      </c>
      <c r="N110" s="179">
        <v>2031968.93</v>
      </c>
    </row>
    <row r="111" spans="1:14" s="156" customFormat="1" x14ac:dyDescent="0.25">
      <c r="A111" s="156" t="s">
        <v>544</v>
      </c>
      <c r="B111" s="156" t="s">
        <v>110</v>
      </c>
      <c r="C111" s="156" t="s">
        <v>111</v>
      </c>
      <c r="D111" s="156" t="s">
        <v>541</v>
      </c>
      <c r="E111" s="179">
        <v>35665000</v>
      </c>
      <c r="F111" s="179">
        <v>35665000</v>
      </c>
      <c r="G111" s="179">
        <v>35665000</v>
      </c>
      <c r="H111" s="179">
        <v>0</v>
      </c>
      <c r="I111" s="179">
        <v>0</v>
      </c>
      <c r="J111" s="179">
        <v>0</v>
      </c>
      <c r="K111" s="179">
        <v>2508787.25</v>
      </c>
      <c r="L111" s="179">
        <v>2508787.25</v>
      </c>
      <c r="M111" s="179">
        <v>33156212.75</v>
      </c>
      <c r="N111" s="179">
        <v>33156212.75</v>
      </c>
    </row>
    <row r="112" spans="1:14" s="156" customFormat="1" x14ac:dyDescent="0.25">
      <c r="A112" s="156" t="s">
        <v>544</v>
      </c>
      <c r="B112" s="156" t="s">
        <v>112</v>
      </c>
      <c r="C112" s="156" t="s">
        <v>113</v>
      </c>
      <c r="D112" s="156" t="s">
        <v>543</v>
      </c>
      <c r="E112" s="179">
        <v>61518000</v>
      </c>
      <c r="F112" s="179">
        <v>61518000</v>
      </c>
      <c r="G112" s="179">
        <v>61518000</v>
      </c>
      <c r="H112" s="179">
        <v>0</v>
      </c>
      <c r="I112" s="179">
        <v>0</v>
      </c>
      <c r="J112" s="179">
        <v>0</v>
      </c>
      <c r="K112" s="179">
        <v>0</v>
      </c>
      <c r="L112" s="179">
        <v>0</v>
      </c>
      <c r="M112" s="179">
        <v>61518000</v>
      </c>
      <c r="N112" s="179">
        <v>61518000</v>
      </c>
    </row>
    <row r="113" spans="1:14" s="156" customFormat="1" x14ac:dyDescent="0.25">
      <c r="A113" s="156" t="s">
        <v>544</v>
      </c>
      <c r="B113" s="156" t="s">
        <v>114</v>
      </c>
      <c r="C113" s="156" t="s">
        <v>115</v>
      </c>
      <c r="D113" s="156" t="s">
        <v>541</v>
      </c>
      <c r="E113" s="179">
        <v>72913000</v>
      </c>
      <c r="F113" s="179">
        <v>72913000</v>
      </c>
      <c r="G113" s="179">
        <v>72913000</v>
      </c>
      <c r="H113" s="179">
        <v>0</v>
      </c>
      <c r="I113" s="179">
        <v>68004073</v>
      </c>
      <c r="J113" s="179">
        <v>0</v>
      </c>
      <c r="K113" s="179">
        <v>4908927</v>
      </c>
      <c r="L113" s="179">
        <v>4908927</v>
      </c>
      <c r="M113" s="179">
        <v>0</v>
      </c>
      <c r="N113" s="179">
        <v>0</v>
      </c>
    </row>
    <row r="114" spans="1:14" s="156" customFormat="1" x14ac:dyDescent="0.25">
      <c r="A114" s="156" t="s">
        <v>544</v>
      </c>
      <c r="B114" s="156" t="s">
        <v>301</v>
      </c>
      <c r="C114" s="156" t="s">
        <v>597</v>
      </c>
      <c r="D114" s="156" t="s">
        <v>541</v>
      </c>
      <c r="E114" s="179">
        <v>69174000</v>
      </c>
      <c r="F114" s="179">
        <v>69174000</v>
      </c>
      <c r="G114" s="179">
        <v>69174000</v>
      </c>
      <c r="H114" s="179">
        <v>0</v>
      </c>
      <c r="I114" s="179">
        <v>64516562</v>
      </c>
      <c r="J114" s="179">
        <v>0</v>
      </c>
      <c r="K114" s="179">
        <v>4657438</v>
      </c>
      <c r="L114" s="179">
        <v>4657438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302</v>
      </c>
      <c r="C115" s="156" t="s">
        <v>583</v>
      </c>
      <c r="D115" s="156" t="s">
        <v>541</v>
      </c>
      <c r="E115" s="179">
        <v>3739000</v>
      </c>
      <c r="F115" s="179">
        <v>3739000</v>
      </c>
      <c r="G115" s="179">
        <v>3739000</v>
      </c>
      <c r="H115" s="179">
        <v>0</v>
      </c>
      <c r="I115" s="179">
        <v>3487511</v>
      </c>
      <c r="J115" s="179">
        <v>0</v>
      </c>
      <c r="K115" s="179">
        <v>251489</v>
      </c>
      <c r="L115" s="179">
        <v>251489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118</v>
      </c>
      <c r="C116" s="156" t="s">
        <v>119</v>
      </c>
      <c r="D116" s="156" t="s">
        <v>541</v>
      </c>
      <c r="E116" s="179">
        <v>71642000</v>
      </c>
      <c r="F116" s="179">
        <v>71642000</v>
      </c>
      <c r="G116" s="179">
        <v>71642000</v>
      </c>
      <c r="H116" s="179">
        <v>0</v>
      </c>
      <c r="I116" s="179">
        <v>66821760</v>
      </c>
      <c r="J116" s="179">
        <v>0</v>
      </c>
      <c r="K116" s="179">
        <v>4820240</v>
      </c>
      <c r="L116" s="179">
        <v>4820240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303</v>
      </c>
      <c r="C117" s="156" t="s">
        <v>598</v>
      </c>
      <c r="D117" s="156" t="s">
        <v>541</v>
      </c>
      <c r="E117" s="179">
        <v>37990000</v>
      </c>
      <c r="F117" s="179">
        <v>37990000</v>
      </c>
      <c r="G117" s="179">
        <v>37990000</v>
      </c>
      <c r="H117" s="179">
        <v>0</v>
      </c>
      <c r="I117" s="179">
        <v>35433170</v>
      </c>
      <c r="J117" s="179">
        <v>0</v>
      </c>
      <c r="K117" s="179">
        <v>2556830</v>
      </c>
      <c r="L117" s="179">
        <v>2556830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304</v>
      </c>
      <c r="C118" s="156" t="s">
        <v>599</v>
      </c>
      <c r="D118" s="156" t="s">
        <v>541</v>
      </c>
      <c r="E118" s="179">
        <v>11217000</v>
      </c>
      <c r="F118" s="179">
        <v>11217000</v>
      </c>
      <c r="G118" s="179">
        <v>11217000</v>
      </c>
      <c r="H118" s="179">
        <v>0</v>
      </c>
      <c r="I118" s="179">
        <v>10462528</v>
      </c>
      <c r="J118" s="179">
        <v>0</v>
      </c>
      <c r="K118" s="179">
        <v>754472</v>
      </c>
      <c r="L118" s="179">
        <v>754472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305</v>
      </c>
      <c r="C119" s="156" t="s">
        <v>600</v>
      </c>
      <c r="D119" s="156" t="s">
        <v>541</v>
      </c>
      <c r="E119" s="179">
        <v>22435000</v>
      </c>
      <c r="F119" s="179">
        <v>22435000</v>
      </c>
      <c r="G119" s="179">
        <v>22435000</v>
      </c>
      <c r="H119" s="179">
        <v>0</v>
      </c>
      <c r="I119" s="179">
        <v>20926062</v>
      </c>
      <c r="J119" s="179">
        <v>0</v>
      </c>
      <c r="K119" s="179">
        <v>1508938</v>
      </c>
      <c r="L119" s="179">
        <v>1508938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123</v>
      </c>
      <c r="C120" s="156" t="s">
        <v>124</v>
      </c>
      <c r="D120" s="156" t="s">
        <v>541</v>
      </c>
      <c r="E120" s="179">
        <v>155922650</v>
      </c>
      <c r="F120" s="179">
        <v>155922650</v>
      </c>
      <c r="G120" s="179">
        <v>38944771.850000001</v>
      </c>
      <c r="H120" s="179">
        <v>0</v>
      </c>
      <c r="I120" s="179">
        <v>26692414.43</v>
      </c>
      <c r="J120" s="179">
        <v>0</v>
      </c>
      <c r="K120" s="179">
        <v>8714980.2100000009</v>
      </c>
      <c r="L120" s="179">
        <v>534100</v>
      </c>
      <c r="M120" s="179">
        <v>120515255.36</v>
      </c>
      <c r="N120" s="179">
        <v>3537377.21</v>
      </c>
    </row>
    <row r="121" spans="1:14" s="156" customFormat="1" x14ac:dyDescent="0.25">
      <c r="A121" s="156" t="s">
        <v>544</v>
      </c>
      <c r="B121" s="156" t="s">
        <v>125</v>
      </c>
      <c r="C121" s="156" t="s">
        <v>126</v>
      </c>
      <c r="D121" s="156" t="s">
        <v>541</v>
      </c>
      <c r="E121" s="179">
        <v>78966646</v>
      </c>
      <c r="F121" s="179">
        <v>78966646</v>
      </c>
      <c r="G121" s="179">
        <v>19740909</v>
      </c>
      <c r="H121" s="179">
        <v>0</v>
      </c>
      <c r="I121" s="179">
        <v>13916767.49</v>
      </c>
      <c r="J121" s="179">
        <v>0</v>
      </c>
      <c r="K121" s="179">
        <v>5824141.3499999996</v>
      </c>
      <c r="L121" s="179">
        <v>0</v>
      </c>
      <c r="M121" s="179">
        <v>59225737.159999996</v>
      </c>
      <c r="N121" s="179">
        <v>0.16</v>
      </c>
    </row>
    <row r="122" spans="1:14" s="156" customFormat="1" x14ac:dyDescent="0.25">
      <c r="A122" s="156" t="s">
        <v>544</v>
      </c>
      <c r="B122" s="156" t="s">
        <v>306</v>
      </c>
      <c r="C122" s="156" t="s">
        <v>307</v>
      </c>
      <c r="D122" s="156" t="s">
        <v>541</v>
      </c>
      <c r="E122" s="179">
        <v>67899341</v>
      </c>
      <c r="F122" s="179">
        <v>67899341</v>
      </c>
      <c r="G122" s="179">
        <v>16974082</v>
      </c>
      <c r="H122" s="179">
        <v>0</v>
      </c>
      <c r="I122" s="179">
        <v>11227773.630000001</v>
      </c>
      <c r="J122" s="179">
        <v>0</v>
      </c>
      <c r="K122" s="179">
        <v>5746308.3700000001</v>
      </c>
      <c r="L122" s="179">
        <v>0</v>
      </c>
      <c r="M122" s="179">
        <v>50925259</v>
      </c>
      <c r="N122" s="179">
        <v>0</v>
      </c>
    </row>
    <row r="123" spans="1:14" s="156" customFormat="1" x14ac:dyDescent="0.25">
      <c r="A123" s="156" t="s">
        <v>544</v>
      </c>
      <c r="B123" s="156" t="s">
        <v>127</v>
      </c>
      <c r="C123" s="156" t="s">
        <v>128</v>
      </c>
      <c r="D123" s="156" t="s">
        <v>541</v>
      </c>
      <c r="E123" s="179">
        <v>11067305</v>
      </c>
      <c r="F123" s="179">
        <v>11067305</v>
      </c>
      <c r="G123" s="179">
        <v>2766827</v>
      </c>
      <c r="H123" s="179">
        <v>0</v>
      </c>
      <c r="I123" s="179">
        <v>2688993.86</v>
      </c>
      <c r="J123" s="179">
        <v>0</v>
      </c>
      <c r="K123" s="179">
        <v>77832.98</v>
      </c>
      <c r="L123" s="179">
        <v>0</v>
      </c>
      <c r="M123" s="179">
        <v>8300478.1600000001</v>
      </c>
      <c r="N123" s="179">
        <v>0.16</v>
      </c>
    </row>
    <row r="124" spans="1:14" s="156" customFormat="1" x14ac:dyDescent="0.25">
      <c r="A124" s="156" t="s">
        <v>544</v>
      </c>
      <c r="B124" s="156" t="s">
        <v>131</v>
      </c>
      <c r="C124" s="156" t="s">
        <v>132</v>
      </c>
      <c r="D124" s="156" t="s">
        <v>541</v>
      </c>
      <c r="E124" s="179">
        <v>14518657</v>
      </c>
      <c r="F124" s="179">
        <v>14518657</v>
      </c>
      <c r="G124" s="179">
        <v>3593775</v>
      </c>
      <c r="H124" s="179">
        <v>0</v>
      </c>
      <c r="I124" s="179">
        <v>2031269.14</v>
      </c>
      <c r="J124" s="179">
        <v>0</v>
      </c>
      <c r="K124" s="179">
        <v>1339498.8600000001</v>
      </c>
      <c r="L124" s="179">
        <v>0</v>
      </c>
      <c r="M124" s="179">
        <v>11147889</v>
      </c>
      <c r="N124" s="179">
        <v>223007</v>
      </c>
    </row>
    <row r="125" spans="1:14" s="156" customFormat="1" x14ac:dyDescent="0.25">
      <c r="A125" s="156" t="s">
        <v>544</v>
      </c>
      <c r="B125" s="156" t="s">
        <v>133</v>
      </c>
      <c r="C125" s="156" t="s">
        <v>134</v>
      </c>
      <c r="D125" s="156" t="s">
        <v>541</v>
      </c>
      <c r="E125" s="179">
        <v>1280000</v>
      </c>
      <c r="F125" s="179">
        <v>1280000</v>
      </c>
      <c r="G125" s="179">
        <v>284110</v>
      </c>
      <c r="H125" s="179">
        <v>0</v>
      </c>
      <c r="I125" s="179">
        <v>210420</v>
      </c>
      <c r="J125" s="179">
        <v>0</v>
      </c>
      <c r="K125" s="179">
        <v>69580</v>
      </c>
      <c r="L125" s="179">
        <v>0</v>
      </c>
      <c r="M125" s="179">
        <v>1000000</v>
      </c>
      <c r="N125" s="179">
        <v>4110</v>
      </c>
    </row>
    <row r="126" spans="1:14" s="156" customFormat="1" x14ac:dyDescent="0.25">
      <c r="A126" s="156" t="s">
        <v>544</v>
      </c>
      <c r="B126" s="156" t="s">
        <v>135</v>
      </c>
      <c r="C126" s="156" t="s">
        <v>136</v>
      </c>
      <c r="D126" s="156" t="s">
        <v>541</v>
      </c>
      <c r="E126" s="179">
        <v>3685715</v>
      </c>
      <c r="F126" s="179">
        <v>3685715</v>
      </c>
      <c r="G126" s="179">
        <v>921429</v>
      </c>
      <c r="H126" s="179">
        <v>0</v>
      </c>
      <c r="I126" s="179">
        <v>646661</v>
      </c>
      <c r="J126" s="179">
        <v>0</v>
      </c>
      <c r="K126" s="179">
        <v>270329</v>
      </c>
      <c r="L126" s="179">
        <v>0</v>
      </c>
      <c r="M126" s="179">
        <v>2768725</v>
      </c>
      <c r="N126" s="179">
        <v>4439</v>
      </c>
    </row>
    <row r="127" spans="1:14" s="156" customFormat="1" x14ac:dyDescent="0.25">
      <c r="A127" s="156" t="s">
        <v>544</v>
      </c>
      <c r="B127" s="156" t="s">
        <v>139</v>
      </c>
      <c r="C127" s="156" t="s">
        <v>140</v>
      </c>
      <c r="D127" s="156" t="s">
        <v>541</v>
      </c>
      <c r="E127" s="179">
        <v>9552942</v>
      </c>
      <c r="F127" s="179">
        <v>9552942</v>
      </c>
      <c r="G127" s="179">
        <v>2388236</v>
      </c>
      <c r="H127" s="179">
        <v>0</v>
      </c>
      <c r="I127" s="179">
        <v>1174188.1399999999</v>
      </c>
      <c r="J127" s="179">
        <v>0</v>
      </c>
      <c r="K127" s="179">
        <v>999589.86</v>
      </c>
      <c r="L127" s="179">
        <v>0</v>
      </c>
      <c r="M127" s="179">
        <v>7379164</v>
      </c>
      <c r="N127" s="179">
        <v>214458</v>
      </c>
    </row>
    <row r="128" spans="1:14" s="156" customFormat="1" x14ac:dyDescent="0.25">
      <c r="A128" s="156" t="s">
        <v>544</v>
      </c>
      <c r="B128" s="156" t="s">
        <v>143</v>
      </c>
      <c r="C128" s="156" t="s">
        <v>144</v>
      </c>
      <c r="D128" s="156" t="s">
        <v>541</v>
      </c>
      <c r="E128" s="179">
        <v>16719000</v>
      </c>
      <c r="F128" s="179">
        <v>16719000</v>
      </c>
      <c r="G128" s="179">
        <v>4180000</v>
      </c>
      <c r="H128" s="179">
        <v>0</v>
      </c>
      <c r="I128" s="179">
        <v>2100000</v>
      </c>
      <c r="J128" s="179">
        <v>0</v>
      </c>
      <c r="K128" s="179">
        <v>0</v>
      </c>
      <c r="L128" s="179">
        <v>0</v>
      </c>
      <c r="M128" s="179">
        <v>14619000</v>
      </c>
      <c r="N128" s="179">
        <v>2080000</v>
      </c>
    </row>
    <row r="129" spans="1:14" s="156" customFormat="1" x14ac:dyDescent="0.25">
      <c r="A129" s="156" t="s">
        <v>544</v>
      </c>
      <c r="B129" s="156" t="s">
        <v>145</v>
      </c>
      <c r="C129" s="156" t="s">
        <v>146</v>
      </c>
      <c r="D129" s="156" t="s">
        <v>541</v>
      </c>
      <c r="E129" s="179">
        <v>719000</v>
      </c>
      <c r="F129" s="179">
        <v>719000</v>
      </c>
      <c r="G129" s="179">
        <v>180000</v>
      </c>
      <c r="H129" s="179">
        <v>0</v>
      </c>
      <c r="I129" s="179">
        <v>80000</v>
      </c>
      <c r="J129" s="179">
        <v>0</v>
      </c>
      <c r="K129" s="179">
        <v>0</v>
      </c>
      <c r="L129" s="179">
        <v>0</v>
      </c>
      <c r="M129" s="179">
        <v>639000</v>
      </c>
      <c r="N129" s="179">
        <v>100000</v>
      </c>
    </row>
    <row r="130" spans="1:14" s="156" customFormat="1" x14ac:dyDescent="0.25">
      <c r="A130" s="156" t="s">
        <v>544</v>
      </c>
      <c r="B130" s="156" t="s">
        <v>147</v>
      </c>
      <c r="C130" s="156" t="s">
        <v>148</v>
      </c>
      <c r="D130" s="156" t="s">
        <v>541</v>
      </c>
      <c r="E130" s="179">
        <v>16000000</v>
      </c>
      <c r="F130" s="179">
        <v>16000000</v>
      </c>
      <c r="G130" s="179">
        <v>4000000</v>
      </c>
      <c r="H130" s="179">
        <v>0</v>
      </c>
      <c r="I130" s="179">
        <v>2020000</v>
      </c>
      <c r="J130" s="179">
        <v>0</v>
      </c>
      <c r="K130" s="179">
        <v>0</v>
      </c>
      <c r="L130" s="179">
        <v>0</v>
      </c>
      <c r="M130" s="179">
        <v>13980000</v>
      </c>
      <c r="N130" s="179">
        <v>1980000</v>
      </c>
    </row>
    <row r="131" spans="1:14" s="156" customFormat="1" x14ac:dyDescent="0.25">
      <c r="A131" s="156" t="s">
        <v>544</v>
      </c>
      <c r="B131" s="156" t="s">
        <v>151</v>
      </c>
      <c r="C131" s="156" t="s">
        <v>152</v>
      </c>
      <c r="D131" s="156" t="s">
        <v>541</v>
      </c>
      <c r="E131" s="179">
        <v>2200000</v>
      </c>
      <c r="F131" s="179">
        <v>2200000</v>
      </c>
      <c r="G131" s="179">
        <v>1267240</v>
      </c>
      <c r="H131" s="179">
        <v>0</v>
      </c>
      <c r="I131" s="179">
        <v>250000</v>
      </c>
      <c r="J131" s="179">
        <v>0</v>
      </c>
      <c r="K131" s="179">
        <v>1017240</v>
      </c>
      <c r="L131" s="179">
        <v>0</v>
      </c>
      <c r="M131" s="179">
        <v>932760</v>
      </c>
      <c r="N131" s="179">
        <v>0</v>
      </c>
    </row>
    <row r="132" spans="1:14" s="156" customFormat="1" x14ac:dyDescent="0.25">
      <c r="A132" s="156" t="s">
        <v>544</v>
      </c>
      <c r="B132" s="156" t="s">
        <v>154</v>
      </c>
      <c r="C132" s="156" t="s">
        <v>155</v>
      </c>
      <c r="D132" s="156" t="s">
        <v>541</v>
      </c>
      <c r="E132" s="179">
        <v>1200000</v>
      </c>
      <c r="F132" s="179">
        <v>1200000</v>
      </c>
      <c r="G132" s="179">
        <v>1017240</v>
      </c>
      <c r="H132" s="179">
        <v>0</v>
      </c>
      <c r="I132" s="179">
        <v>0</v>
      </c>
      <c r="J132" s="179">
        <v>0</v>
      </c>
      <c r="K132" s="179">
        <v>1017240</v>
      </c>
      <c r="L132" s="179">
        <v>0</v>
      </c>
      <c r="M132" s="179">
        <v>182760</v>
      </c>
      <c r="N132" s="179">
        <v>0</v>
      </c>
    </row>
    <row r="133" spans="1:14" s="156" customFormat="1" x14ac:dyDescent="0.25">
      <c r="A133" s="156" t="s">
        <v>544</v>
      </c>
      <c r="B133" s="156" t="s">
        <v>156</v>
      </c>
      <c r="C133" s="156" t="s">
        <v>157</v>
      </c>
      <c r="D133" s="156" t="s">
        <v>541</v>
      </c>
      <c r="E133" s="179">
        <v>1000000</v>
      </c>
      <c r="F133" s="179">
        <v>1000000</v>
      </c>
      <c r="G133" s="179">
        <v>250000</v>
      </c>
      <c r="H133" s="179">
        <v>0</v>
      </c>
      <c r="I133" s="179">
        <v>250000</v>
      </c>
      <c r="J133" s="179">
        <v>0</v>
      </c>
      <c r="K133" s="179">
        <v>0</v>
      </c>
      <c r="L133" s="179">
        <v>0</v>
      </c>
      <c r="M133" s="179">
        <v>750000</v>
      </c>
      <c r="N133" s="179">
        <v>0</v>
      </c>
    </row>
    <row r="134" spans="1:14" s="156" customFormat="1" x14ac:dyDescent="0.25">
      <c r="A134" s="156" t="s">
        <v>544</v>
      </c>
      <c r="B134" s="156" t="s">
        <v>158</v>
      </c>
      <c r="C134" s="156" t="s">
        <v>159</v>
      </c>
      <c r="D134" s="156" t="s">
        <v>541</v>
      </c>
      <c r="E134" s="179">
        <v>6813730</v>
      </c>
      <c r="F134" s="179">
        <v>6813730</v>
      </c>
      <c r="G134" s="179">
        <v>1703433</v>
      </c>
      <c r="H134" s="179">
        <v>0</v>
      </c>
      <c r="I134" s="179">
        <v>1392540</v>
      </c>
      <c r="J134" s="179">
        <v>0</v>
      </c>
      <c r="K134" s="179">
        <v>534100</v>
      </c>
      <c r="L134" s="179">
        <v>534100</v>
      </c>
      <c r="M134" s="179">
        <v>4887090</v>
      </c>
      <c r="N134" s="183">
        <v>-223207</v>
      </c>
    </row>
    <row r="135" spans="1:14" s="156" customFormat="1" x14ac:dyDescent="0.25">
      <c r="A135" s="156" t="s">
        <v>544</v>
      </c>
      <c r="B135" s="156" t="s">
        <v>160</v>
      </c>
      <c r="C135" s="156" t="s">
        <v>161</v>
      </c>
      <c r="D135" s="156" t="s">
        <v>541</v>
      </c>
      <c r="E135" s="179">
        <v>250000</v>
      </c>
      <c r="F135" s="179">
        <v>250000</v>
      </c>
      <c r="G135" s="179">
        <v>62500</v>
      </c>
      <c r="H135" s="179">
        <v>0</v>
      </c>
      <c r="I135" s="179">
        <v>285890</v>
      </c>
      <c r="J135" s="179">
        <v>0</v>
      </c>
      <c r="K135" s="179">
        <v>0</v>
      </c>
      <c r="L135" s="179">
        <v>0</v>
      </c>
      <c r="M135" s="183">
        <v>-35890</v>
      </c>
      <c r="N135" s="183">
        <v>-223390</v>
      </c>
    </row>
    <row r="136" spans="1:14" s="156" customFormat="1" x14ac:dyDescent="0.25">
      <c r="A136" s="156" t="s">
        <v>544</v>
      </c>
      <c r="B136" s="156" t="s">
        <v>162</v>
      </c>
      <c r="C136" s="156" t="s">
        <v>163</v>
      </c>
      <c r="D136" s="156" t="s">
        <v>541</v>
      </c>
      <c r="E136" s="179">
        <v>6563730</v>
      </c>
      <c r="F136" s="179">
        <v>6563730</v>
      </c>
      <c r="G136" s="179">
        <v>1640933</v>
      </c>
      <c r="H136" s="179">
        <v>0</v>
      </c>
      <c r="I136" s="179">
        <v>1106650</v>
      </c>
      <c r="J136" s="179">
        <v>0</v>
      </c>
      <c r="K136" s="179">
        <v>534100</v>
      </c>
      <c r="L136" s="179">
        <v>534100</v>
      </c>
      <c r="M136" s="179">
        <v>4922980</v>
      </c>
      <c r="N136" s="179">
        <v>183</v>
      </c>
    </row>
    <row r="137" spans="1:14" s="156" customFormat="1" x14ac:dyDescent="0.25">
      <c r="A137" s="156" t="s">
        <v>544</v>
      </c>
      <c r="B137" s="156" t="s">
        <v>168</v>
      </c>
      <c r="C137" s="156" t="s">
        <v>169</v>
      </c>
      <c r="D137" s="156" t="s">
        <v>541</v>
      </c>
      <c r="E137" s="179">
        <v>4277392</v>
      </c>
      <c r="F137" s="179">
        <v>4277392</v>
      </c>
      <c r="G137" s="179">
        <v>1069348</v>
      </c>
      <c r="H137" s="179">
        <v>0</v>
      </c>
      <c r="I137" s="179">
        <v>990000</v>
      </c>
      <c r="J137" s="179">
        <v>0</v>
      </c>
      <c r="K137" s="179">
        <v>0</v>
      </c>
      <c r="L137" s="179">
        <v>0</v>
      </c>
      <c r="M137" s="179">
        <v>3287392</v>
      </c>
      <c r="N137" s="179">
        <v>79348</v>
      </c>
    </row>
    <row r="138" spans="1:14" s="156" customFormat="1" x14ac:dyDescent="0.25">
      <c r="A138" s="156" t="s">
        <v>544</v>
      </c>
      <c r="B138" s="156" t="s">
        <v>170</v>
      </c>
      <c r="C138" s="156" t="s">
        <v>171</v>
      </c>
      <c r="D138" s="156" t="s">
        <v>541</v>
      </c>
      <c r="E138" s="179">
        <v>4277392</v>
      </c>
      <c r="F138" s="179">
        <v>4277392</v>
      </c>
      <c r="G138" s="179">
        <v>1069348</v>
      </c>
      <c r="H138" s="179">
        <v>0</v>
      </c>
      <c r="I138" s="179">
        <v>990000</v>
      </c>
      <c r="J138" s="179">
        <v>0</v>
      </c>
      <c r="K138" s="179">
        <v>0</v>
      </c>
      <c r="L138" s="179">
        <v>0</v>
      </c>
      <c r="M138" s="179">
        <v>3287392</v>
      </c>
      <c r="N138" s="179">
        <v>79348</v>
      </c>
    </row>
    <row r="139" spans="1:14" s="156" customFormat="1" x14ac:dyDescent="0.25">
      <c r="A139" s="156" t="s">
        <v>544</v>
      </c>
      <c r="B139" s="156" t="s">
        <v>172</v>
      </c>
      <c r="C139" s="156" t="s">
        <v>173</v>
      </c>
      <c r="D139" s="156" t="s">
        <v>541</v>
      </c>
      <c r="E139" s="179">
        <v>12267225</v>
      </c>
      <c r="F139" s="179">
        <v>12267225</v>
      </c>
      <c r="G139" s="179">
        <v>3066807</v>
      </c>
      <c r="H139" s="179">
        <v>0</v>
      </c>
      <c r="I139" s="179">
        <v>3052162.8</v>
      </c>
      <c r="J139" s="179">
        <v>0</v>
      </c>
      <c r="K139" s="179">
        <v>0</v>
      </c>
      <c r="L139" s="179">
        <v>0</v>
      </c>
      <c r="M139" s="179">
        <v>9215062.1999999993</v>
      </c>
      <c r="N139" s="179">
        <v>14644.2</v>
      </c>
    </row>
    <row r="140" spans="1:14" s="156" customFormat="1" x14ac:dyDescent="0.25">
      <c r="A140" s="156" t="s">
        <v>544</v>
      </c>
      <c r="B140" s="156" t="s">
        <v>309</v>
      </c>
      <c r="C140" s="156" t="s">
        <v>310</v>
      </c>
      <c r="D140" s="156" t="s">
        <v>541</v>
      </c>
      <c r="E140" s="179">
        <v>12267225</v>
      </c>
      <c r="F140" s="179">
        <v>12267225</v>
      </c>
      <c r="G140" s="179">
        <v>3066807</v>
      </c>
      <c r="H140" s="179">
        <v>0</v>
      </c>
      <c r="I140" s="179">
        <v>3052162.8</v>
      </c>
      <c r="J140" s="179">
        <v>0</v>
      </c>
      <c r="K140" s="179">
        <v>0</v>
      </c>
      <c r="L140" s="179">
        <v>0</v>
      </c>
      <c r="M140" s="179">
        <v>9215062.1999999993</v>
      </c>
      <c r="N140" s="179">
        <v>14644.2</v>
      </c>
    </row>
    <row r="141" spans="1:14" s="156" customFormat="1" x14ac:dyDescent="0.25">
      <c r="A141" s="156" t="s">
        <v>544</v>
      </c>
      <c r="B141" s="156" t="s">
        <v>178</v>
      </c>
      <c r="C141" s="156" t="s">
        <v>179</v>
      </c>
      <c r="D141" s="156" t="s">
        <v>541</v>
      </c>
      <c r="E141" s="179">
        <v>17894000</v>
      </c>
      <c r="F141" s="179">
        <v>17894000</v>
      </c>
      <c r="G141" s="179">
        <v>3756260</v>
      </c>
      <c r="H141" s="179">
        <v>0</v>
      </c>
      <c r="I141" s="179">
        <v>2873500</v>
      </c>
      <c r="J141" s="179">
        <v>0</v>
      </c>
      <c r="K141" s="179">
        <v>0</v>
      </c>
      <c r="L141" s="179">
        <v>0</v>
      </c>
      <c r="M141" s="179">
        <v>15020500</v>
      </c>
      <c r="N141" s="179">
        <v>882760</v>
      </c>
    </row>
    <row r="142" spans="1:14" s="156" customFormat="1" x14ac:dyDescent="0.25">
      <c r="A142" s="156" t="s">
        <v>544</v>
      </c>
      <c r="B142" s="156" t="s">
        <v>182</v>
      </c>
      <c r="C142" s="156" t="s">
        <v>183</v>
      </c>
      <c r="D142" s="156" t="s">
        <v>541</v>
      </c>
      <c r="E142" s="179">
        <v>7000000</v>
      </c>
      <c r="F142" s="179">
        <v>7000000</v>
      </c>
      <c r="G142" s="179">
        <v>1750000</v>
      </c>
      <c r="H142" s="179">
        <v>0</v>
      </c>
      <c r="I142" s="179">
        <v>1750000</v>
      </c>
      <c r="J142" s="179">
        <v>0</v>
      </c>
      <c r="K142" s="179">
        <v>0</v>
      </c>
      <c r="L142" s="179">
        <v>0</v>
      </c>
      <c r="M142" s="179">
        <v>5250000</v>
      </c>
      <c r="N142" s="179">
        <v>0</v>
      </c>
    </row>
    <row r="143" spans="1:14" s="156" customFormat="1" x14ac:dyDescent="0.25">
      <c r="A143" s="156" t="s">
        <v>544</v>
      </c>
      <c r="B143" s="156" t="s">
        <v>186</v>
      </c>
      <c r="C143" s="156" t="s">
        <v>187</v>
      </c>
      <c r="D143" s="156" t="s">
        <v>541</v>
      </c>
      <c r="E143" s="179">
        <v>3000000</v>
      </c>
      <c r="F143" s="179">
        <v>3000000</v>
      </c>
      <c r="G143" s="179">
        <v>32760</v>
      </c>
      <c r="H143" s="179">
        <v>0</v>
      </c>
      <c r="I143" s="179">
        <v>0</v>
      </c>
      <c r="J143" s="179">
        <v>0</v>
      </c>
      <c r="K143" s="179">
        <v>0</v>
      </c>
      <c r="L143" s="179">
        <v>0</v>
      </c>
      <c r="M143" s="179">
        <v>3000000</v>
      </c>
      <c r="N143" s="179">
        <v>32760</v>
      </c>
    </row>
    <row r="144" spans="1:14" s="156" customFormat="1" x14ac:dyDescent="0.25">
      <c r="A144" s="156" t="s">
        <v>544</v>
      </c>
      <c r="B144" s="156" t="s">
        <v>188</v>
      </c>
      <c r="C144" s="156" t="s">
        <v>189</v>
      </c>
      <c r="D144" s="156" t="s">
        <v>541</v>
      </c>
      <c r="E144" s="179">
        <v>4494000</v>
      </c>
      <c r="F144" s="179">
        <v>4494000</v>
      </c>
      <c r="G144" s="179">
        <v>1123500</v>
      </c>
      <c r="H144" s="179">
        <v>0</v>
      </c>
      <c r="I144" s="179">
        <v>1123500</v>
      </c>
      <c r="J144" s="179">
        <v>0</v>
      </c>
      <c r="K144" s="179">
        <v>0</v>
      </c>
      <c r="L144" s="179">
        <v>0</v>
      </c>
      <c r="M144" s="179">
        <v>3370500</v>
      </c>
      <c r="N144" s="179">
        <v>0</v>
      </c>
    </row>
    <row r="145" spans="1:14" s="156" customFormat="1" x14ac:dyDescent="0.25">
      <c r="A145" s="156" t="s">
        <v>544</v>
      </c>
      <c r="B145" s="156" t="s">
        <v>190</v>
      </c>
      <c r="C145" s="156" t="s">
        <v>191</v>
      </c>
      <c r="D145" s="156" t="s">
        <v>541</v>
      </c>
      <c r="E145" s="179">
        <v>3400000</v>
      </c>
      <c r="F145" s="179">
        <v>3400000</v>
      </c>
      <c r="G145" s="179">
        <v>850000</v>
      </c>
      <c r="H145" s="179">
        <v>0</v>
      </c>
      <c r="I145" s="179">
        <v>0</v>
      </c>
      <c r="J145" s="179">
        <v>0</v>
      </c>
      <c r="K145" s="179">
        <v>0</v>
      </c>
      <c r="L145" s="179">
        <v>0</v>
      </c>
      <c r="M145" s="179">
        <v>3400000</v>
      </c>
      <c r="N145" s="179">
        <v>850000</v>
      </c>
    </row>
    <row r="146" spans="1:14" s="156" customFormat="1" x14ac:dyDescent="0.25">
      <c r="A146" s="156" t="s">
        <v>544</v>
      </c>
      <c r="B146" s="156" t="s">
        <v>192</v>
      </c>
      <c r="C146" s="156" t="s">
        <v>193</v>
      </c>
      <c r="D146" s="156" t="s">
        <v>541</v>
      </c>
      <c r="E146" s="179">
        <v>466000</v>
      </c>
      <c r="F146" s="179">
        <v>466000</v>
      </c>
      <c r="G146" s="179">
        <v>117000</v>
      </c>
      <c r="H146" s="179">
        <v>0</v>
      </c>
      <c r="I146" s="179">
        <v>86175</v>
      </c>
      <c r="J146" s="179">
        <v>0</v>
      </c>
      <c r="K146" s="179">
        <v>0</v>
      </c>
      <c r="L146" s="179">
        <v>0</v>
      </c>
      <c r="M146" s="179">
        <v>379825</v>
      </c>
      <c r="N146" s="179">
        <v>30825</v>
      </c>
    </row>
    <row r="147" spans="1:14" s="156" customFormat="1" x14ac:dyDescent="0.25">
      <c r="A147" s="156" t="s">
        <v>544</v>
      </c>
      <c r="B147" s="156" t="s">
        <v>194</v>
      </c>
      <c r="C147" s="156" t="s">
        <v>195</v>
      </c>
      <c r="D147" s="156" t="s">
        <v>541</v>
      </c>
      <c r="E147" s="179">
        <v>466000</v>
      </c>
      <c r="F147" s="179">
        <v>466000</v>
      </c>
      <c r="G147" s="179">
        <v>117000</v>
      </c>
      <c r="H147" s="179">
        <v>0</v>
      </c>
      <c r="I147" s="179">
        <v>86175</v>
      </c>
      <c r="J147" s="179">
        <v>0</v>
      </c>
      <c r="K147" s="179">
        <v>0</v>
      </c>
      <c r="L147" s="179">
        <v>0</v>
      </c>
      <c r="M147" s="179">
        <v>379825</v>
      </c>
      <c r="N147" s="179">
        <v>30825</v>
      </c>
    </row>
    <row r="148" spans="1:14" s="156" customFormat="1" x14ac:dyDescent="0.25">
      <c r="A148" s="156" t="s">
        <v>544</v>
      </c>
      <c r="B148" s="156" t="s">
        <v>196</v>
      </c>
      <c r="C148" s="156" t="s">
        <v>197</v>
      </c>
      <c r="D148" s="156" t="s">
        <v>541</v>
      </c>
      <c r="E148" s="179">
        <v>1800000</v>
      </c>
      <c r="F148" s="179">
        <v>1800000</v>
      </c>
      <c r="G148" s="179">
        <v>449999.85</v>
      </c>
      <c r="H148" s="179">
        <v>0</v>
      </c>
      <c r="I148" s="179">
        <v>0</v>
      </c>
      <c r="J148" s="179">
        <v>0</v>
      </c>
      <c r="K148" s="179">
        <v>0</v>
      </c>
      <c r="L148" s="179">
        <v>0</v>
      </c>
      <c r="M148" s="179">
        <v>1800000</v>
      </c>
      <c r="N148" s="179">
        <v>449999.85</v>
      </c>
    </row>
    <row r="149" spans="1:14" s="156" customFormat="1" x14ac:dyDescent="0.25">
      <c r="A149" s="156" t="s">
        <v>544</v>
      </c>
      <c r="B149" s="156" t="s">
        <v>198</v>
      </c>
      <c r="C149" s="156" t="s">
        <v>199</v>
      </c>
      <c r="D149" s="156" t="s">
        <v>541</v>
      </c>
      <c r="E149" s="179">
        <v>1800000</v>
      </c>
      <c r="F149" s="179">
        <v>1800000</v>
      </c>
      <c r="G149" s="179">
        <v>449999.85</v>
      </c>
      <c r="H149" s="179">
        <v>0</v>
      </c>
      <c r="I149" s="179">
        <v>0</v>
      </c>
      <c r="J149" s="179">
        <v>0</v>
      </c>
      <c r="K149" s="179">
        <v>0</v>
      </c>
      <c r="L149" s="179">
        <v>0</v>
      </c>
      <c r="M149" s="179">
        <v>1800000</v>
      </c>
      <c r="N149" s="179">
        <v>449999.85</v>
      </c>
    </row>
    <row r="150" spans="1:14" s="156" customFormat="1" x14ac:dyDescent="0.25">
      <c r="A150" s="156" t="s">
        <v>544</v>
      </c>
      <c r="B150" s="156" t="s">
        <v>200</v>
      </c>
      <c r="C150" s="156" t="s">
        <v>201</v>
      </c>
      <c r="D150" s="156" t="s">
        <v>541</v>
      </c>
      <c r="E150" s="179">
        <v>57954839</v>
      </c>
      <c r="F150" s="179">
        <v>57954839</v>
      </c>
      <c r="G150" s="179">
        <v>14488710</v>
      </c>
      <c r="H150" s="179">
        <v>0</v>
      </c>
      <c r="I150" s="179">
        <v>4200985.79</v>
      </c>
      <c r="J150" s="179">
        <v>0</v>
      </c>
      <c r="K150" s="179">
        <v>813205</v>
      </c>
      <c r="L150" s="179">
        <v>179205</v>
      </c>
      <c r="M150" s="179">
        <v>52940648.210000001</v>
      </c>
      <c r="N150" s="179">
        <v>9474519.2100000009</v>
      </c>
    </row>
    <row r="151" spans="1:14" s="156" customFormat="1" x14ac:dyDescent="0.25">
      <c r="A151" s="156" t="s">
        <v>544</v>
      </c>
      <c r="B151" s="156" t="s">
        <v>202</v>
      </c>
      <c r="C151" s="156" t="s">
        <v>203</v>
      </c>
      <c r="D151" s="156" t="s">
        <v>541</v>
      </c>
      <c r="E151" s="179">
        <v>17854839</v>
      </c>
      <c r="F151" s="179">
        <v>17854839</v>
      </c>
      <c r="G151" s="179">
        <v>4463710</v>
      </c>
      <c r="H151" s="179">
        <v>0</v>
      </c>
      <c r="I151" s="179">
        <v>2399225</v>
      </c>
      <c r="J151" s="179">
        <v>0</v>
      </c>
      <c r="K151" s="179">
        <v>179205</v>
      </c>
      <c r="L151" s="179">
        <v>179205</v>
      </c>
      <c r="M151" s="179">
        <v>15276409</v>
      </c>
      <c r="N151" s="179">
        <v>1885280</v>
      </c>
    </row>
    <row r="152" spans="1:14" s="156" customFormat="1" x14ac:dyDescent="0.25">
      <c r="A152" s="156" t="s">
        <v>544</v>
      </c>
      <c r="B152" s="156" t="s">
        <v>204</v>
      </c>
      <c r="C152" s="156" t="s">
        <v>205</v>
      </c>
      <c r="D152" s="156" t="s">
        <v>541</v>
      </c>
      <c r="E152" s="179">
        <v>9354839</v>
      </c>
      <c r="F152" s="179">
        <v>9354839</v>
      </c>
      <c r="G152" s="179">
        <v>2338710</v>
      </c>
      <c r="H152" s="179">
        <v>0</v>
      </c>
      <c r="I152" s="179">
        <v>1778495</v>
      </c>
      <c r="J152" s="179">
        <v>0</v>
      </c>
      <c r="K152" s="179">
        <v>179205</v>
      </c>
      <c r="L152" s="179">
        <v>179205</v>
      </c>
      <c r="M152" s="179">
        <v>7397139</v>
      </c>
      <c r="N152" s="179">
        <v>381010</v>
      </c>
    </row>
    <row r="153" spans="1:14" s="156" customFormat="1" x14ac:dyDescent="0.25">
      <c r="A153" s="156" t="s">
        <v>544</v>
      </c>
      <c r="B153" s="156" t="s">
        <v>208</v>
      </c>
      <c r="C153" s="156" t="s">
        <v>209</v>
      </c>
      <c r="D153" s="156" t="s">
        <v>541</v>
      </c>
      <c r="E153" s="179">
        <v>8500000</v>
      </c>
      <c r="F153" s="179">
        <v>8500000</v>
      </c>
      <c r="G153" s="179">
        <v>2125000</v>
      </c>
      <c r="H153" s="179">
        <v>0</v>
      </c>
      <c r="I153" s="179">
        <v>620730</v>
      </c>
      <c r="J153" s="179">
        <v>0</v>
      </c>
      <c r="K153" s="179">
        <v>0</v>
      </c>
      <c r="L153" s="179">
        <v>0</v>
      </c>
      <c r="M153" s="179">
        <v>7879270</v>
      </c>
      <c r="N153" s="179">
        <v>1504270</v>
      </c>
    </row>
    <row r="154" spans="1:14" s="156" customFormat="1" x14ac:dyDescent="0.25">
      <c r="A154" s="156" t="s">
        <v>544</v>
      </c>
      <c r="B154" s="156" t="s">
        <v>212</v>
      </c>
      <c r="C154" s="156" t="s">
        <v>213</v>
      </c>
      <c r="D154" s="156" t="s">
        <v>541</v>
      </c>
      <c r="E154" s="179">
        <v>2460000</v>
      </c>
      <c r="F154" s="179">
        <v>2460000</v>
      </c>
      <c r="G154" s="179">
        <v>615000</v>
      </c>
      <c r="H154" s="179">
        <v>0</v>
      </c>
      <c r="I154" s="179">
        <v>449702</v>
      </c>
      <c r="J154" s="179">
        <v>0</v>
      </c>
      <c r="K154" s="179">
        <v>0</v>
      </c>
      <c r="L154" s="179">
        <v>0</v>
      </c>
      <c r="M154" s="179">
        <v>2010298</v>
      </c>
      <c r="N154" s="179">
        <v>165298</v>
      </c>
    </row>
    <row r="155" spans="1:14" s="156" customFormat="1" x14ac:dyDescent="0.25">
      <c r="A155" s="156" t="s">
        <v>544</v>
      </c>
      <c r="B155" s="156" t="s">
        <v>214</v>
      </c>
      <c r="C155" s="156" t="s">
        <v>215</v>
      </c>
      <c r="D155" s="156" t="s">
        <v>541</v>
      </c>
      <c r="E155" s="179">
        <v>2460000</v>
      </c>
      <c r="F155" s="179">
        <v>2460000</v>
      </c>
      <c r="G155" s="179">
        <v>615000</v>
      </c>
      <c r="H155" s="179">
        <v>0</v>
      </c>
      <c r="I155" s="179">
        <v>449702</v>
      </c>
      <c r="J155" s="179">
        <v>0</v>
      </c>
      <c r="K155" s="179">
        <v>0</v>
      </c>
      <c r="L155" s="179">
        <v>0</v>
      </c>
      <c r="M155" s="179">
        <v>2010298</v>
      </c>
      <c r="N155" s="179">
        <v>165298</v>
      </c>
    </row>
    <row r="156" spans="1:14" s="156" customFormat="1" x14ac:dyDescent="0.25">
      <c r="A156" s="156" t="s">
        <v>544</v>
      </c>
      <c r="B156" s="156" t="s">
        <v>216</v>
      </c>
      <c r="C156" s="156" t="s">
        <v>217</v>
      </c>
      <c r="D156" s="156" t="s">
        <v>541</v>
      </c>
      <c r="E156" s="179">
        <v>2000000</v>
      </c>
      <c r="F156" s="179">
        <v>2000000</v>
      </c>
      <c r="G156" s="179">
        <v>500000</v>
      </c>
      <c r="H156" s="179">
        <v>0</v>
      </c>
      <c r="I156" s="179">
        <v>440646.79</v>
      </c>
      <c r="J156" s="179">
        <v>0</v>
      </c>
      <c r="K156" s="179">
        <v>0</v>
      </c>
      <c r="L156" s="179">
        <v>0</v>
      </c>
      <c r="M156" s="179">
        <v>1559353.21</v>
      </c>
      <c r="N156" s="179">
        <v>59353.21</v>
      </c>
    </row>
    <row r="157" spans="1:14" s="156" customFormat="1" x14ac:dyDescent="0.25">
      <c r="A157" s="156" t="s">
        <v>544</v>
      </c>
      <c r="B157" s="156" t="s">
        <v>220</v>
      </c>
      <c r="C157" s="156" t="s">
        <v>221</v>
      </c>
      <c r="D157" s="156" t="s">
        <v>541</v>
      </c>
      <c r="E157" s="179">
        <v>2000000</v>
      </c>
      <c r="F157" s="179">
        <v>2000000</v>
      </c>
      <c r="G157" s="179">
        <v>500000</v>
      </c>
      <c r="H157" s="179">
        <v>0</v>
      </c>
      <c r="I157" s="179">
        <v>440646.79</v>
      </c>
      <c r="J157" s="179">
        <v>0</v>
      </c>
      <c r="K157" s="179">
        <v>0</v>
      </c>
      <c r="L157" s="179">
        <v>0</v>
      </c>
      <c r="M157" s="179">
        <v>1559353.21</v>
      </c>
      <c r="N157" s="179">
        <v>59353.21</v>
      </c>
    </row>
    <row r="158" spans="1:14" s="156" customFormat="1" x14ac:dyDescent="0.25">
      <c r="A158" s="156" t="s">
        <v>544</v>
      </c>
      <c r="B158" s="156" t="s">
        <v>228</v>
      </c>
      <c r="C158" s="156" t="s">
        <v>229</v>
      </c>
      <c r="D158" s="156" t="s">
        <v>541</v>
      </c>
      <c r="E158" s="179">
        <v>6710000</v>
      </c>
      <c r="F158" s="179">
        <v>6710000</v>
      </c>
      <c r="G158" s="179">
        <v>1677500</v>
      </c>
      <c r="H158" s="179">
        <v>0</v>
      </c>
      <c r="I158" s="179">
        <v>0</v>
      </c>
      <c r="J158" s="179">
        <v>0</v>
      </c>
      <c r="K158" s="179">
        <v>0</v>
      </c>
      <c r="L158" s="179">
        <v>0</v>
      </c>
      <c r="M158" s="179">
        <v>6710000</v>
      </c>
      <c r="N158" s="179">
        <v>1677500</v>
      </c>
    </row>
    <row r="159" spans="1:14" s="156" customFormat="1" x14ac:dyDescent="0.25">
      <c r="A159" s="156" t="s">
        <v>544</v>
      </c>
      <c r="B159" s="156" t="s">
        <v>230</v>
      </c>
      <c r="C159" s="156" t="s">
        <v>231</v>
      </c>
      <c r="D159" s="156" t="s">
        <v>541</v>
      </c>
      <c r="E159" s="179">
        <v>3710000</v>
      </c>
      <c r="F159" s="179">
        <v>3710000</v>
      </c>
      <c r="G159" s="179">
        <v>927500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3710000</v>
      </c>
      <c r="N159" s="179">
        <v>927500</v>
      </c>
    </row>
    <row r="160" spans="1:14" s="156" customFormat="1" x14ac:dyDescent="0.25">
      <c r="A160" s="156" t="s">
        <v>544</v>
      </c>
      <c r="B160" s="156" t="s">
        <v>232</v>
      </c>
      <c r="C160" s="156" t="s">
        <v>233</v>
      </c>
      <c r="D160" s="156" t="s">
        <v>541</v>
      </c>
      <c r="E160" s="179">
        <v>3000000</v>
      </c>
      <c r="F160" s="179">
        <v>3000000</v>
      </c>
      <c r="G160" s="179">
        <v>750000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3000000</v>
      </c>
      <c r="N160" s="179">
        <v>750000</v>
      </c>
    </row>
    <row r="161" spans="1:14" s="156" customFormat="1" x14ac:dyDescent="0.25">
      <c r="A161" s="156" t="s">
        <v>544</v>
      </c>
      <c r="B161" s="156" t="s">
        <v>234</v>
      </c>
      <c r="C161" s="156" t="s">
        <v>601</v>
      </c>
      <c r="D161" s="156" t="s">
        <v>541</v>
      </c>
      <c r="E161" s="179">
        <v>28930000</v>
      </c>
      <c r="F161" s="179">
        <v>28930000</v>
      </c>
      <c r="G161" s="179">
        <v>7232500</v>
      </c>
      <c r="H161" s="179">
        <v>0</v>
      </c>
      <c r="I161" s="179">
        <v>911412</v>
      </c>
      <c r="J161" s="179">
        <v>0</v>
      </c>
      <c r="K161" s="179">
        <v>634000</v>
      </c>
      <c r="L161" s="179">
        <v>0</v>
      </c>
      <c r="M161" s="179">
        <v>27384588</v>
      </c>
      <c r="N161" s="179">
        <v>5687088</v>
      </c>
    </row>
    <row r="162" spans="1:14" s="156" customFormat="1" x14ac:dyDescent="0.25">
      <c r="A162" s="156" t="s">
        <v>544</v>
      </c>
      <c r="B162" s="156" t="s">
        <v>235</v>
      </c>
      <c r="C162" s="156" t="s">
        <v>236</v>
      </c>
      <c r="D162" s="156" t="s">
        <v>541</v>
      </c>
      <c r="E162" s="179">
        <v>8000000</v>
      </c>
      <c r="F162" s="179">
        <v>8000000</v>
      </c>
      <c r="G162" s="179">
        <v>2000000</v>
      </c>
      <c r="H162" s="179">
        <v>0</v>
      </c>
      <c r="I162" s="179">
        <v>0</v>
      </c>
      <c r="J162" s="179">
        <v>0</v>
      </c>
      <c r="K162" s="179">
        <v>0</v>
      </c>
      <c r="L162" s="179">
        <v>0</v>
      </c>
      <c r="M162" s="179">
        <v>8000000</v>
      </c>
      <c r="N162" s="179">
        <v>2000000</v>
      </c>
    </row>
    <row r="163" spans="1:14" s="156" customFormat="1" x14ac:dyDescent="0.25">
      <c r="A163" s="156" t="s">
        <v>544</v>
      </c>
      <c r="B163" s="156" t="s">
        <v>239</v>
      </c>
      <c r="C163" s="156" t="s">
        <v>240</v>
      </c>
      <c r="D163" s="156" t="s">
        <v>541</v>
      </c>
      <c r="E163" s="179">
        <v>8000000</v>
      </c>
      <c r="F163" s="179">
        <v>8000000</v>
      </c>
      <c r="G163" s="179">
        <v>2000000</v>
      </c>
      <c r="H163" s="179">
        <v>0</v>
      </c>
      <c r="I163" s="179">
        <v>666170</v>
      </c>
      <c r="J163" s="179">
        <v>0</v>
      </c>
      <c r="K163" s="179">
        <v>634000</v>
      </c>
      <c r="L163" s="179">
        <v>0</v>
      </c>
      <c r="M163" s="179">
        <v>6699830</v>
      </c>
      <c r="N163" s="179">
        <v>699830</v>
      </c>
    </row>
    <row r="164" spans="1:14" s="156" customFormat="1" x14ac:dyDescent="0.25">
      <c r="A164" s="156" t="s">
        <v>544</v>
      </c>
      <c r="B164" s="156" t="s">
        <v>243</v>
      </c>
      <c r="C164" s="156" t="s">
        <v>244</v>
      </c>
      <c r="D164" s="156" t="s">
        <v>541</v>
      </c>
      <c r="E164" s="179">
        <v>4930000</v>
      </c>
      <c r="F164" s="179">
        <v>4930000</v>
      </c>
      <c r="G164" s="179">
        <v>1232500</v>
      </c>
      <c r="H164" s="179">
        <v>0</v>
      </c>
      <c r="I164" s="179">
        <v>245242</v>
      </c>
      <c r="J164" s="179">
        <v>0</v>
      </c>
      <c r="K164" s="179">
        <v>0</v>
      </c>
      <c r="L164" s="179">
        <v>0</v>
      </c>
      <c r="M164" s="179">
        <v>4684758</v>
      </c>
      <c r="N164" s="179">
        <v>987258</v>
      </c>
    </row>
    <row r="165" spans="1:14" s="156" customFormat="1" x14ac:dyDescent="0.25">
      <c r="A165" s="156" t="s">
        <v>544</v>
      </c>
      <c r="B165" s="156" t="s">
        <v>249</v>
      </c>
      <c r="C165" s="156" t="s">
        <v>250</v>
      </c>
      <c r="D165" s="156" t="s">
        <v>541</v>
      </c>
      <c r="E165" s="179">
        <v>8000000</v>
      </c>
      <c r="F165" s="179">
        <v>8000000</v>
      </c>
      <c r="G165" s="179">
        <v>2000000</v>
      </c>
      <c r="H165" s="179">
        <v>0</v>
      </c>
      <c r="I165" s="179">
        <v>0</v>
      </c>
      <c r="J165" s="179">
        <v>0</v>
      </c>
      <c r="K165" s="179">
        <v>0</v>
      </c>
      <c r="L165" s="179">
        <v>0</v>
      </c>
      <c r="M165" s="179">
        <v>8000000</v>
      </c>
      <c r="N165" s="179">
        <v>2000000</v>
      </c>
    </row>
    <row r="166" spans="1:14" s="156" customFormat="1" x14ac:dyDescent="0.25">
      <c r="A166" s="156" t="s">
        <v>544</v>
      </c>
      <c r="B166" s="156" t="s">
        <v>251</v>
      </c>
      <c r="C166" s="156" t="s">
        <v>252</v>
      </c>
      <c r="D166" s="156" t="s">
        <v>541</v>
      </c>
      <c r="E166" s="179">
        <v>43960000</v>
      </c>
      <c r="F166" s="179">
        <v>43960000</v>
      </c>
      <c r="G166" s="179">
        <v>25210000</v>
      </c>
      <c r="H166" s="179">
        <v>0</v>
      </c>
      <c r="I166" s="179">
        <v>14642560</v>
      </c>
      <c r="J166" s="179">
        <v>0</v>
      </c>
      <c r="K166" s="179">
        <v>880745</v>
      </c>
      <c r="L166" s="179">
        <v>880745</v>
      </c>
      <c r="M166" s="179">
        <v>28436695</v>
      </c>
      <c r="N166" s="179">
        <v>9686695</v>
      </c>
    </row>
    <row r="167" spans="1:14" s="156" customFormat="1" x14ac:dyDescent="0.25">
      <c r="A167" s="156" t="s">
        <v>544</v>
      </c>
      <c r="B167" s="156" t="s">
        <v>253</v>
      </c>
      <c r="C167" s="156" t="s">
        <v>254</v>
      </c>
      <c r="D167" s="156" t="s">
        <v>541</v>
      </c>
      <c r="E167" s="179">
        <v>11142000</v>
      </c>
      <c r="F167" s="179">
        <v>11142000</v>
      </c>
      <c r="G167" s="179">
        <v>11142000</v>
      </c>
      <c r="H167" s="179">
        <v>0</v>
      </c>
      <c r="I167" s="179">
        <v>10392560</v>
      </c>
      <c r="J167" s="179">
        <v>0</v>
      </c>
      <c r="K167" s="179">
        <v>749440</v>
      </c>
      <c r="L167" s="179">
        <v>749440</v>
      </c>
      <c r="M167" s="179">
        <v>0</v>
      </c>
      <c r="N167" s="179">
        <v>0</v>
      </c>
    </row>
    <row r="168" spans="1:14" s="156" customFormat="1" x14ac:dyDescent="0.25">
      <c r="A168" s="156" t="s">
        <v>544</v>
      </c>
      <c r="B168" s="156" t="s">
        <v>311</v>
      </c>
      <c r="C168" s="156" t="s">
        <v>602</v>
      </c>
      <c r="D168" s="156" t="s">
        <v>541</v>
      </c>
      <c r="E168" s="179">
        <v>9273000</v>
      </c>
      <c r="F168" s="179">
        <v>9273000</v>
      </c>
      <c r="G168" s="179">
        <v>9273000</v>
      </c>
      <c r="H168" s="179">
        <v>0</v>
      </c>
      <c r="I168" s="179">
        <v>8649305</v>
      </c>
      <c r="J168" s="179">
        <v>0</v>
      </c>
      <c r="K168" s="179">
        <v>623695</v>
      </c>
      <c r="L168" s="179">
        <v>623695</v>
      </c>
      <c r="M168" s="179">
        <v>0</v>
      </c>
      <c r="N168" s="179">
        <v>0</v>
      </c>
    </row>
    <row r="169" spans="1:14" s="156" customFormat="1" x14ac:dyDescent="0.25">
      <c r="A169" s="156" t="s">
        <v>544</v>
      </c>
      <c r="B169" s="156" t="s">
        <v>312</v>
      </c>
      <c r="C169" s="156" t="s">
        <v>603</v>
      </c>
      <c r="D169" s="156" t="s">
        <v>541</v>
      </c>
      <c r="E169" s="179">
        <v>1869000</v>
      </c>
      <c r="F169" s="179">
        <v>1869000</v>
      </c>
      <c r="G169" s="179">
        <v>1869000</v>
      </c>
      <c r="H169" s="179">
        <v>0</v>
      </c>
      <c r="I169" s="179">
        <v>1743255</v>
      </c>
      <c r="J169" s="179">
        <v>0</v>
      </c>
      <c r="K169" s="179">
        <v>125745</v>
      </c>
      <c r="L169" s="179">
        <v>125745</v>
      </c>
      <c r="M169" s="179">
        <v>0</v>
      </c>
      <c r="N169" s="179">
        <v>0</v>
      </c>
    </row>
    <row r="170" spans="1:14" s="156" customFormat="1" x14ac:dyDescent="0.25">
      <c r="A170" s="156" t="s">
        <v>544</v>
      </c>
      <c r="B170" s="156" t="s">
        <v>261</v>
      </c>
      <c r="C170" s="156" t="s">
        <v>262</v>
      </c>
      <c r="D170" s="156" t="s">
        <v>541</v>
      </c>
      <c r="E170" s="179">
        <v>24818000</v>
      </c>
      <c r="F170" s="179">
        <v>24818000</v>
      </c>
      <c r="G170" s="179">
        <v>12068000</v>
      </c>
      <c r="H170" s="179">
        <v>0</v>
      </c>
      <c r="I170" s="179">
        <v>4250000</v>
      </c>
      <c r="J170" s="179">
        <v>0</v>
      </c>
      <c r="K170" s="179">
        <v>131305</v>
      </c>
      <c r="L170" s="179">
        <v>131305</v>
      </c>
      <c r="M170" s="179">
        <v>20436695</v>
      </c>
      <c r="N170" s="179">
        <v>7686695</v>
      </c>
    </row>
    <row r="171" spans="1:14" s="156" customFormat="1" x14ac:dyDescent="0.25">
      <c r="A171" s="156" t="s">
        <v>544</v>
      </c>
      <c r="B171" s="156" t="s">
        <v>263</v>
      </c>
      <c r="C171" s="156" t="s">
        <v>264</v>
      </c>
      <c r="D171" s="156" t="s">
        <v>541</v>
      </c>
      <c r="E171" s="179">
        <v>17000000</v>
      </c>
      <c r="F171" s="179">
        <v>17000000</v>
      </c>
      <c r="G171" s="179">
        <v>4250000</v>
      </c>
      <c r="H171" s="179">
        <v>0</v>
      </c>
      <c r="I171" s="179">
        <v>4250000</v>
      </c>
      <c r="J171" s="179">
        <v>0</v>
      </c>
      <c r="K171" s="179">
        <v>0</v>
      </c>
      <c r="L171" s="179">
        <v>0</v>
      </c>
      <c r="M171" s="179">
        <v>12750000</v>
      </c>
      <c r="N171" s="179">
        <v>0</v>
      </c>
    </row>
    <row r="172" spans="1:14" s="156" customFormat="1" x14ac:dyDescent="0.25">
      <c r="A172" s="156" t="s">
        <v>544</v>
      </c>
      <c r="B172" s="156" t="s">
        <v>265</v>
      </c>
      <c r="C172" s="156" t="s">
        <v>266</v>
      </c>
      <c r="D172" s="156" t="s">
        <v>541</v>
      </c>
      <c r="E172" s="179">
        <v>7818000</v>
      </c>
      <c r="F172" s="179">
        <v>7818000</v>
      </c>
      <c r="G172" s="179">
        <v>7818000</v>
      </c>
      <c r="H172" s="179">
        <v>0</v>
      </c>
      <c r="I172" s="179">
        <v>0</v>
      </c>
      <c r="J172" s="179">
        <v>0</v>
      </c>
      <c r="K172" s="179">
        <v>131305</v>
      </c>
      <c r="L172" s="179">
        <v>131305</v>
      </c>
      <c r="M172" s="179">
        <v>7686695</v>
      </c>
      <c r="N172" s="179">
        <v>7686695</v>
      </c>
    </row>
    <row r="173" spans="1:14" s="156" customFormat="1" x14ac:dyDescent="0.25">
      <c r="A173" s="156" t="s">
        <v>544</v>
      </c>
      <c r="B173" s="156" t="s">
        <v>267</v>
      </c>
      <c r="C173" s="156" t="s">
        <v>268</v>
      </c>
      <c r="D173" s="156" t="s">
        <v>541</v>
      </c>
      <c r="E173" s="179">
        <v>8000000</v>
      </c>
      <c r="F173" s="179">
        <v>8000000</v>
      </c>
      <c r="G173" s="179">
        <v>2000000</v>
      </c>
      <c r="H173" s="179">
        <v>0</v>
      </c>
      <c r="I173" s="179">
        <v>0</v>
      </c>
      <c r="J173" s="179">
        <v>0</v>
      </c>
      <c r="K173" s="179">
        <v>0</v>
      </c>
      <c r="L173" s="179">
        <v>0</v>
      </c>
      <c r="M173" s="179">
        <v>8000000</v>
      </c>
      <c r="N173" s="179">
        <v>2000000</v>
      </c>
    </row>
    <row r="174" spans="1:14" s="156" customFormat="1" x14ac:dyDescent="0.25">
      <c r="A174" s="156" t="s">
        <v>544</v>
      </c>
      <c r="B174" s="156" t="s">
        <v>269</v>
      </c>
      <c r="C174" s="156" t="s">
        <v>270</v>
      </c>
      <c r="D174" s="156" t="s">
        <v>541</v>
      </c>
      <c r="E174" s="179">
        <v>8000000</v>
      </c>
      <c r="F174" s="179">
        <v>8000000</v>
      </c>
      <c r="G174" s="179">
        <v>2000000</v>
      </c>
      <c r="H174" s="179">
        <v>0</v>
      </c>
      <c r="I174" s="179">
        <v>0</v>
      </c>
      <c r="J174" s="179">
        <v>0</v>
      </c>
      <c r="K174" s="179">
        <v>0</v>
      </c>
      <c r="L174" s="179">
        <v>0</v>
      </c>
      <c r="M174" s="179">
        <v>8000000</v>
      </c>
      <c r="N174" s="179">
        <v>2000000</v>
      </c>
    </row>
    <row r="175" spans="1:14" s="156" customFormat="1" x14ac:dyDescent="0.25">
      <c r="A175" s="156" t="s">
        <v>544</v>
      </c>
      <c r="B175" s="156" t="s">
        <v>279</v>
      </c>
      <c r="C175" s="156" t="s">
        <v>280</v>
      </c>
      <c r="D175" s="156" t="s">
        <v>543</v>
      </c>
      <c r="E175" s="179">
        <v>29500000</v>
      </c>
      <c r="F175" s="179">
        <v>29500000</v>
      </c>
      <c r="G175" s="179">
        <v>7375000</v>
      </c>
      <c r="H175" s="179">
        <v>0</v>
      </c>
      <c r="I175" s="179">
        <v>0</v>
      </c>
      <c r="J175" s="179">
        <v>0</v>
      </c>
      <c r="K175" s="179">
        <v>0</v>
      </c>
      <c r="L175" s="179">
        <v>0</v>
      </c>
      <c r="M175" s="179">
        <v>29500000</v>
      </c>
      <c r="N175" s="179">
        <v>7375000</v>
      </c>
    </row>
    <row r="176" spans="1:14" s="156" customFormat="1" x14ac:dyDescent="0.25">
      <c r="A176" s="156" t="s">
        <v>544</v>
      </c>
      <c r="B176" s="156" t="s">
        <v>281</v>
      </c>
      <c r="C176" s="156" t="s">
        <v>282</v>
      </c>
      <c r="D176" s="156" t="s">
        <v>543</v>
      </c>
      <c r="E176" s="179">
        <v>29500000</v>
      </c>
      <c r="F176" s="179">
        <v>29500000</v>
      </c>
      <c r="G176" s="179">
        <v>7375000</v>
      </c>
      <c r="H176" s="179">
        <v>0</v>
      </c>
      <c r="I176" s="179">
        <v>0</v>
      </c>
      <c r="J176" s="179">
        <v>0</v>
      </c>
      <c r="K176" s="179">
        <v>0</v>
      </c>
      <c r="L176" s="179">
        <v>0</v>
      </c>
      <c r="M176" s="179">
        <v>29500000</v>
      </c>
      <c r="N176" s="179">
        <v>7375000</v>
      </c>
    </row>
    <row r="177" spans="1:14" s="156" customFormat="1" x14ac:dyDescent="0.25">
      <c r="A177" s="156" t="s">
        <v>544</v>
      </c>
      <c r="B177" s="156" t="s">
        <v>285</v>
      </c>
      <c r="C177" s="156" t="s">
        <v>286</v>
      </c>
      <c r="D177" s="156" t="s">
        <v>543</v>
      </c>
      <c r="E177" s="179">
        <v>4700000</v>
      </c>
      <c r="F177" s="179">
        <v>4700000</v>
      </c>
      <c r="G177" s="179">
        <v>1175000</v>
      </c>
      <c r="H177" s="179">
        <v>0</v>
      </c>
      <c r="I177" s="179">
        <v>0</v>
      </c>
      <c r="J177" s="179">
        <v>0</v>
      </c>
      <c r="K177" s="179">
        <v>0</v>
      </c>
      <c r="L177" s="179">
        <v>0</v>
      </c>
      <c r="M177" s="179">
        <v>4700000</v>
      </c>
      <c r="N177" s="179">
        <v>1175000</v>
      </c>
    </row>
    <row r="178" spans="1:14" s="156" customFormat="1" x14ac:dyDescent="0.25">
      <c r="A178" s="156" t="s">
        <v>544</v>
      </c>
      <c r="B178" s="156" t="s">
        <v>287</v>
      </c>
      <c r="C178" s="156" t="s">
        <v>288</v>
      </c>
      <c r="D178" s="156" t="s">
        <v>543</v>
      </c>
      <c r="E178" s="179">
        <v>3800000</v>
      </c>
      <c r="F178" s="179">
        <v>3800000</v>
      </c>
      <c r="G178" s="179">
        <v>950000</v>
      </c>
      <c r="H178" s="179">
        <v>0</v>
      </c>
      <c r="I178" s="179">
        <v>0</v>
      </c>
      <c r="J178" s="179">
        <v>0</v>
      </c>
      <c r="K178" s="179">
        <v>0</v>
      </c>
      <c r="L178" s="179">
        <v>0</v>
      </c>
      <c r="M178" s="179">
        <v>3800000</v>
      </c>
      <c r="N178" s="179">
        <v>950000</v>
      </c>
    </row>
    <row r="179" spans="1:14" s="156" customFormat="1" x14ac:dyDescent="0.25">
      <c r="A179" s="156" t="s">
        <v>544</v>
      </c>
      <c r="B179" s="156" t="s">
        <v>289</v>
      </c>
      <c r="C179" s="156" t="s">
        <v>290</v>
      </c>
      <c r="D179" s="156" t="s">
        <v>543</v>
      </c>
      <c r="E179" s="179">
        <v>1000000</v>
      </c>
      <c r="F179" s="179">
        <v>1000000</v>
      </c>
      <c r="G179" s="179">
        <v>250000</v>
      </c>
      <c r="H179" s="179">
        <v>0</v>
      </c>
      <c r="I179" s="179">
        <v>0</v>
      </c>
      <c r="J179" s="179">
        <v>0</v>
      </c>
      <c r="K179" s="179">
        <v>0</v>
      </c>
      <c r="L179" s="179">
        <v>0</v>
      </c>
      <c r="M179" s="179">
        <v>1000000</v>
      </c>
      <c r="N179" s="179">
        <v>250000</v>
      </c>
    </row>
    <row r="180" spans="1:14" s="156" customFormat="1" x14ac:dyDescent="0.25">
      <c r="A180" s="156" t="s">
        <v>544</v>
      </c>
      <c r="B180" s="156" t="s">
        <v>293</v>
      </c>
      <c r="C180" s="156" t="s">
        <v>294</v>
      </c>
      <c r="D180" s="156" t="s">
        <v>543</v>
      </c>
      <c r="E180" s="179">
        <v>16000000</v>
      </c>
      <c r="F180" s="179">
        <v>16000000</v>
      </c>
      <c r="G180" s="179">
        <v>4000000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16000000</v>
      </c>
      <c r="N180" s="179">
        <v>4000000</v>
      </c>
    </row>
    <row r="181" spans="1:14" s="156" customFormat="1" x14ac:dyDescent="0.25">
      <c r="A181" s="156" t="s">
        <v>544</v>
      </c>
      <c r="B181" s="156" t="s">
        <v>295</v>
      </c>
      <c r="C181" s="156" t="s">
        <v>296</v>
      </c>
      <c r="D181" s="156" t="s">
        <v>543</v>
      </c>
      <c r="E181" s="179">
        <v>4000000</v>
      </c>
      <c r="F181" s="179">
        <v>4000000</v>
      </c>
      <c r="G181" s="179">
        <v>1000000</v>
      </c>
      <c r="H181" s="179">
        <v>0</v>
      </c>
      <c r="I181" s="179">
        <v>0</v>
      </c>
      <c r="J181" s="179">
        <v>0</v>
      </c>
      <c r="K181" s="179">
        <v>0</v>
      </c>
      <c r="L181" s="179">
        <v>0</v>
      </c>
      <c r="M181" s="179">
        <v>4000000</v>
      </c>
      <c r="N181" s="179">
        <v>1000000</v>
      </c>
    </row>
    <row r="182" spans="1:14" s="156" customFormat="1" x14ac:dyDescent="0.25">
      <c r="A182" s="156">
        <v>214781</v>
      </c>
      <c r="B182" s="156" t="s">
        <v>587</v>
      </c>
      <c r="C182" s="156" t="s">
        <v>587</v>
      </c>
      <c r="D182" s="156" t="s">
        <v>541</v>
      </c>
      <c r="E182" s="179">
        <v>11325587195</v>
      </c>
      <c r="F182" s="179">
        <v>11325587195</v>
      </c>
      <c r="G182" s="179">
        <v>10370131815.809999</v>
      </c>
      <c r="H182" s="179">
        <v>0</v>
      </c>
      <c r="I182" s="179">
        <v>1698443291.8599999</v>
      </c>
      <c r="J182" s="179">
        <v>26735455.469999999</v>
      </c>
      <c r="K182" s="179">
        <v>1129866383.6400001</v>
      </c>
      <c r="L182" s="179">
        <v>1124680217.5599999</v>
      </c>
      <c r="M182" s="179">
        <v>8470542064.0299997</v>
      </c>
      <c r="N182" s="179">
        <v>7515086684.8400002</v>
      </c>
    </row>
    <row r="183" spans="1:14" s="156" customFormat="1" x14ac:dyDescent="0.25">
      <c r="A183" s="156" t="s">
        <v>545</v>
      </c>
      <c r="B183" s="156" t="s">
        <v>92</v>
      </c>
      <c r="C183" s="156" t="s">
        <v>93</v>
      </c>
      <c r="D183" s="156" t="s">
        <v>541</v>
      </c>
      <c r="E183" s="179">
        <v>9908319000</v>
      </c>
      <c r="F183" s="179">
        <v>9908319000</v>
      </c>
      <c r="G183" s="179">
        <v>9908319000</v>
      </c>
      <c r="H183" s="179">
        <v>0</v>
      </c>
      <c r="I183" s="179">
        <v>1400975274</v>
      </c>
      <c r="J183" s="179">
        <v>0</v>
      </c>
      <c r="K183" s="179">
        <v>1112421330.22</v>
      </c>
      <c r="L183" s="179">
        <v>1112421330.22</v>
      </c>
      <c r="M183" s="179">
        <v>7394922395.7799997</v>
      </c>
      <c r="N183" s="179">
        <v>7394922395.7799997</v>
      </c>
    </row>
    <row r="184" spans="1:14" s="156" customFormat="1" x14ac:dyDescent="0.25">
      <c r="A184" s="156" t="s">
        <v>545</v>
      </c>
      <c r="B184" s="156" t="s">
        <v>94</v>
      </c>
      <c r="C184" s="156" t="s">
        <v>95</v>
      </c>
      <c r="D184" s="156" t="s">
        <v>541</v>
      </c>
      <c r="E184" s="179">
        <v>3418584000</v>
      </c>
      <c r="F184" s="179">
        <v>3418584000</v>
      </c>
      <c r="G184" s="179">
        <v>3418584000</v>
      </c>
      <c r="H184" s="179">
        <v>0</v>
      </c>
      <c r="I184" s="179">
        <v>0</v>
      </c>
      <c r="J184" s="179">
        <v>0</v>
      </c>
      <c r="K184" s="179">
        <v>247685310.81</v>
      </c>
      <c r="L184" s="179">
        <v>247685310.81</v>
      </c>
      <c r="M184" s="179">
        <v>3170898689.1900001</v>
      </c>
      <c r="N184" s="179">
        <v>3170898689.1900001</v>
      </c>
    </row>
    <row r="185" spans="1:14" s="156" customFormat="1" x14ac:dyDescent="0.25">
      <c r="A185" s="156" t="s">
        <v>545</v>
      </c>
      <c r="B185" s="156" t="s">
        <v>96</v>
      </c>
      <c r="C185" s="156" t="s">
        <v>97</v>
      </c>
      <c r="D185" s="156" t="s">
        <v>541</v>
      </c>
      <c r="E185" s="179">
        <v>3413584000</v>
      </c>
      <c r="F185" s="179">
        <v>3413584000</v>
      </c>
      <c r="G185" s="179">
        <v>3413584000</v>
      </c>
      <c r="H185" s="179">
        <v>0</v>
      </c>
      <c r="I185" s="179">
        <v>0</v>
      </c>
      <c r="J185" s="179">
        <v>0</v>
      </c>
      <c r="K185" s="179">
        <v>247685310.81</v>
      </c>
      <c r="L185" s="179">
        <v>247685310.81</v>
      </c>
      <c r="M185" s="179">
        <v>3165898689.1900001</v>
      </c>
      <c r="N185" s="179">
        <v>3165898689.1900001</v>
      </c>
    </row>
    <row r="186" spans="1:14" s="156" customFormat="1" x14ac:dyDescent="0.25">
      <c r="A186" s="156" t="s">
        <v>545</v>
      </c>
      <c r="B186" s="156" t="s">
        <v>313</v>
      </c>
      <c r="C186" s="156" t="s">
        <v>314</v>
      </c>
      <c r="D186" s="156" t="s">
        <v>541</v>
      </c>
      <c r="E186" s="179">
        <v>5000000</v>
      </c>
      <c r="F186" s="179">
        <v>5000000</v>
      </c>
      <c r="G186" s="179">
        <v>5000000</v>
      </c>
      <c r="H186" s="179">
        <v>0</v>
      </c>
      <c r="I186" s="179">
        <v>0</v>
      </c>
      <c r="J186" s="179">
        <v>0</v>
      </c>
      <c r="K186" s="179">
        <v>0</v>
      </c>
      <c r="L186" s="179">
        <v>0</v>
      </c>
      <c r="M186" s="179">
        <v>5000000</v>
      </c>
      <c r="N186" s="179">
        <v>5000000</v>
      </c>
    </row>
    <row r="187" spans="1:14" s="156" customFormat="1" x14ac:dyDescent="0.25">
      <c r="A187" s="156" t="s">
        <v>545</v>
      </c>
      <c r="B187" s="156" t="s">
        <v>98</v>
      </c>
      <c r="C187" s="156" t="s">
        <v>99</v>
      </c>
      <c r="D187" s="156" t="s">
        <v>541</v>
      </c>
      <c r="E187" s="179">
        <v>11000000</v>
      </c>
      <c r="F187" s="179">
        <v>11000000</v>
      </c>
      <c r="G187" s="179">
        <v>11000000</v>
      </c>
      <c r="H187" s="179">
        <v>0</v>
      </c>
      <c r="I187" s="179">
        <v>0</v>
      </c>
      <c r="J187" s="179">
        <v>0</v>
      </c>
      <c r="K187" s="179">
        <v>201750.39999999999</v>
      </c>
      <c r="L187" s="179">
        <v>201750.39999999999</v>
      </c>
      <c r="M187" s="179">
        <v>10798249.6</v>
      </c>
      <c r="N187" s="179">
        <v>10798249.6</v>
      </c>
    </row>
    <row r="188" spans="1:14" s="156" customFormat="1" x14ac:dyDescent="0.25">
      <c r="A188" s="156" t="s">
        <v>545</v>
      </c>
      <c r="B188" s="156" t="s">
        <v>100</v>
      </c>
      <c r="C188" s="156" t="s">
        <v>101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201750.39999999999</v>
      </c>
      <c r="L188" s="179">
        <v>201750.39999999999</v>
      </c>
      <c r="M188" s="179">
        <v>10798249.6</v>
      </c>
      <c r="N188" s="179">
        <v>10798249.6</v>
      </c>
    </row>
    <row r="189" spans="1:14" s="156" customFormat="1" x14ac:dyDescent="0.25">
      <c r="A189" s="156" t="s">
        <v>545</v>
      </c>
      <c r="B189" s="156" t="s">
        <v>102</v>
      </c>
      <c r="C189" s="156" t="s">
        <v>103</v>
      </c>
      <c r="D189" s="156" t="s">
        <v>541</v>
      </c>
      <c r="E189" s="179">
        <v>4978167000</v>
      </c>
      <c r="F189" s="179">
        <v>4978167000</v>
      </c>
      <c r="G189" s="179">
        <v>4978167000</v>
      </c>
      <c r="H189" s="179">
        <v>0</v>
      </c>
      <c r="I189" s="179">
        <v>0</v>
      </c>
      <c r="J189" s="179">
        <v>0</v>
      </c>
      <c r="K189" s="179">
        <v>764941543.00999999</v>
      </c>
      <c r="L189" s="179">
        <v>764941543.00999999</v>
      </c>
      <c r="M189" s="179">
        <v>4213225456.9899998</v>
      </c>
      <c r="N189" s="179">
        <v>4213225456.9899998</v>
      </c>
    </row>
    <row r="190" spans="1:14" s="156" customFormat="1" x14ac:dyDescent="0.25">
      <c r="A190" s="156" t="s">
        <v>545</v>
      </c>
      <c r="B190" s="156" t="s">
        <v>104</v>
      </c>
      <c r="C190" s="156" t="s">
        <v>105</v>
      </c>
      <c r="D190" s="156" t="s">
        <v>541</v>
      </c>
      <c r="E190" s="179">
        <v>913627000</v>
      </c>
      <c r="F190" s="179">
        <v>913627000</v>
      </c>
      <c r="G190" s="179">
        <v>913627000</v>
      </c>
      <c r="H190" s="179">
        <v>0</v>
      </c>
      <c r="I190" s="179">
        <v>0</v>
      </c>
      <c r="J190" s="179">
        <v>0</v>
      </c>
      <c r="K190" s="179">
        <v>62082262.689999998</v>
      </c>
      <c r="L190" s="179">
        <v>62082262.689999998</v>
      </c>
      <c r="M190" s="179">
        <v>851544737.30999994</v>
      </c>
      <c r="N190" s="179">
        <v>851544737.30999994</v>
      </c>
    </row>
    <row r="191" spans="1:14" s="156" customFormat="1" x14ac:dyDescent="0.25">
      <c r="A191" s="156" t="s">
        <v>545</v>
      </c>
      <c r="B191" s="156" t="s">
        <v>106</v>
      </c>
      <c r="C191" s="156" t="s">
        <v>107</v>
      </c>
      <c r="D191" s="156" t="s">
        <v>541</v>
      </c>
      <c r="E191" s="179">
        <v>2244831000</v>
      </c>
      <c r="F191" s="179">
        <v>2244831000</v>
      </c>
      <c r="G191" s="179">
        <v>2244831000</v>
      </c>
      <c r="H191" s="179">
        <v>0</v>
      </c>
      <c r="I191" s="179">
        <v>0</v>
      </c>
      <c r="J191" s="179">
        <v>0</v>
      </c>
      <c r="K191" s="179">
        <v>162623391.34999999</v>
      </c>
      <c r="L191" s="179">
        <v>162623391.34999999</v>
      </c>
      <c r="M191" s="179">
        <v>2082207608.6500001</v>
      </c>
      <c r="N191" s="179">
        <v>2082207608.6500001</v>
      </c>
    </row>
    <row r="192" spans="1:14" s="156" customFormat="1" x14ac:dyDescent="0.25">
      <c r="A192" s="156" t="s">
        <v>545</v>
      </c>
      <c r="B192" s="156" t="s">
        <v>108</v>
      </c>
      <c r="C192" s="156" t="s">
        <v>109</v>
      </c>
      <c r="D192" s="156" t="s">
        <v>541</v>
      </c>
      <c r="E192" s="179">
        <v>540993000</v>
      </c>
      <c r="F192" s="179">
        <v>540993000</v>
      </c>
      <c r="G192" s="179">
        <v>540993000</v>
      </c>
      <c r="H192" s="179">
        <v>0</v>
      </c>
      <c r="I192" s="179">
        <v>0</v>
      </c>
      <c r="J192" s="179">
        <v>0</v>
      </c>
      <c r="K192" s="179">
        <v>493915397.87</v>
      </c>
      <c r="L192" s="179">
        <v>493915397.87</v>
      </c>
      <c r="M192" s="179">
        <v>47077602.130000003</v>
      </c>
      <c r="N192" s="179">
        <v>47077602.130000003</v>
      </c>
    </row>
    <row r="193" spans="1:14" s="156" customFormat="1" x14ac:dyDescent="0.25">
      <c r="A193" s="156" t="s">
        <v>545</v>
      </c>
      <c r="B193" s="156" t="s">
        <v>110</v>
      </c>
      <c r="C193" s="156" t="s">
        <v>111</v>
      </c>
      <c r="D193" s="156" t="s">
        <v>541</v>
      </c>
      <c r="E193" s="179">
        <v>630877000</v>
      </c>
      <c r="F193" s="179">
        <v>630877000</v>
      </c>
      <c r="G193" s="179">
        <v>630877000</v>
      </c>
      <c r="H193" s="179">
        <v>0</v>
      </c>
      <c r="I193" s="179">
        <v>0</v>
      </c>
      <c r="J193" s="179">
        <v>0</v>
      </c>
      <c r="K193" s="179">
        <v>46320491.100000001</v>
      </c>
      <c r="L193" s="179">
        <v>46320491.100000001</v>
      </c>
      <c r="M193" s="179">
        <v>584556508.89999998</v>
      </c>
      <c r="N193" s="179">
        <v>584556508.89999998</v>
      </c>
    </row>
    <row r="194" spans="1:14" s="156" customFormat="1" x14ac:dyDescent="0.25">
      <c r="A194" s="156" t="s">
        <v>545</v>
      </c>
      <c r="B194" s="156" t="s">
        <v>112</v>
      </c>
      <c r="C194" s="156" t="s">
        <v>113</v>
      </c>
      <c r="D194" s="156" t="s">
        <v>543</v>
      </c>
      <c r="E194" s="179">
        <v>647839000</v>
      </c>
      <c r="F194" s="179">
        <v>647839000</v>
      </c>
      <c r="G194" s="179">
        <v>647839000</v>
      </c>
      <c r="H194" s="179">
        <v>0</v>
      </c>
      <c r="I194" s="179">
        <v>0</v>
      </c>
      <c r="J194" s="179">
        <v>0</v>
      </c>
      <c r="K194" s="179">
        <v>0</v>
      </c>
      <c r="L194" s="179">
        <v>0</v>
      </c>
      <c r="M194" s="179">
        <v>647839000</v>
      </c>
      <c r="N194" s="179">
        <v>647839000</v>
      </c>
    </row>
    <row r="195" spans="1:14" s="156" customFormat="1" x14ac:dyDescent="0.25">
      <c r="A195" s="156" t="s">
        <v>545</v>
      </c>
      <c r="B195" s="156" t="s">
        <v>114</v>
      </c>
      <c r="C195" s="156" t="s">
        <v>115</v>
      </c>
      <c r="D195" s="156" t="s">
        <v>541</v>
      </c>
      <c r="E195" s="179">
        <v>756883000</v>
      </c>
      <c r="F195" s="179">
        <v>756883000</v>
      </c>
      <c r="G195" s="179">
        <v>756883000</v>
      </c>
      <c r="H195" s="179">
        <v>0</v>
      </c>
      <c r="I195" s="179">
        <v>706315490</v>
      </c>
      <c r="J195" s="179">
        <v>0</v>
      </c>
      <c r="K195" s="179">
        <v>50567510</v>
      </c>
      <c r="L195" s="179">
        <v>50567510</v>
      </c>
      <c r="M195" s="179">
        <v>0</v>
      </c>
      <c r="N195" s="179">
        <v>0</v>
      </c>
    </row>
    <row r="196" spans="1:14" s="156" customFormat="1" x14ac:dyDescent="0.25">
      <c r="A196" s="156" t="s">
        <v>545</v>
      </c>
      <c r="B196" s="156" t="s">
        <v>315</v>
      </c>
      <c r="C196" s="156" t="s">
        <v>597</v>
      </c>
      <c r="D196" s="156" t="s">
        <v>541</v>
      </c>
      <c r="E196" s="179">
        <v>718069000</v>
      </c>
      <c r="F196" s="179">
        <v>718069000</v>
      </c>
      <c r="G196" s="179">
        <v>718069000</v>
      </c>
      <c r="H196" s="179">
        <v>0</v>
      </c>
      <c r="I196" s="179">
        <v>670094080</v>
      </c>
      <c r="J196" s="179">
        <v>0</v>
      </c>
      <c r="K196" s="179">
        <v>47974920</v>
      </c>
      <c r="L196" s="179">
        <v>47974920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316</v>
      </c>
      <c r="C197" s="156" t="s">
        <v>583</v>
      </c>
      <c r="D197" s="156" t="s">
        <v>541</v>
      </c>
      <c r="E197" s="179">
        <v>38814000</v>
      </c>
      <c r="F197" s="179">
        <v>38814000</v>
      </c>
      <c r="G197" s="179">
        <v>38814000</v>
      </c>
      <c r="H197" s="179">
        <v>0</v>
      </c>
      <c r="I197" s="179">
        <v>36221410</v>
      </c>
      <c r="J197" s="179">
        <v>0</v>
      </c>
      <c r="K197" s="179">
        <v>2592590</v>
      </c>
      <c r="L197" s="179">
        <v>2592590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118</v>
      </c>
      <c r="C198" s="156" t="s">
        <v>119</v>
      </c>
      <c r="D198" s="156" t="s">
        <v>541</v>
      </c>
      <c r="E198" s="179">
        <v>743685000</v>
      </c>
      <c r="F198" s="179">
        <v>743685000</v>
      </c>
      <c r="G198" s="179">
        <v>743685000</v>
      </c>
      <c r="H198" s="179">
        <v>0</v>
      </c>
      <c r="I198" s="179">
        <v>694659784</v>
      </c>
      <c r="J198" s="179">
        <v>0</v>
      </c>
      <c r="K198" s="179">
        <v>49025216</v>
      </c>
      <c r="L198" s="179">
        <v>49025216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317</v>
      </c>
      <c r="C199" s="156" t="s">
        <v>598</v>
      </c>
      <c r="D199" s="156" t="s">
        <v>541</v>
      </c>
      <c r="E199" s="179">
        <v>394355000</v>
      </c>
      <c r="F199" s="179">
        <v>394355000</v>
      </c>
      <c r="G199" s="179">
        <v>394355000</v>
      </c>
      <c r="H199" s="179">
        <v>0</v>
      </c>
      <c r="I199" s="179">
        <v>368663052</v>
      </c>
      <c r="J199" s="179">
        <v>0</v>
      </c>
      <c r="K199" s="179">
        <v>25691948</v>
      </c>
      <c r="L199" s="179">
        <v>25691948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318</v>
      </c>
      <c r="C200" s="156" t="s">
        <v>599</v>
      </c>
      <c r="D200" s="156" t="s">
        <v>541</v>
      </c>
      <c r="E200" s="179">
        <v>116443000</v>
      </c>
      <c r="F200" s="179">
        <v>116443000</v>
      </c>
      <c r="G200" s="179">
        <v>116443000</v>
      </c>
      <c r="H200" s="179">
        <v>0</v>
      </c>
      <c r="I200" s="179">
        <v>108665245</v>
      </c>
      <c r="J200" s="179">
        <v>0</v>
      </c>
      <c r="K200" s="179">
        <v>7777755</v>
      </c>
      <c r="L200" s="179">
        <v>7777755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319</v>
      </c>
      <c r="C201" s="156" t="s">
        <v>600</v>
      </c>
      <c r="D201" s="156" t="s">
        <v>541</v>
      </c>
      <c r="E201" s="179">
        <v>232887000</v>
      </c>
      <c r="F201" s="179">
        <v>232887000</v>
      </c>
      <c r="G201" s="179">
        <v>232887000</v>
      </c>
      <c r="H201" s="179">
        <v>0</v>
      </c>
      <c r="I201" s="179">
        <v>217331487</v>
      </c>
      <c r="J201" s="179">
        <v>0</v>
      </c>
      <c r="K201" s="179">
        <v>15555513</v>
      </c>
      <c r="L201" s="179">
        <v>15555513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123</v>
      </c>
      <c r="C202" s="156" t="s">
        <v>124</v>
      </c>
      <c r="D202" s="156" t="s">
        <v>541</v>
      </c>
      <c r="E202" s="179">
        <v>1006874402</v>
      </c>
      <c r="F202" s="179">
        <v>1006874402</v>
      </c>
      <c r="G202" s="179">
        <v>280399300</v>
      </c>
      <c r="H202" s="179">
        <v>0</v>
      </c>
      <c r="I202" s="179">
        <v>167497790.59999999</v>
      </c>
      <c r="J202" s="179">
        <v>26735455.469999999</v>
      </c>
      <c r="K202" s="179">
        <v>5702417.5800000001</v>
      </c>
      <c r="L202" s="179">
        <v>1304651.5</v>
      </c>
      <c r="M202" s="179">
        <v>806938738.35000002</v>
      </c>
      <c r="N202" s="179">
        <v>80463636.349999994</v>
      </c>
    </row>
    <row r="203" spans="1:14" s="156" customFormat="1" x14ac:dyDescent="0.25">
      <c r="A203" s="156" t="s">
        <v>545</v>
      </c>
      <c r="B203" s="156" t="s">
        <v>125</v>
      </c>
      <c r="C203" s="156" t="s">
        <v>126</v>
      </c>
      <c r="D203" s="156" t="s">
        <v>541</v>
      </c>
      <c r="E203" s="179">
        <v>331717997</v>
      </c>
      <c r="F203" s="179">
        <v>331717997</v>
      </c>
      <c r="G203" s="179">
        <v>92129499</v>
      </c>
      <c r="H203" s="179">
        <v>0</v>
      </c>
      <c r="I203" s="179">
        <v>69124405.530000001</v>
      </c>
      <c r="J203" s="179">
        <v>7924070</v>
      </c>
      <c r="K203" s="179">
        <v>0</v>
      </c>
      <c r="L203" s="179">
        <v>0</v>
      </c>
      <c r="M203" s="179">
        <v>254669521.47</v>
      </c>
      <c r="N203" s="179">
        <v>15081023.470000001</v>
      </c>
    </row>
    <row r="204" spans="1:14" s="156" customFormat="1" x14ac:dyDescent="0.25">
      <c r="A204" s="156" t="s">
        <v>545</v>
      </c>
      <c r="B204" s="156" t="s">
        <v>306</v>
      </c>
      <c r="C204" s="156" t="s">
        <v>307</v>
      </c>
      <c r="D204" s="156" t="s">
        <v>541</v>
      </c>
      <c r="E204" s="179">
        <v>200526630</v>
      </c>
      <c r="F204" s="179">
        <v>200526630</v>
      </c>
      <c r="G204" s="179">
        <v>50131657</v>
      </c>
      <c r="H204" s="179">
        <v>0</v>
      </c>
      <c r="I204" s="179">
        <v>27608155</v>
      </c>
      <c r="J204" s="179">
        <v>7924070</v>
      </c>
      <c r="K204" s="179">
        <v>0</v>
      </c>
      <c r="L204" s="179">
        <v>0</v>
      </c>
      <c r="M204" s="179">
        <v>164994405</v>
      </c>
      <c r="N204" s="179">
        <v>14599432</v>
      </c>
    </row>
    <row r="205" spans="1:14" s="156" customFormat="1" x14ac:dyDescent="0.25">
      <c r="A205" s="156" t="s">
        <v>545</v>
      </c>
      <c r="B205" s="156" t="s">
        <v>320</v>
      </c>
      <c r="C205" s="156" t="s">
        <v>321</v>
      </c>
      <c r="D205" s="156" t="s">
        <v>541</v>
      </c>
      <c r="E205" s="179">
        <v>3933000</v>
      </c>
      <c r="F205" s="179">
        <v>3933000</v>
      </c>
      <c r="G205" s="179">
        <v>983250</v>
      </c>
      <c r="H205" s="179">
        <v>0</v>
      </c>
      <c r="I205" s="179">
        <v>840885.85</v>
      </c>
      <c r="J205" s="179">
        <v>0</v>
      </c>
      <c r="K205" s="179">
        <v>0</v>
      </c>
      <c r="L205" s="179">
        <v>0</v>
      </c>
      <c r="M205" s="179">
        <v>3092114.15</v>
      </c>
      <c r="N205" s="179">
        <v>142364.15</v>
      </c>
    </row>
    <row r="206" spans="1:14" s="156" customFormat="1" x14ac:dyDescent="0.25">
      <c r="A206" s="156" t="s">
        <v>545</v>
      </c>
      <c r="B206" s="156" t="s">
        <v>127</v>
      </c>
      <c r="C206" s="156" t="s">
        <v>128</v>
      </c>
      <c r="D206" s="156" t="s">
        <v>541</v>
      </c>
      <c r="E206" s="179">
        <v>98126131</v>
      </c>
      <c r="F206" s="179">
        <v>98126131</v>
      </c>
      <c r="G206" s="179">
        <v>31531533</v>
      </c>
      <c r="H206" s="179">
        <v>0</v>
      </c>
      <c r="I206" s="179">
        <v>31482183.57</v>
      </c>
      <c r="J206" s="179">
        <v>0</v>
      </c>
      <c r="K206" s="179">
        <v>0</v>
      </c>
      <c r="L206" s="179">
        <v>0</v>
      </c>
      <c r="M206" s="179">
        <v>66643947.43</v>
      </c>
      <c r="N206" s="179">
        <v>49349.43</v>
      </c>
    </row>
    <row r="207" spans="1:14" s="156" customFormat="1" x14ac:dyDescent="0.25">
      <c r="A207" s="156" t="s">
        <v>545</v>
      </c>
      <c r="B207" s="156" t="s">
        <v>322</v>
      </c>
      <c r="C207" s="156" t="s">
        <v>323</v>
      </c>
      <c r="D207" s="156" t="s">
        <v>541</v>
      </c>
      <c r="E207" s="179">
        <v>1774000</v>
      </c>
      <c r="F207" s="179">
        <v>1774000</v>
      </c>
      <c r="G207" s="179">
        <v>443500</v>
      </c>
      <c r="H207" s="179">
        <v>0</v>
      </c>
      <c r="I207" s="179">
        <v>162259.43</v>
      </c>
      <c r="J207" s="179">
        <v>0</v>
      </c>
      <c r="K207" s="179">
        <v>0</v>
      </c>
      <c r="L207" s="179">
        <v>0</v>
      </c>
      <c r="M207" s="179">
        <v>1611740.57</v>
      </c>
      <c r="N207" s="179">
        <v>281240.57</v>
      </c>
    </row>
    <row r="208" spans="1:14" s="156" customFormat="1" x14ac:dyDescent="0.25">
      <c r="A208" s="156" t="s">
        <v>545</v>
      </c>
      <c r="B208" s="156" t="s">
        <v>129</v>
      </c>
      <c r="C208" s="156" t="s">
        <v>130</v>
      </c>
      <c r="D208" s="156" t="s">
        <v>541</v>
      </c>
      <c r="E208" s="179">
        <v>27358236</v>
      </c>
      <c r="F208" s="179">
        <v>27358236</v>
      </c>
      <c r="G208" s="179">
        <v>9039559</v>
      </c>
      <c r="H208" s="179">
        <v>0</v>
      </c>
      <c r="I208" s="179">
        <v>9030921.6799999997</v>
      </c>
      <c r="J208" s="179">
        <v>0</v>
      </c>
      <c r="K208" s="179">
        <v>0</v>
      </c>
      <c r="L208" s="179">
        <v>0</v>
      </c>
      <c r="M208" s="179">
        <v>18327314.32</v>
      </c>
      <c r="N208" s="179">
        <v>8637.32</v>
      </c>
    </row>
    <row r="209" spans="1:14" s="156" customFormat="1" x14ac:dyDescent="0.25">
      <c r="A209" s="156" t="s">
        <v>545</v>
      </c>
      <c r="B209" s="156" t="s">
        <v>131</v>
      </c>
      <c r="C209" s="156" t="s">
        <v>132</v>
      </c>
      <c r="D209" s="156" t="s">
        <v>541</v>
      </c>
      <c r="E209" s="179">
        <v>126929000</v>
      </c>
      <c r="F209" s="179">
        <v>126929000</v>
      </c>
      <c r="G209" s="179">
        <v>35732250</v>
      </c>
      <c r="H209" s="179">
        <v>0</v>
      </c>
      <c r="I209" s="179">
        <v>19709809.559999999</v>
      </c>
      <c r="J209" s="179">
        <v>0</v>
      </c>
      <c r="K209" s="179">
        <v>2977084.68</v>
      </c>
      <c r="L209" s="179">
        <v>0</v>
      </c>
      <c r="M209" s="179">
        <v>104242105.76000001</v>
      </c>
      <c r="N209" s="179">
        <v>13045355.76</v>
      </c>
    </row>
    <row r="210" spans="1:14" s="156" customFormat="1" x14ac:dyDescent="0.25">
      <c r="A210" s="156" t="s">
        <v>545</v>
      </c>
      <c r="B210" s="156" t="s">
        <v>133</v>
      </c>
      <c r="C210" s="156" t="s">
        <v>134</v>
      </c>
      <c r="D210" s="156" t="s">
        <v>541</v>
      </c>
      <c r="E210" s="179">
        <v>13400000</v>
      </c>
      <c r="F210" s="179">
        <v>13400000</v>
      </c>
      <c r="G210" s="179">
        <v>7350000</v>
      </c>
      <c r="H210" s="179">
        <v>0</v>
      </c>
      <c r="I210" s="179">
        <v>3130534</v>
      </c>
      <c r="J210" s="179">
        <v>0</v>
      </c>
      <c r="K210" s="179">
        <v>1060635</v>
      </c>
      <c r="L210" s="179">
        <v>0</v>
      </c>
      <c r="M210" s="179">
        <v>9208831</v>
      </c>
      <c r="N210" s="179">
        <v>3158831</v>
      </c>
    </row>
    <row r="211" spans="1:14" s="156" customFormat="1" x14ac:dyDescent="0.25">
      <c r="A211" s="156" t="s">
        <v>545</v>
      </c>
      <c r="B211" s="156" t="s">
        <v>135</v>
      </c>
      <c r="C211" s="156" t="s">
        <v>136</v>
      </c>
      <c r="D211" s="156" t="s">
        <v>541</v>
      </c>
      <c r="E211" s="179">
        <v>49200000</v>
      </c>
      <c r="F211" s="179">
        <v>49200000</v>
      </c>
      <c r="G211" s="179">
        <v>12300000</v>
      </c>
      <c r="H211" s="179">
        <v>0</v>
      </c>
      <c r="I211" s="179">
        <v>9000000</v>
      </c>
      <c r="J211" s="179">
        <v>0</v>
      </c>
      <c r="K211" s="179">
        <v>0</v>
      </c>
      <c r="L211" s="179">
        <v>0</v>
      </c>
      <c r="M211" s="179">
        <v>40200000</v>
      </c>
      <c r="N211" s="179">
        <v>3300000</v>
      </c>
    </row>
    <row r="212" spans="1:14" s="156" customFormat="1" x14ac:dyDescent="0.25">
      <c r="A212" s="156" t="s">
        <v>545</v>
      </c>
      <c r="B212" s="156" t="s">
        <v>137</v>
      </c>
      <c r="C212" s="156" t="s">
        <v>138</v>
      </c>
      <c r="D212" s="156" t="s">
        <v>541</v>
      </c>
      <c r="E212" s="179">
        <v>12000000</v>
      </c>
      <c r="F212" s="179">
        <v>12000000</v>
      </c>
      <c r="G212" s="179">
        <v>3000000</v>
      </c>
      <c r="H212" s="179">
        <v>0</v>
      </c>
      <c r="I212" s="179">
        <v>266590</v>
      </c>
      <c r="J212" s="179">
        <v>0</v>
      </c>
      <c r="K212" s="179">
        <v>208700</v>
      </c>
      <c r="L212" s="179">
        <v>0</v>
      </c>
      <c r="M212" s="179">
        <v>11524710</v>
      </c>
      <c r="N212" s="179">
        <v>2524710</v>
      </c>
    </row>
    <row r="213" spans="1:14" s="156" customFormat="1" x14ac:dyDescent="0.25">
      <c r="A213" s="156" t="s">
        <v>545</v>
      </c>
      <c r="B213" s="156" t="s">
        <v>139</v>
      </c>
      <c r="C213" s="156" t="s">
        <v>140</v>
      </c>
      <c r="D213" s="156" t="s">
        <v>541</v>
      </c>
      <c r="E213" s="179">
        <v>47604000</v>
      </c>
      <c r="F213" s="179">
        <v>47604000</v>
      </c>
      <c r="G213" s="179">
        <v>11901000</v>
      </c>
      <c r="H213" s="179">
        <v>0</v>
      </c>
      <c r="I213" s="179">
        <v>7231685.5599999996</v>
      </c>
      <c r="J213" s="179">
        <v>0</v>
      </c>
      <c r="K213" s="179">
        <v>1707749.68</v>
      </c>
      <c r="L213" s="179">
        <v>0</v>
      </c>
      <c r="M213" s="179">
        <v>38664564.759999998</v>
      </c>
      <c r="N213" s="179">
        <v>2961564.76</v>
      </c>
    </row>
    <row r="214" spans="1:14" s="156" customFormat="1" x14ac:dyDescent="0.25">
      <c r="A214" s="156" t="s">
        <v>545</v>
      </c>
      <c r="B214" s="156" t="s">
        <v>141</v>
      </c>
      <c r="C214" s="156" t="s">
        <v>142</v>
      </c>
      <c r="D214" s="156" t="s">
        <v>541</v>
      </c>
      <c r="E214" s="179">
        <v>4725000</v>
      </c>
      <c r="F214" s="179">
        <v>4725000</v>
      </c>
      <c r="G214" s="179">
        <v>1181250</v>
      </c>
      <c r="H214" s="179">
        <v>0</v>
      </c>
      <c r="I214" s="179">
        <v>81000</v>
      </c>
      <c r="J214" s="179">
        <v>0</v>
      </c>
      <c r="K214" s="179">
        <v>0</v>
      </c>
      <c r="L214" s="179">
        <v>0</v>
      </c>
      <c r="M214" s="179">
        <v>4644000</v>
      </c>
      <c r="N214" s="179">
        <v>1100250</v>
      </c>
    </row>
    <row r="215" spans="1:14" s="156" customFormat="1" x14ac:dyDescent="0.25">
      <c r="A215" s="156" t="s">
        <v>545</v>
      </c>
      <c r="B215" s="156" t="s">
        <v>143</v>
      </c>
      <c r="C215" s="156" t="s">
        <v>144</v>
      </c>
      <c r="D215" s="156" t="s">
        <v>541</v>
      </c>
      <c r="E215" s="179">
        <v>3746000</v>
      </c>
      <c r="F215" s="179">
        <v>3746000</v>
      </c>
      <c r="G215" s="179">
        <v>1267200</v>
      </c>
      <c r="H215" s="179">
        <v>0</v>
      </c>
      <c r="I215" s="179">
        <v>776281.42</v>
      </c>
      <c r="J215" s="179">
        <v>0</v>
      </c>
      <c r="K215" s="179">
        <v>117362.9</v>
      </c>
      <c r="L215" s="179">
        <v>29181.5</v>
      </c>
      <c r="M215" s="179">
        <v>2852355.68</v>
      </c>
      <c r="N215" s="179">
        <v>373555.68</v>
      </c>
    </row>
    <row r="216" spans="1:14" s="156" customFormat="1" x14ac:dyDescent="0.25">
      <c r="A216" s="156" t="s">
        <v>545</v>
      </c>
      <c r="B216" s="156" t="s">
        <v>145</v>
      </c>
      <c r="C216" s="156" t="s">
        <v>146</v>
      </c>
      <c r="D216" s="156" t="s">
        <v>541</v>
      </c>
      <c r="E216" s="179">
        <v>500000</v>
      </c>
      <c r="F216" s="179">
        <v>500000</v>
      </c>
      <c r="G216" s="179">
        <v>305700</v>
      </c>
      <c r="H216" s="179">
        <v>0</v>
      </c>
      <c r="I216" s="179">
        <v>133730</v>
      </c>
      <c r="J216" s="179">
        <v>0</v>
      </c>
      <c r="K216" s="179">
        <v>71970</v>
      </c>
      <c r="L216" s="179">
        <v>0</v>
      </c>
      <c r="M216" s="179">
        <v>294300</v>
      </c>
      <c r="N216" s="179">
        <v>100000</v>
      </c>
    </row>
    <row r="217" spans="1:14" s="156" customFormat="1" x14ac:dyDescent="0.25">
      <c r="A217" s="156" t="s">
        <v>545</v>
      </c>
      <c r="B217" s="156" t="s">
        <v>147</v>
      </c>
      <c r="C217" s="156" t="s">
        <v>148</v>
      </c>
      <c r="D217" s="156" t="s">
        <v>541</v>
      </c>
      <c r="E217" s="179">
        <v>1000000</v>
      </c>
      <c r="F217" s="179">
        <v>1000000</v>
      </c>
      <c r="G217" s="179">
        <v>250000</v>
      </c>
      <c r="H217" s="179">
        <v>0</v>
      </c>
      <c r="I217" s="179">
        <v>80327</v>
      </c>
      <c r="J217" s="179">
        <v>0</v>
      </c>
      <c r="K217" s="179">
        <v>21950</v>
      </c>
      <c r="L217" s="179">
        <v>21950</v>
      </c>
      <c r="M217" s="179">
        <v>897723</v>
      </c>
      <c r="N217" s="179">
        <v>147723</v>
      </c>
    </row>
    <row r="218" spans="1:14" s="156" customFormat="1" x14ac:dyDescent="0.25">
      <c r="A218" s="156" t="s">
        <v>545</v>
      </c>
      <c r="B218" s="156" t="s">
        <v>149</v>
      </c>
      <c r="C218" s="156" t="s">
        <v>150</v>
      </c>
      <c r="D218" s="156" t="s">
        <v>541</v>
      </c>
      <c r="E218" s="179">
        <v>200000</v>
      </c>
      <c r="F218" s="179">
        <v>200000</v>
      </c>
      <c r="G218" s="179">
        <v>200000</v>
      </c>
      <c r="H218" s="179">
        <v>0</v>
      </c>
      <c r="I218" s="179">
        <v>149793</v>
      </c>
      <c r="J218" s="179">
        <v>0</v>
      </c>
      <c r="K218" s="179">
        <v>7231.5</v>
      </c>
      <c r="L218" s="179">
        <v>7231.5</v>
      </c>
      <c r="M218" s="179">
        <v>42975.5</v>
      </c>
      <c r="N218" s="179">
        <v>42975.5</v>
      </c>
    </row>
    <row r="219" spans="1:14" s="156" customFormat="1" x14ac:dyDescent="0.25">
      <c r="A219" s="156" t="s">
        <v>545</v>
      </c>
      <c r="B219" s="156" t="s">
        <v>326</v>
      </c>
      <c r="C219" s="156" t="s">
        <v>327</v>
      </c>
      <c r="D219" s="156" t="s">
        <v>541</v>
      </c>
      <c r="E219" s="179">
        <v>2046000</v>
      </c>
      <c r="F219" s="179">
        <v>2046000</v>
      </c>
      <c r="G219" s="179">
        <v>511500</v>
      </c>
      <c r="H219" s="179">
        <v>0</v>
      </c>
      <c r="I219" s="179">
        <v>412431.42</v>
      </c>
      <c r="J219" s="179">
        <v>0</v>
      </c>
      <c r="K219" s="179">
        <v>16211.4</v>
      </c>
      <c r="L219" s="179">
        <v>0</v>
      </c>
      <c r="M219" s="179">
        <v>1617357.18</v>
      </c>
      <c r="N219" s="179">
        <v>82857.179999999993</v>
      </c>
    </row>
    <row r="220" spans="1:14" s="156" customFormat="1" x14ac:dyDescent="0.25">
      <c r="A220" s="156" t="s">
        <v>545</v>
      </c>
      <c r="B220" s="156" t="s">
        <v>151</v>
      </c>
      <c r="C220" s="156" t="s">
        <v>152</v>
      </c>
      <c r="D220" s="156" t="s">
        <v>541</v>
      </c>
      <c r="E220" s="179">
        <v>334518795</v>
      </c>
      <c r="F220" s="179">
        <v>334518795</v>
      </c>
      <c r="G220" s="179">
        <v>96179699</v>
      </c>
      <c r="H220" s="179">
        <v>0</v>
      </c>
      <c r="I220" s="179">
        <v>41132510.490000002</v>
      </c>
      <c r="J220" s="179">
        <v>18001385.469999999</v>
      </c>
      <c r="K220" s="179">
        <v>0</v>
      </c>
      <c r="L220" s="179">
        <v>0</v>
      </c>
      <c r="M220" s="179">
        <v>275384899.04000002</v>
      </c>
      <c r="N220" s="179">
        <v>37045803.039999999</v>
      </c>
    </row>
    <row r="221" spans="1:14" s="156" customFormat="1" x14ac:dyDescent="0.25">
      <c r="A221" s="156" t="s">
        <v>545</v>
      </c>
      <c r="B221" s="156" t="s">
        <v>328</v>
      </c>
      <c r="C221" s="156" t="s">
        <v>329</v>
      </c>
      <c r="D221" s="156" t="s">
        <v>541</v>
      </c>
      <c r="E221" s="179">
        <v>2000000</v>
      </c>
      <c r="F221" s="179">
        <v>2000000</v>
      </c>
      <c r="G221" s="179">
        <v>500000</v>
      </c>
      <c r="H221" s="179">
        <v>0</v>
      </c>
      <c r="I221" s="179">
        <v>0</v>
      </c>
      <c r="J221" s="179">
        <v>0</v>
      </c>
      <c r="K221" s="179">
        <v>0</v>
      </c>
      <c r="L221" s="179">
        <v>0</v>
      </c>
      <c r="M221" s="179">
        <v>2000000</v>
      </c>
      <c r="N221" s="179">
        <v>500000</v>
      </c>
    </row>
    <row r="222" spans="1:14" s="156" customFormat="1" x14ac:dyDescent="0.25">
      <c r="A222" s="156" t="s">
        <v>545</v>
      </c>
      <c r="B222" s="156" t="s">
        <v>330</v>
      </c>
      <c r="C222" s="156" t="s">
        <v>604</v>
      </c>
      <c r="D222" s="156" t="s">
        <v>541</v>
      </c>
      <c r="E222" s="179">
        <v>5000000</v>
      </c>
      <c r="F222" s="179">
        <v>5000000</v>
      </c>
      <c r="G222" s="179">
        <v>5000000</v>
      </c>
      <c r="H222" s="179">
        <v>0</v>
      </c>
      <c r="I222" s="179">
        <v>4556956</v>
      </c>
      <c r="J222" s="179">
        <v>0</v>
      </c>
      <c r="K222" s="179">
        <v>0</v>
      </c>
      <c r="L222" s="179">
        <v>0</v>
      </c>
      <c r="M222" s="179">
        <v>443044</v>
      </c>
      <c r="N222" s="179">
        <v>443044</v>
      </c>
    </row>
    <row r="223" spans="1:14" s="156" customFormat="1" x14ac:dyDescent="0.25">
      <c r="A223" s="156" t="s">
        <v>545</v>
      </c>
      <c r="B223" s="156" t="s">
        <v>154</v>
      </c>
      <c r="C223" s="156" t="s">
        <v>155</v>
      </c>
      <c r="D223" s="156" t="s">
        <v>541</v>
      </c>
      <c r="E223" s="179">
        <v>319951179</v>
      </c>
      <c r="F223" s="179">
        <v>319951179</v>
      </c>
      <c r="G223" s="179">
        <v>86187795</v>
      </c>
      <c r="H223" s="179">
        <v>0</v>
      </c>
      <c r="I223" s="179">
        <v>32103124.149999999</v>
      </c>
      <c r="J223" s="179">
        <v>18001385.469999999</v>
      </c>
      <c r="K223" s="179">
        <v>0</v>
      </c>
      <c r="L223" s="179">
        <v>0</v>
      </c>
      <c r="M223" s="179">
        <v>269846669.38</v>
      </c>
      <c r="N223" s="179">
        <v>36083285.380000003</v>
      </c>
    </row>
    <row r="224" spans="1:14" s="156" customFormat="1" x14ac:dyDescent="0.25">
      <c r="A224" s="156" t="s">
        <v>545</v>
      </c>
      <c r="B224" s="156" t="s">
        <v>156</v>
      </c>
      <c r="C224" s="156" t="s">
        <v>157</v>
      </c>
      <c r="D224" s="156" t="s">
        <v>541</v>
      </c>
      <c r="E224" s="179">
        <v>7567616</v>
      </c>
      <c r="F224" s="179">
        <v>7567616</v>
      </c>
      <c r="G224" s="179">
        <v>4491904</v>
      </c>
      <c r="H224" s="179">
        <v>0</v>
      </c>
      <c r="I224" s="179">
        <v>4472430.34</v>
      </c>
      <c r="J224" s="179">
        <v>0</v>
      </c>
      <c r="K224" s="179">
        <v>0</v>
      </c>
      <c r="L224" s="179">
        <v>0</v>
      </c>
      <c r="M224" s="179">
        <v>3095185.66</v>
      </c>
      <c r="N224" s="179">
        <v>19473.66</v>
      </c>
    </row>
    <row r="225" spans="1:14" s="156" customFormat="1" x14ac:dyDescent="0.25">
      <c r="A225" s="156" t="s">
        <v>545</v>
      </c>
      <c r="B225" s="156" t="s">
        <v>158</v>
      </c>
      <c r="C225" s="156" t="s">
        <v>159</v>
      </c>
      <c r="D225" s="156" t="s">
        <v>541</v>
      </c>
      <c r="E225" s="179">
        <v>33445676</v>
      </c>
      <c r="F225" s="179">
        <v>33445676</v>
      </c>
      <c r="G225" s="179">
        <v>8361419</v>
      </c>
      <c r="H225" s="179">
        <v>0</v>
      </c>
      <c r="I225" s="179">
        <v>4856840</v>
      </c>
      <c r="J225" s="179">
        <v>0</v>
      </c>
      <c r="K225" s="179">
        <v>1797970</v>
      </c>
      <c r="L225" s="179">
        <v>1275470</v>
      </c>
      <c r="M225" s="179">
        <v>26790866</v>
      </c>
      <c r="N225" s="179">
        <v>1706609</v>
      </c>
    </row>
    <row r="226" spans="1:14" s="156" customFormat="1" x14ac:dyDescent="0.25">
      <c r="A226" s="156" t="s">
        <v>545</v>
      </c>
      <c r="B226" s="156" t="s">
        <v>160</v>
      </c>
      <c r="C226" s="156" t="s">
        <v>161</v>
      </c>
      <c r="D226" s="156" t="s">
        <v>541</v>
      </c>
      <c r="E226" s="179">
        <v>1700000</v>
      </c>
      <c r="F226" s="179">
        <v>1700000</v>
      </c>
      <c r="G226" s="179">
        <v>425000</v>
      </c>
      <c r="H226" s="179">
        <v>0</v>
      </c>
      <c r="I226" s="179">
        <v>377990</v>
      </c>
      <c r="J226" s="179">
        <v>0</v>
      </c>
      <c r="K226" s="179">
        <v>46620</v>
      </c>
      <c r="L226" s="179">
        <v>46620</v>
      </c>
      <c r="M226" s="179">
        <v>1275390</v>
      </c>
      <c r="N226" s="179">
        <v>390</v>
      </c>
    </row>
    <row r="227" spans="1:14" s="156" customFormat="1" x14ac:dyDescent="0.25">
      <c r="A227" s="156" t="s">
        <v>545</v>
      </c>
      <c r="B227" s="156" t="s">
        <v>162</v>
      </c>
      <c r="C227" s="156" t="s">
        <v>163</v>
      </c>
      <c r="D227" s="156" t="s">
        <v>541</v>
      </c>
      <c r="E227" s="179">
        <v>24979191</v>
      </c>
      <c r="F227" s="179">
        <v>24979191</v>
      </c>
      <c r="G227" s="179">
        <v>6244798</v>
      </c>
      <c r="H227" s="179">
        <v>0</v>
      </c>
      <c r="I227" s="179">
        <v>4478850</v>
      </c>
      <c r="J227" s="179">
        <v>0</v>
      </c>
      <c r="K227" s="179">
        <v>1751350</v>
      </c>
      <c r="L227" s="179">
        <v>1228850</v>
      </c>
      <c r="M227" s="179">
        <v>18748991</v>
      </c>
      <c r="N227" s="179">
        <v>14598</v>
      </c>
    </row>
    <row r="228" spans="1:14" s="156" customFormat="1" x14ac:dyDescent="0.25">
      <c r="A228" s="156" t="s">
        <v>545</v>
      </c>
      <c r="B228" s="156" t="s">
        <v>164</v>
      </c>
      <c r="C228" s="156" t="s">
        <v>165</v>
      </c>
      <c r="D228" s="156" t="s">
        <v>541</v>
      </c>
      <c r="E228" s="179">
        <v>2035715</v>
      </c>
      <c r="F228" s="179">
        <v>2035715</v>
      </c>
      <c r="G228" s="179">
        <v>508929</v>
      </c>
      <c r="H228" s="179">
        <v>0</v>
      </c>
      <c r="I228" s="179">
        <v>0</v>
      </c>
      <c r="J228" s="179">
        <v>0</v>
      </c>
      <c r="K228" s="179">
        <v>0</v>
      </c>
      <c r="L228" s="179">
        <v>0</v>
      </c>
      <c r="M228" s="179">
        <v>2035715</v>
      </c>
      <c r="N228" s="179">
        <v>508929</v>
      </c>
    </row>
    <row r="229" spans="1:14" s="156" customFormat="1" x14ac:dyDescent="0.25">
      <c r="A229" s="156" t="s">
        <v>545</v>
      </c>
      <c r="B229" s="156" t="s">
        <v>166</v>
      </c>
      <c r="C229" s="156" t="s">
        <v>167</v>
      </c>
      <c r="D229" s="156" t="s">
        <v>541</v>
      </c>
      <c r="E229" s="179">
        <v>4730770</v>
      </c>
      <c r="F229" s="179">
        <v>4730770</v>
      </c>
      <c r="G229" s="179">
        <v>1182692</v>
      </c>
      <c r="H229" s="179">
        <v>0</v>
      </c>
      <c r="I229" s="179">
        <v>0</v>
      </c>
      <c r="J229" s="179">
        <v>0</v>
      </c>
      <c r="K229" s="179">
        <v>0</v>
      </c>
      <c r="L229" s="179">
        <v>0</v>
      </c>
      <c r="M229" s="179">
        <v>4730770</v>
      </c>
      <c r="N229" s="179">
        <v>1182692</v>
      </c>
    </row>
    <row r="230" spans="1:14" s="156" customFormat="1" x14ac:dyDescent="0.25">
      <c r="A230" s="156" t="s">
        <v>545</v>
      </c>
      <c r="B230" s="156" t="s">
        <v>168</v>
      </c>
      <c r="C230" s="156" t="s">
        <v>169</v>
      </c>
      <c r="D230" s="156" t="s">
        <v>541</v>
      </c>
      <c r="E230" s="179">
        <v>83546141</v>
      </c>
      <c r="F230" s="179">
        <v>83546141</v>
      </c>
      <c r="G230" s="179">
        <v>20886535</v>
      </c>
      <c r="H230" s="179">
        <v>0</v>
      </c>
      <c r="I230" s="179">
        <v>15042546</v>
      </c>
      <c r="J230" s="179">
        <v>0</v>
      </c>
      <c r="K230" s="179">
        <v>0</v>
      </c>
      <c r="L230" s="179">
        <v>0</v>
      </c>
      <c r="M230" s="179">
        <v>68503595</v>
      </c>
      <c r="N230" s="179">
        <v>5843989</v>
      </c>
    </row>
    <row r="231" spans="1:14" s="156" customFormat="1" x14ac:dyDescent="0.25">
      <c r="A231" s="156" t="s">
        <v>545</v>
      </c>
      <c r="B231" s="156" t="s">
        <v>170</v>
      </c>
      <c r="C231" s="156" t="s">
        <v>171</v>
      </c>
      <c r="D231" s="156" t="s">
        <v>541</v>
      </c>
      <c r="E231" s="179">
        <v>83546141</v>
      </c>
      <c r="F231" s="179">
        <v>83546141</v>
      </c>
      <c r="G231" s="179">
        <v>20886535</v>
      </c>
      <c r="H231" s="179">
        <v>0</v>
      </c>
      <c r="I231" s="179">
        <v>15042546</v>
      </c>
      <c r="J231" s="179">
        <v>0</v>
      </c>
      <c r="K231" s="179">
        <v>0</v>
      </c>
      <c r="L231" s="179">
        <v>0</v>
      </c>
      <c r="M231" s="179">
        <v>68503595</v>
      </c>
      <c r="N231" s="179">
        <v>5843989</v>
      </c>
    </row>
    <row r="232" spans="1:14" s="156" customFormat="1" x14ac:dyDescent="0.25">
      <c r="A232" s="156" t="s">
        <v>545</v>
      </c>
      <c r="B232" s="156" t="s">
        <v>172</v>
      </c>
      <c r="C232" s="156" t="s">
        <v>173</v>
      </c>
      <c r="D232" s="156" t="s">
        <v>541</v>
      </c>
      <c r="E232" s="179">
        <v>0</v>
      </c>
      <c r="F232" s="179">
        <v>0</v>
      </c>
      <c r="G232" s="179">
        <v>0</v>
      </c>
      <c r="H232" s="179">
        <v>0</v>
      </c>
      <c r="I232" s="179">
        <v>0</v>
      </c>
      <c r="J232" s="179">
        <v>0</v>
      </c>
      <c r="K232" s="179">
        <v>0</v>
      </c>
      <c r="L232" s="179">
        <v>0</v>
      </c>
      <c r="M232" s="179">
        <v>0</v>
      </c>
      <c r="N232" s="179">
        <v>0</v>
      </c>
    </row>
    <row r="233" spans="1:14" s="156" customFormat="1" x14ac:dyDescent="0.25">
      <c r="A233" s="156" t="s">
        <v>545</v>
      </c>
      <c r="B233" s="156" t="s">
        <v>309</v>
      </c>
      <c r="C233" s="156" t="s">
        <v>310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178</v>
      </c>
      <c r="C234" s="156" t="s">
        <v>179</v>
      </c>
      <c r="D234" s="156" t="s">
        <v>541</v>
      </c>
      <c r="E234" s="179">
        <v>89480793</v>
      </c>
      <c r="F234" s="179">
        <v>89480793</v>
      </c>
      <c r="G234" s="179">
        <v>24270198</v>
      </c>
      <c r="H234" s="179">
        <v>0</v>
      </c>
      <c r="I234" s="179">
        <v>15864826.82</v>
      </c>
      <c r="J234" s="179">
        <v>810000</v>
      </c>
      <c r="K234" s="179">
        <v>810000</v>
      </c>
      <c r="L234" s="179">
        <v>0</v>
      </c>
      <c r="M234" s="179">
        <v>71995966.180000007</v>
      </c>
      <c r="N234" s="179">
        <v>6785371.1799999997</v>
      </c>
    </row>
    <row r="235" spans="1:14" s="156" customFormat="1" x14ac:dyDescent="0.25">
      <c r="A235" s="156" t="s">
        <v>545</v>
      </c>
      <c r="B235" s="156" t="s">
        <v>180</v>
      </c>
      <c r="C235" s="156" t="s">
        <v>181</v>
      </c>
      <c r="D235" s="156" t="s">
        <v>541</v>
      </c>
      <c r="E235" s="179">
        <v>13000000</v>
      </c>
      <c r="F235" s="179">
        <v>13000000</v>
      </c>
      <c r="G235" s="179">
        <v>4750000</v>
      </c>
      <c r="H235" s="179">
        <v>0</v>
      </c>
      <c r="I235" s="179">
        <v>4093041</v>
      </c>
      <c r="J235" s="179">
        <v>0</v>
      </c>
      <c r="K235" s="179">
        <v>0</v>
      </c>
      <c r="L235" s="179">
        <v>0</v>
      </c>
      <c r="M235" s="179">
        <v>8906959</v>
      </c>
      <c r="N235" s="179">
        <v>656959</v>
      </c>
    </row>
    <row r="236" spans="1:14" s="156" customFormat="1" x14ac:dyDescent="0.25">
      <c r="A236" s="156" t="s">
        <v>545</v>
      </c>
      <c r="B236" s="156" t="s">
        <v>332</v>
      </c>
      <c r="C236" s="156" t="s">
        <v>333</v>
      </c>
      <c r="D236" s="156" t="s">
        <v>541</v>
      </c>
      <c r="E236" s="179">
        <v>1918000</v>
      </c>
      <c r="F236" s="179">
        <v>1918000</v>
      </c>
      <c r="G236" s="179">
        <v>879500</v>
      </c>
      <c r="H236" s="179">
        <v>0</v>
      </c>
      <c r="I236" s="179">
        <v>818856</v>
      </c>
      <c r="J236" s="179">
        <v>0</v>
      </c>
      <c r="K236" s="179">
        <v>0</v>
      </c>
      <c r="L236" s="179">
        <v>0</v>
      </c>
      <c r="M236" s="179">
        <v>1099144</v>
      </c>
      <c r="N236" s="179">
        <v>60644</v>
      </c>
    </row>
    <row r="237" spans="1:14" s="156" customFormat="1" x14ac:dyDescent="0.25">
      <c r="A237" s="156" t="s">
        <v>545</v>
      </c>
      <c r="B237" s="156" t="s">
        <v>182</v>
      </c>
      <c r="C237" s="156" t="s">
        <v>183</v>
      </c>
      <c r="D237" s="156" t="s">
        <v>541</v>
      </c>
      <c r="E237" s="179">
        <v>25420000</v>
      </c>
      <c r="F237" s="179">
        <v>25420000</v>
      </c>
      <c r="G237" s="179">
        <v>6355000</v>
      </c>
      <c r="H237" s="179">
        <v>0</v>
      </c>
      <c r="I237" s="179">
        <v>5442056</v>
      </c>
      <c r="J237" s="179">
        <v>0</v>
      </c>
      <c r="K237" s="179">
        <v>0</v>
      </c>
      <c r="L237" s="179">
        <v>0</v>
      </c>
      <c r="M237" s="179">
        <v>19977944</v>
      </c>
      <c r="N237" s="179">
        <v>912944</v>
      </c>
    </row>
    <row r="238" spans="1:14" s="156" customFormat="1" x14ac:dyDescent="0.25">
      <c r="A238" s="156" t="s">
        <v>545</v>
      </c>
      <c r="B238" s="156" t="s">
        <v>184</v>
      </c>
      <c r="C238" s="156" t="s">
        <v>185</v>
      </c>
      <c r="D238" s="156" t="s">
        <v>541</v>
      </c>
      <c r="E238" s="179">
        <v>7181770</v>
      </c>
      <c r="F238" s="179">
        <v>7181770</v>
      </c>
      <c r="G238" s="179">
        <v>1795442</v>
      </c>
      <c r="H238" s="179">
        <v>0</v>
      </c>
      <c r="I238" s="179">
        <v>1745263.68</v>
      </c>
      <c r="J238" s="179">
        <v>0</v>
      </c>
      <c r="K238" s="179">
        <v>0</v>
      </c>
      <c r="L238" s="179">
        <v>0</v>
      </c>
      <c r="M238" s="179">
        <v>5436506.3200000003</v>
      </c>
      <c r="N238" s="179">
        <v>50178.32</v>
      </c>
    </row>
    <row r="239" spans="1:14" s="156" customFormat="1" x14ac:dyDescent="0.25">
      <c r="A239" s="156" t="s">
        <v>545</v>
      </c>
      <c r="B239" s="156" t="s">
        <v>186</v>
      </c>
      <c r="C239" s="156" t="s">
        <v>187</v>
      </c>
      <c r="D239" s="156" t="s">
        <v>541</v>
      </c>
      <c r="E239" s="179">
        <v>8196286</v>
      </c>
      <c r="F239" s="179">
        <v>8196286</v>
      </c>
      <c r="G239" s="179">
        <v>2049072</v>
      </c>
      <c r="H239" s="179">
        <v>0</v>
      </c>
      <c r="I239" s="179">
        <v>1520692.16</v>
      </c>
      <c r="J239" s="179">
        <v>0</v>
      </c>
      <c r="K239" s="179">
        <v>0</v>
      </c>
      <c r="L239" s="179">
        <v>0</v>
      </c>
      <c r="M239" s="179">
        <v>6675593.8399999999</v>
      </c>
      <c r="N239" s="179">
        <v>528379.84</v>
      </c>
    </row>
    <row r="240" spans="1:14" s="156" customFormat="1" x14ac:dyDescent="0.25">
      <c r="A240" s="156" t="s">
        <v>545</v>
      </c>
      <c r="B240" s="156" t="s">
        <v>188</v>
      </c>
      <c r="C240" s="156" t="s">
        <v>189</v>
      </c>
      <c r="D240" s="156" t="s">
        <v>541</v>
      </c>
      <c r="E240" s="179">
        <v>28160737</v>
      </c>
      <c r="F240" s="179">
        <v>28160737</v>
      </c>
      <c r="G240" s="179">
        <v>7040184</v>
      </c>
      <c r="H240" s="179">
        <v>0</v>
      </c>
      <c r="I240" s="179">
        <v>1620000</v>
      </c>
      <c r="J240" s="179">
        <v>810000</v>
      </c>
      <c r="K240" s="179">
        <v>810000</v>
      </c>
      <c r="L240" s="179">
        <v>0</v>
      </c>
      <c r="M240" s="179">
        <v>24920737</v>
      </c>
      <c r="N240" s="179">
        <v>3800184</v>
      </c>
    </row>
    <row r="241" spans="1:14" s="156" customFormat="1" x14ac:dyDescent="0.25">
      <c r="A241" s="156" t="s">
        <v>545</v>
      </c>
      <c r="B241" s="156" t="s">
        <v>190</v>
      </c>
      <c r="C241" s="156" t="s">
        <v>191</v>
      </c>
      <c r="D241" s="156" t="s">
        <v>541</v>
      </c>
      <c r="E241" s="179">
        <v>5604000</v>
      </c>
      <c r="F241" s="179">
        <v>5604000</v>
      </c>
      <c r="G241" s="179">
        <v>1401000</v>
      </c>
      <c r="H241" s="179">
        <v>0</v>
      </c>
      <c r="I241" s="179">
        <v>624917.98</v>
      </c>
      <c r="J241" s="179">
        <v>0</v>
      </c>
      <c r="K241" s="179">
        <v>0</v>
      </c>
      <c r="L241" s="179">
        <v>0</v>
      </c>
      <c r="M241" s="179">
        <v>4979082.0199999996</v>
      </c>
      <c r="N241" s="179">
        <v>776082.02</v>
      </c>
    </row>
    <row r="242" spans="1:14" s="156" customFormat="1" x14ac:dyDescent="0.25">
      <c r="A242" s="156" t="s">
        <v>545</v>
      </c>
      <c r="B242" s="156" t="s">
        <v>192</v>
      </c>
      <c r="C242" s="156" t="s">
        <v>193</v>
      </c>
      <c r="D242" s="156" t="s">
        <v>541</v>
      </c>
      <c r="E242" s="179">
        <v>1340000</v>
      </c>
      <c r="F242" s="179">
        <v>1340000</v>
      </c>
      <c r="G242" s="179">
        <v>935000</v>
      </c>
      <c r="H242" s="179">
        <v>0</v>
      </c>
      <c r="I242" s="179">
        <v>877363</v>
      </c>
      <c r="J242" s="179">
        <v>0</v>
      </c>
      <c r="K242" s="179">
        <v>0</v>
      </c>
      <c r="L242" s="179">
        <v>0</v>
      </c>
      <c r="M242" s="179">
        <v>462637</v>
      </c>
      <c r="N242" s="179">
        <v>57637</v>
      </c>
    </row>
    <row r="243" spans="1:14" s="156" customFormat="1" x14ac:dyDescent="0.25">
      <c r="A243" s="156" t="s">
        <v>545</v>
      </c>
      <c r="B243" s="156" t="s">
        <v>194</v>
      </c>
      <c r="C243" s="156" t="s">
        <v>195</v>
      </c>
      <c r="D243" s="156" t="s">
        <v>541</v>
      </c>
      <c r="E243" s="179">
        <v>1340000</v>
      </c>
      <c r="F243" s="179">
        <v>1340000</v>
      </c>
      <c r="G243" s="179">
        <v>935000</v>
      </c>
      <c r="H243" s="179">
        <v>0</v>
      </c>
      <c r="I243" s="179">
        <v>877363</v>
      </c>
      <c r="J243" s="179">
        <v>0</v>
      </c>
      <c r="K243" s="179">
        <v>0</v>
      </c>
      <c r="L243" s="179">
        <v>0</v>
      </c>
      <c r="M243" s="179">
        <v>462637</v>
      </c>
      <c r="N243" s="179">
        <v>57637</v>
      </c>
    </row>
    <row r="244" spans="1:14" s="156" customFormat="1" x14ac:dyDescent="0.25">
      <c r="A244" s="156" t="s">
        <v>545</v>
      </c>
      <c r="B244" s="156" t="s">
        <v>196</v>
      </c>
      <c r="C244" s="156" t="s">
        <v>197</v>
      </c>
      <c r="D244" s="156" t="s">
        <v>541</v>
      </c>
      <c r="E244" s="179">
        <v>2150000</v>
      </c>
      <c r="F244" s="179">
        <v>2150000</v>
      </c>
      <c r="G244" s="179">
        <v>637500</v>
      </c>
      <c r="H244" s="179">
        <v>0</v>
      </c>
      <c r="I244" s="179">
        <v>113207.78</v>
      </c>
      <c r="J244" s="179">
        <v>0</v>
      </c>
      <c r="K244" s="179">
        <v>0</v>
      </c>
      <c r="L244" s="179">
        <v>0</v>
      </c>
      <c r="M244" s="179">
        <v>2036792.22</v>
      </c>
      <c r="N244" s="179">
        <v>524292.22</v>
      </c>
    </row>
    <row r="245" spans="1:14" s="156" customFormat="1" x14ac:dyDescent="0.25">
      <c r="A245" s="156" t="s">
        <v>545</v>
      </c>
      <c r="B245" s="156" t="s">
        <v>334</v>
      </c>
      <c r="C245" s="156" t="s">
        <v>335</v>
      </c>
      <c r="D245" s="156" t="s">
        <v>541</v>
      </c>
      <c r="E245" s="179">
        <v>150000</v>
      </c>
      <c r="F245" s="179">
        <v>150000</v>
      </c>
      <c r="G245" s="179">
        <v>137500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36792.22</v>
      </c>
      <c r="N245" s="179">
        <v>24292.22</v>
      </c>
    </row>
    <row r="246" spans="1:14" s="156" customFormat="1" x14ac:dyDescent="0.25">
      <c r="A246" s="156" t="s">
        <v>545</v>
      </c>
      <c r="B246" s="156" t="s">
        <v>198</v>
      </c>
      <c r="C246" s="156" t="s">
        <v>199</v>
      </c>
      <c r="D246" s="156" t="s">
        <v>541</v>
      </c>
      <c r="E246" s="179">
        <v>2000000</v>
      </c>
      <c r="F246" s="179">
        <v>2000000</v>
      </c>
      <c r="G246" s="179">
        <v>500000</v>
      </c>
      <c r="H246" s="179">
        <v>0</v>
      </c>
      <c r="I246" s="179">
        <v>0</v>
      </c>
      <c r="J246" s="179">
        <v>0</v>
      </c>
      <c r="K246" s="179">
        <v>0</v>
      </c>
      <c r="L246" s="179">
        <v>0</v>
      </c>
      <c r="M246" s="179">
        <v>2000000</v>
      </c>
      <c r="N246" s="179">
        <v>500000</v>
      </c>
    </row>
    <row r="247" spans="1:14" s="156" customFormat="1" x14ac:dyDescent="0.25">
      <c r="A247" s="156" t="s">
        <v>545</v>
      </c>
      <c r="B247" s="156" t="s">
        <v>200</v>
      </c>
      <c r="C247" s="156" t="s">
        <v>201</v>
      </c>
      <c r="D247" s="156" t="s">
        <v>541</v>
      </c>
      <c r="E247" s="179">
        <v>65233793</v>
      </c>
      <c r="F247" s="179">
        <v>65233793</v>
      </c>
      <c r="G247" s="179">
        <v>16358448</v>
      </c>
      <c r="H247" s="179">
        <v>0</v>
      </c>
      <c r="I247" s="179">
        <v>6022565</v>
      </c>
      <c r="J247" s="179">
        <v>0</v>
      </c>
      <c r="K247" s="179">
        <v>1584470</v>
      </c>
      <c r="L247" s="179">
        <v>796070</v>
      </c>
      <c r="M247" s="179">
        <v>57626758</v>
      </c>
      <c r="N247" s="179">
        <v>8751413</v>
      </c>
    </row>
    <row r="248" spans="1:14" s="156" customFormat="1" x14ac:dyDescent="0.25">
      <c r="A248" s="156" t="s">
        <v>545</v>
      </c>
      <c r="B248" s="156" t="s">
        <v>202</v>
      </c>
      <c r="C248" s="156" t="s">
        <v>203</v>
      </c>
      <c r="D248" s="156" t="s">
        <v>541</v>
      </c>
      <c r="E248" s="179">
        <v>34706100</v>
      </c>
      <c r="F248" s="179">
        <v>34706100</v>
      </c>
      <c r="G248" s="179">
        <v>8676525</v>
      </c>
      <c r="H248" s="179">
        <v>0</v>
      </c>
      <c r="I248" s="179">
        <v>5713850</v>
      </c>
      <c r="J248" s="179">
        <v>0</v>
      </c>
      <c r="K248" s="179">
        <v>796070</v>
      </c>
      <c r="L248" s="179">
        <v>796070</v>
      </c>
      <c r="M248" s="179">
        <v>28196180</v>
      </c>
      <c r="N248" s="179">
        <v>2166605</v>
      </c>
    </row>
    <row r="249" spans="1:14" s="156" customFormat="1" x14ac:dyDescent="0.25">
      <c r="A249" s="156" t="s">
        <v>545</v>
      </c>
      <c r="B249" s="156" t="s">
        <v>204</v>
      </c>
      <c r="C249" s="156" t="s">
        <v>205</v>
      </c>
      <c r="D249" s="156" t="s">
        <v>541</v>
      </c>
      <c r="E249" s="179">
        <v>26298967</v>
      </c>
      <c r="F249" s="179">
        <v>26298967</v>
      </c>
      <c r="G249" s="179">
        <v>6574742</v>
      </c>
      <c r="H249" s="179">
        <v>0</v>
      </c>
      <c r="I249" s="179">
        <v>5713850</v>
      </c>
      <c r="J249" s="179">
        <v>0</v>
      </c>
      <c r="K249" s="179">
        <v>796070</v>
      </c>
      <c r="L249" s="179">
        <v>796070</v>
      </c>
      <c r="M249" s="179">
        <v>19789047</v>
      </c>
      <c r="N249" s="179">
        <v>64822</v>
      </c>
    </row>
    <row r="250" spans="1:14" s="156" customFormat="1" x14ac:dyDescent="0.25">
      <c r="A250" s="156" t="s">
        <v>545</v>
      </c>
      <c r="B250" s="156" t="s">
        <v>208</v>
      </c>
      <c r="C250" s="156" t="s">
        <v>209</v>
      </c>
      <c r="D250" s="156" t="s">
        <v>541</v>
      </c>
      <c r="E250" s="179">
        <v>8102133</v>
      </c>
      <c r="F250" s="179">
        <v>8102133</v>
      </c>
      <c r="G250" s="179">
        <v>2025533</v>
      </c>
      <c r="H250" s="179">
        <v>0</v>
      </c>
      <c r="I250" s="179">
        <v>0</v>
      </c>
      <c r="J250" s="179">
        <v>0</v>
      </c>
      <c r="K250" s="179">
        <v>0</v>
      </c>
      <c r="L250" s="179">
        <v>0</v>
      </c>
      <c r="M250" s="179">
        <v>8102133</v>
      </c>
      <c r="N250" s="179">
        <v>2025533</v>
      </c>
    </row>
    <row r="251" spans="1:14" s="156" customFormat="1" x14ac:dyDescent="0.25">
      <c r="A251" s="156" t="s">
        <v>545</v>
      </c>
      <c r="B251" s="156" t="s">
        <v>210</v>
      </c>
      <c r="C251" s="156" t="s">
        <v>211</v>
      </c>
      <c r="D251" s="156" t="s">
        <v>541</v>
      </c>
      <c r="E251" s="179">
        <v>305000</v>
      </c>
      <c r="F251" s="179">
        <v>305000</v>
      </c>
      <c r="G251" s="179">
        <v>76250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305000</v>
      </c>
      <c r="N251" s="179">
        <v>76250</v>
      </c>
    </row>
    <row r="252" spans="1:14" s="156" customFormat="1" x14ac:dyDescent="0.25">
      <c r="A252" s="156" t="s">
        <v>545</v>
      </c>
      <c r="B252" s="156" t="s">
        <v>216</v>
      </c>
      <c r="C252" s="156" t="s">
        <v>217</v>
      </c>
      <c r="D252" s="156" t="s">
        <v>541</v>
      </c>
      <c r="E252" s="179">
        <v>2978000</v>
      </c>
      <c r="F252" s="179">
        <v>2978000</v>
      </c>
      <c r="G252" s="179">
        <v>744500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2978000</v>
      </c>
      <c r="N252" s="179">
        <v>744500</v>
      </c>
    </row>
    <row r="253" spans="1:14" s="156" customFormat="1" x14ac:dyDescent="0.25">
      <c r="A253" s="156" t="s">
        <v>545</v>
      </c>
      <c r="B253" s="156" t="s">
        <v>218</v>
      </c>
      <c r="C253" s="156" t="s">
        <v>219</v>
      </c>
      <c r="D253" s="156" t="s">
        <v>541</v>
      </c>
      <c r="E253" s="179">
        <v>830000</v>
      </c>
      <c r="F253" s="179">
        <v>830000</v>
      </c>
      <c r="G253" s="179">
        <v>207500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830000</v>
      </c>
      <c r="N253" s="179">
        <v>207500</v>
      </c>
    </row>
    <row r="254" spans="1:14" s="156" customFormat="1" x14ac:dyDescent="0.25">
      <c r="A254" s="156" t="s">
        <v>545</v>
      </c>
      <c r="B254" s="156" t="s">
        <v>336</v>
      </c>
      <c r="C254" s="156" t="s">
        <v>337</v>
      </c>
      <c r="D254" s="156" t="s">
        <v>541</v>
      </c>
      <c r="E254" s="179">
        <v>67000</v>
      </c>
      <c r="F254" s="179">
        <v>67000</v>
      </c>
      <c r="G254" s="179">
        <v>16750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67000</v>
      </c>
      <c r="N254" s="179">
        <v>16750</v>
      </c>
    </row>
    <row r="255" spans="1:14" s="156" customFormat="1" x14ac:dyDescent="0.25">
      <c r="A255" s="156" t="s">
        <v>545</v>
      </c>
      <c r="B255" s="156" t="s">
        <v>338</v>
      </c>
      <c r="C255" s="156" t="s">
        <v>339</v>
      </c>
      <c r="D255" s="156" t="s">
        <v>541</v>
      </c>
      <c r="E255" s="179">
        <v>99000</v>
      </c>
      <c r="F255" s="179">
        <v>99000</v>
      </c>
      <c r="G255" s="179">
        <v>24750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99000</v>
      </c>
      <c r="N255" s="179">
        <v>24750</v>
      </c>
    </row>
    <row r="256" spans="1:14" s="156" customFormat="1" x14ac:dyDescent="0.25">
      <c r="A256" s="156" t="s">
        <v>545</v>
      </c>
      <c r="B256" s="156" t="s">
        <v>220</v>
      </c>
      <c r="C256" s="156" t="s">
        <v>221</v>
      </c>
      <c r="D256" s="156" t="s">
        <v>541</v>
      </c>
      <c r="E256" s="179">
        <v>1345000</v>
      </c>
      <c r="F256" s="179">
        <v>1345000</v>
      </c>
      <c r="G256" s="179">
        <v>336250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1345000</v>
      </c>
      <c r="N256" s="179">
        <v>336250</v>
      </c>
    </row>
    <row r="257" spans="1:14" s="156" customFormat="1" x14ac:dyDescent="0.25">
      <c r="A257" s="156" t="s">
        <v>545</v>
      </c>
      <c r="B257" s="156" t="s">
        <v>222</v>
      </c>
      <c r="C257" s="156" t="s">
        <v>223</v>
      </c>
      <c r="D257" s="156" t="s">
        <v>541</v>
      </c>
      <c r="E257" s="179">
        <v>40000</v>
      </c>
      <c r="F257" s="179">
        <v>40000</v>
      </c>
      <c r="G257" s="179">
        <v>10000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40000</v>
      </c>
      <c r="N257" s="179">
        <v>10000</v>
      </c>
    </row>
    <row r="258" spans="1:14" s="156" customFormat="1" x14ac:dyDescent="0.25">
      <c r="A258" s="156" t="s">
        <v>545</v>
      </c>
      <c r="B258" s="156" t="s">
        <v>224</v>
      </c>
      <c r="C258" s="156" t="s">
        <v>225</v>
      </c>
      <c r="D258" s="156" t="s">
        <v>541</v>
      </c>
      <c r="E258" s="179">
        <v>198000</v>
      </c>
      <c r="F258" s="179">
        <v>198000</v>
      </c>
      <c r="G258" s="179">
        <v>49500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198000</v>
      </c>
      <c r="N258" s="179">
        <v>49500</v>
      </c>
    </row>
    <row r="259" spans="1:14" s="156" customFormat="1" x14ac:dyDescent="0.25">
      <c r="A259" s="156" t="s">
        <v>545</v>
      </c>
      <c r="B259" s="156" t="s">
        <v>226</v>
      </c>
      <c r="C259" s="156" t="s">
        <v>227</v>
      </c>
      <c r="D259" s="156" t="s">
        <v>541</v>
      </c>
      <c r="E259" s="179">
        <v>399000</v>
      </c>
      <c r="F259" s="179">
        <v>399000</v>
      </c>
      <c r="G259" s="179">
        <v>99750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399000</v>
      </c>
      <c r="N259" s="179">
        <v>99750</v>
      </c>
    </row>
    <row r="260" spans="1:14" s="156" customFormat="1" x14ac:dyDescent="0.25">
      <c r="A260" s="156" t="s">
        <v>545</v>
      </c>
      <c r="B260" s="156" t="s">
        <v>228</v>
      </c>
      <c r="C260" s="156" t="s">
        <v>229</v>
      </c>
      <c r="D260" s="156" t="s">
        <v>541</v>
      </c>
      <c r="E260" s="179">
        <v>3047000</v>
      </c>
      <c r="F260" s="179">
        <v>3047000</v>
      </c>
      <c r="G260" s="179">
        <v>761750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3047000</v>
      </c>
      <c r="N260" s="179">
        <v>761750</v>
      </c>
    </row>
    <row r="261" spans="1:14" s="156" customFormat="1" x14ac:dyDescent="0.25">
      <c r="A261" s="156" t="s">
        <v>545</v>
      </c>
      <c r="B261" s="156" t="s">
        <v>230</v>
      </c>
      <c r="C261" s="156" t="s">
        <v>231</v>
      </c>
      <c r="D261" s="156" t="s">
        <v>541</v>
      </c>
      <c r="E261" s="179">
        <v>251000</v>
      </c>
      <c r="F261" s="179">
        <v>251000</v>
      </c>
      <c r="G261" s="179">
        <v>62750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251000</v>
      </c>
      <c r="N261" s="179">
        <v>62750</v>
      </c>
    </row>
    <row r="262" spans="1:14" s="156" customFormat="1" x14ac:dyDescent="0.25">
      <c r="A262" s="156" t="s">
        <v>545</v>
      </c>
      <c r="B262" s="156" t="s">
        <v>232</v>
      </c>
      <c r="C262" s="156" t="s">
        <v>233</v>
      </c>
      <c r="D262" s="156" t="s">
        <v>541</v>
      </c>
      <c r="E262" s="179">
        <v>2796000</v>
      </c>
      <c r="F262" s="179">
        <v>2796000</v>
      </c>
      <c r="G262" s="179">
        <v>699000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2796000</v>
      </c>
      <c r="N262" s="179">
        <v>699000</v>
      </c>
    </row>
    <row r="263" spans="1:14" s="156" customFormat="1" x14ac:dyDescent="0.25">
      <c r="A263" s="156" t="s">
        <v>545</v>
      </c>
      <c r="B263" s="156" t="s">
        <v>234</v>
      </c>
      <c r="C263" s="156" t="s">
        <v>601</v>
      </c>
      <c r="D263" s="156" t="s">
        <v>541</v>
      </c>
      <c r="E263" s="179">
        <v>24502693</v>
      </c>
      <c r="F263" s="179">
        <v>24502693</v>
      </c>
      <c r="G263" s="179">
        <v>6175673</v>
      </c>
      <c r="H263" s="179">
        <v>0</v>
      </c>
      <c r="I263" s="179">
        <v>308715</v>
      </c>
      <c r="J263" s="179">
        <v>0</v>
      </c>
      <c r="K263" s="179">
        <v>788400</v>
      </c>
      <c r="L263" s="179">
        <v>0</v>
      </c>
      <c r="M263" s="179">
        <v>23405578</v>
      </c>
      <c r="N263" s="179">
        <v>5078558</v>
      </c>
    </row>
    <row r="264" spans="1:14" s="156" customFormat="1" x14ac:dyDescent="0.25">
      <c r="A264" s="156" t="s">
        <v>545</v>
      </c>
      <c r="B264" s="156" t="s">
        <v>235</v>
      </c>
      <c r="C264" s="156" t="s">
        <v>236</v>
      </c>
      <c r="D264" s="156" t="s">
        <v>541</v>
      </c>
      <c r="E264" s="179">
        <v>7116000</v>
      </c>
      <c r="F264" s="179">
        <v>7116000</v>
      </c>
      <c r="G264" s="179">
        <v>1779000</v>
      </c>
      <c r="H264" s="179">
        <v>0</v>
      </c>
      <c r="I264" s="179">
        <v>0</v>
      </c>
      <c r="J264" s="179">
        <v>0</v>
      </c>
      <c r="K264" s="179">
        <v>119000</v>
      </c>
      <c r="L264" s="179">
        <v>0</v>
      </c>
      <c r="M264" s="179">
        <v>6997000</v>
      </c>
      <c r="N264" s="179">
        <v>1660000</v>
      </c>
    </row>
    <row r="265" spans="1:14" s="156" customFormat="1" x14ac:dyDescent="0.25">
      <c r="A265" s="156" t="s">
        <v>545</v>
      </c>
      <c r="B265" s="156" t="s">
        <v>237</v>
      </c>
      <c r="C265" s="156" t="s">
        <v>238</v>
      </c>
      <c r="D265" s="156" t="s">
        <v>541</v>
      </c>
      <c r="E265" s="179">
        <v>0</v>
      </c>
      <c r="F265" s="179">
        <v>0</v>
      </c>
      <c r="G265" s="179">
        <v>0</v>
      </c>
      <c r="H265" s="179">
        <v>0</v>
      </c>
      <c r="I265" s="179">
        <v>0</v>
      </c>
      <c r="J265" s="179">
        <v>0</v>
      </c>
      <c r="K265" s="179">
        <v>0</v>
      </c>
      <c r="L265" s="179">
        <v>0</v>
      </c>
      <c r="M265" s="179">
        <v>0</v>
      </c>
      <c r="N265" s="179">
        <v>0</v>
      </c>
    </row>
    <row r="266" spans="1:14" s="156" customFormat="1" x14ac:dyDescent="0.25">
      <c r="A266" s="156" t="s">
        <v>545</v>
      </c>
      <c r="B266" s="156" t="s">
        <v>239</v>
      </c>
      <c r="C266" s="156" t="s">
        <v>240</v>
      </c>
      <c r="D266" s="156" t="s">
        <v>541</v>
      </c>
      <c r="E266" s="179">
        <v>15203693</v>
      </c>
      <c r="F266" s="179">
        <v>15203693</v>
      </c>
      <c r="G266" s="179">
        <v>3800923</v>
      </c>
      <c r="H266" s="179">
        <v>0</v>
      </c>
      <c r="I266" s="179">
        <v>171375</v>
      </c>
      <c r="J266" s="179">
        <v>0</v>
      </c>
      <c r="K266" s="179">
        <v>278000</v>
      </c>
      <c r="L266" s="179">
        <v>0</v>
      </c>
      <c r="M266" s="179">
        <v>14754318</v>
      </c>
      <c r="N266" s="179">
        <v>3351548</v>
      </c>
    </row>
    <row r="267" spans="1:14" s="156" customFormat="1" x14ac:dyDescent="0.25">
      <c r="A267" s="156" t="s">
        <v>545</v>
      </c>
      <c r="B267" s="156" t="s">
        <v>241</v>
      </c>
      <c r="C267" s="156" t="s">
        <v>242</v>
      </c>
      <c r="D267" s="156" t="s">
        <v>541</v>
      </c>
      <c r="E267" s="179">
        <v>133000</v>
      </c>
      <c r="F267" s="179">
        <v>133000</v>
      </c>
      <c r="G267" s="179">
        <v>33250</v>
      </c>
      <c r="H267" s="179">
        <v>0</v>
      </c>
      <c r="I267" s="179">
        <v>0</v>
      </c>
      <c r="J267" s="179">
        <v>0</v>
      </c>
      <c r="K267" s="179">
        <v>0</v>
      </c>
      <c r="L267" s="179">
        <v>0</v>
      </c>
      <c r="M267" s="179">
        <v>133000</v>
      </c>
      <c r="N267" s="179">
        <v>33250</v>
      </c>
    </row>
    <row r="268" spans="1:14" s="156" customFormat="1" x14ac:dyDescent="0.25">
      <c r="A268" s="156" t="s">
        <v>545</v>
      </c>
      <c r="B268" s="156" t="s">
        <v>243</v>
      </c>
      <c r="C268" s="156" t="s">
        <v>244</v>
      </c>
      <c r="D268" s="156" t="s">
        <v>541</v>
      </c>
      <c r="E268" s="179">
        <v>1356000</v>
      </c>
      <c r="F268" s="179">
        <v>1356000</v>
      </c>
      <c r="G268" s="179">
        <v>389000</v>
      </c>
      <c r="H268" s="179">
        <v>0</v>
      </c>
      <c r="I268" s="179">
        <v>0</v>
      </c>
      <c r="J268" s="179">
        <v>0</v>
      </c>
      <c r="K268" s="179">
        <v>386600</v>
      </c>
      <c r="L268" s="179">
        <v>0</v>
      </c>
      <c r="M268" s="179">
        <v>969400</v>
      </c>
      <c r="N268" s="179">
        <v>2400</v>
      </c>
    </row>
    <row r="269" spans="1:14" s="156" customFormat="1" x14ac:dyDescent="0.25">
      <c r="A269" s="156" t="s">
        <v>545</v>
      </c>
      <c r="B269" s="156" t="s">
        <v>245</v>
      </c>
      <c r="C269" s="156" t="s">
        <v>246</v>
      </c>
      <c r="D269" s="156" t="s">
        <v>541</v>
      </c>
      <c r="E269" s="179">
        <v>123000</v>
      </c>
      <c r="F269" s="179">
        <v>123000</v>
      </c>
      <c r="G269" s="179">
        <v>30750</v>
      </c>
      <c r="H269" s="179">
        <v>0</v>
      </c>
      <c r="I269" s="179">
        <v>0</v>
      </c>
      <c r="J269" s="179">
        <v>0</v>
      </c>
      <c r="K269" s="179">
        <v>4800</v>
      </c>
      <c r="L269" s="179">
        <v>0</v>
      </c>
      <c r="M269" s="179">
        <v>118200</v>
      </c>
      <c r="N269" s="179">
        <v>25950</v>
      </c>
    </row>
    <row r="270" spans="1:14" s="156" customFormat="1" x14ac:dyDescent="0.25">
      <c r="A270" s="156" t="s">
        <v>545</v>
      </c>
      <c r="B270" s="156" t="s">
        <v>249</v>
      </c>
      <c r="C270" s="156" t="s">
        <v>250</v>
      </c>
      <c r="D270" s="156" t="s">
        <v>541</v>
      </c>
      <c r="E270" s="179">
        <v>571000</v>
      </c>
      <c r="F270" s="179">
        <v>571000</v>
      </c>
      <c r="G270" s="179">
        <v>142750</v>
      </c>
      <c r="H270" s="179">
        <v>0</v>
      </c>
      <c r="I270" s="179">
        <v>137340</v>
      </c>
      <c r="J270" s="179">
        <v>0</v>
      </c>
      <c r="K270" s="179">
        <v>0</v>
      </c>
      <c r="L270" s="179">
        <v>0</v>
      </c>
      <c r="M270" s="179">
        <v>433660</v>
      </c>
      <c r="N270" s="179">
        <v>5410</v>
      </c>
    </row>
    <row r="271" spans="1:14" s="156" customFormat="1" x14ac:dyDescent="0.25">
      <c r="A271" s="156" t="s">
        <v>545</v>
      </c>
      <c r="B271" s="156" t="s">
        <v>251</v>
      </c>
      <c r="C271" s="156" t="s">
        <v>252</v>
      </c>
      <c r="D271" s="156" t="s">
        <v>541</v>
      </c>
      <c r="E271" s="179">
        <v>298129000</v>
      </c>
      <c r="F271" s="179">
        <v>298129000</v>
      </c>
      <c r="G271" s="179">
        <v>154648300</v>
      </c>
      <c r="H271" s="179">
        <v>0</v>
      </c>
      <c r="I271" s="179">
        <v>107941098.16</v>
      </c>
      <c r="J271" s="179">
        <v>0</v>
      </c>
      <c r="K271" s="179">
        <v>10158165.84</v>
      </c>
      <c r="L271" s="179">
        <v>10158165.84</v>
      </c>
      <c r="M271" s="179">
        <v>180029736</v>
      </c>
      <c r="N271" s="179">
        <v>36549036</v>
      </c>
    </row>
    <row r="272" spans="1:14" s="156" customFormat="1" x14ac:dyDescent="0.25">
      <c r="A272" s="156" t="s">
        <v>545</v>
      </c>
      <c r="B272" s="156" t="s">
        <v>253</v>
      </c>
      <c r="C272" s="156" t="s">
        <v>254</v>
      </c>
      <c r="D272" s="156" t="s">
        <v>541</v>
      </c>
      <c r="E272" s="179">
        <v>115667000</v>
      </c>
      <c r="F272" s="179">
        <v>115667000</v>
      </c>
      <c r="G272" s="179">
        <v>115667000</v>
      </c>
      <c r="H272" s="179">
        <v>0</v>
      </c>
      <c r="I272" s="179">
        <v>107941098.16</v>
      </c>
      <c r="J272" s="179">
        <v>0</v>
      </c>
      <c r="K272" s="179">
        <v>7725901.8399999999</v>
      </c>
      <c r="L272" s="179">
        <v>7725901.8399999999</v>
      </c>
      <c r="M272" s="179">
        <v>0</v>
      </c>
      <c r="N272" s="179">
        <v>0</v>
      </c>
    </row>
    <row r="273" spans="1:14" s="156" customFormat="1" x14ac:dyDescent="0.25">
      <c r="A273" s="156" t="s">
        <v>545</v>
      </c>
      <c r="B273" s="156" t="s">
        <v>344</v>
      </c>
      <c r="C273" s="156" t="s">
        <v>602</v>
      </c>
      <c r="D273" s="156" t="s">
        <v>541</v>
      </c>
      <c r="E273" s="179">
        <v>96260000</v>
      </c>
      <c r="F273" s="179">
        <v>96260000</v>
      </c>
      <c r="G273" s="179">
        <v>96260000</v>
      </c>
      <c r="H273" s="179">
        <v>0</v>
      </c>
      <c r="I273" s="179">
        <v>89830390.420000002</v>
      </c>
      <c r="J273" s="179">
        <v>0</v>
      </c>
      <c r="K273" s="179">
        <v>6429609.5800000001</v>
      </c>
      <c r="L273" s="179">
        <v>6429609.5800000001</v>
      </c>
      <c r="M273" s="179">
        <v>0</v>
      </c>
      <c r="N273" s="179">
        <v>0</v>
      </c>
    </row>
    <row r="274" spans="1:14" s="156" customFormat="1" x14ac:dyDescent="0.25">
      <c r="A274" s="156" t="s">
        <v>545</v>
      </c>
      <c r="B274" s="156" t="s">
        <v>345</v>
      </c>
      <c r="C274" s="156" t="s">
        <v>603</v>
      </c>
      <c r="D274" s="156" t="s">
        <v>541</v>
      </c>
      <c r="E274" s="179">
        <v>19407000</v>
      </c>
      <c r="F274" s="179">
        <v>19407000</v>
      </c>
      <c r="G274" s="179">
        <v>19407000</v>
      </c>
      <c r="H274" s="179">
        <v>0</v>
      </c>
      <c r="I274" s="179">
        <v>18110707.739999998</v>
      </c>
      <c r="J274" s="179">
        <v>0</v>
      </c>
      <c r="K274" s="179">
        <v>1296292.26</v>
      </c>
      <c r="L274" s="179">
        <v>1296292.26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261</v>
      </c>
      <c r="C275" s="156" t="s">
        <v>262</v>
      </c>
      <c r="D275" s="156" t="s">
        <v>541</v>
      </c>
      <c r="E275" s="179">
        <v>179462000</v>
      </c>
      <c r="F275" s="179">
        <v>179462000</v>
      </c>
      <c r="G275" s="179">
        <v>38231300</v>
      </c>
      <c r="H275" s="179">
        <v>0</v>
      </c>
      <c r="I275" s="179">
        <v>0</v>
      </c>
      <c r="J275" s="179">
        <v>0</v>
      </c>
      <c r="K275" s="179">
        <v>2432264</v>
      </c>
      <c r="L275" s="179">
        <v>2432264</v>
      </c>
      <c r="M275" s="179">
        <v>177029736</v>
      </c>
      <c r="N275" s="179">
        <v>35799036</v>
      </c>
    </row>
    <row r="276" spans="1:14" s="156" customFormat="1" x14ac:dyDescent="0.25">
      <c r="A276" s="156" t="s">
        <v>545</v>
      </c>
      <c r="B276" s="156" t="s">
        <v>263</v>
      </c>
      <c r="C276" s="156" t="s">
        <v>264</v>
      </c>
      <c r="D276" s="156" t="s">
        <v>541</v>
      </c>
      <c r="E276" s="179">
        <v>150000000</v>
      </c>
      <c r="F276" s="179">
        <v>150000000</v>
      </c>
      <c r="G276" s="179">
        <v>8769300</v>
      </c>
      <c r="H276" s="179">
        <v>0</v>
      </c>
      <c r="I276" s="179">
        <v>0</v>
      </c>
      <c r="J276" s="179">
        <v>0</v>
      </c>
      <c r="K276" s="179">
        <v>0</v>
      </c>
      <c r="L276" s="179">
        <v>0</v>
      </c>
      <c r="M276" s="179">
        <v>150000000</v>
      </c>
      <c r="N276" s="179">
        <v>8769300</v>
      </c>
    </row>
    <row r="277" spans="1:14" s="156" customFormat="1" x14ac:dyDescent="0.25">
      <c r="A277" s="156" t="s">
        <v>545</v>
      </c>
      <c r="B277" s="156" t="s">
        <v>265</v>
      </c>
      <c r="C277" s="156" t="s">
        <v>266</v>
      </c>
      <c r="D277" s="156" t="s">
        <v>541</v>
      </c>
      <c r="E277" s="179">
        <v>29462000</v>
      </c>
      <c r="F277" s="179">
        <v>29462000</v>
      </c>
      <c r="G277" s="179">
        <v>29462000</v>
      </c>
      <c r="H277" s="179">
        <v>0</v>
      </c>
      <c r="I277" s="179">
        <v>0</v>
      </c>
      <c r="J277" s="179">
        <v>0</v>
      </c>
      <c r="K277" s="179">
        <v>2432264</v>
      </c>
      <c r="L277" s="179">
        <v>2432264</v>
      </c>
      <c r="M277" s="179">
        <v>27029736</v>
      </c>
      <c r="N277" s="179">
        <v>27029736</v>
      </c>
    </row>
    <row r="278" spans="1:14" s="156" customFormat="1" x14ac:dyDescent="0.25">
      <c r="A278" s="156" t="s">
        <v>545</v>
      </c>
      <c r="B278" s="156" t="s">
        <v>267</v>
      </c>
      <c r="C278" s="156" t="s">
        <v>268</v>
      </c>
      <c r="D278" s="156" t="s">
        <v>541</v>
      </c>
      <c r="E278" s="179">
        <v>3000000</v>
      </c>
      <c r="F278" s="179">
        <v>3000000</v>
      </c>
      <c r="G278" s="179">
        <v>750000</v>
      </c>
      <c r="H278" s="179">
        <v>0</v>
      </c>
      <c r="I278" s="179">
        <v>0</v>
      </c>
      <c r="J278" s="179">
        <v>0</v>
      </c>
      <c r="K278" s="179">
        <v>0</v>
      </c>
      <c r="L278" s="179">
        <v>0</v>
      </c>
      <c r="M278" s="179">
        <v>3000000</v>
      </c>
      <c r="N278" s="179">
        <v>750000</v>
      </c>
    </row>
    <row r="279" spans="1:14" s="156" customFormat="1" x14ac:dyDescent="0.25">
      <c r="A279" s="156" t="s">
        <v>545</v>
      </c>
      <c r="B279" s="156" t="s">
        <v>269</v>
      </c>
      <c r="C279" s="156" t="s">
        <v>270</v>
      </c>
      <c r="D279" s="156" t="s">
        <v>541</v>
      </c>
      <c r="E279" s="179">
        <v>3000000</v>
      </c>
      <c r="F279" s="179">
        <v>3000000</v>
      </c>
      <c r="G279" s="179">
        <v>750000</v>
      </c>
      <c r="H279" s="179">
        <v>0</v>
      </c>
      <c r="I279" s="179">
        <v>0</v>
      </c>
      <c r="J279" s="179">
        <v>0</v>
      </c>
      <c r="K279" s="179">
        <v>0</v>
      </c>
      <c r="L279" s="179">
        <v>0</v>
      </c>
      <c r="M279" s="179">
        <v>3000000</v>
      </c>
      <c r="N279" s="179">
        <v>750000</v>
      </c>
    </row>
    <row r="280" spans="1:14" s="156" customFormat="1" x14ac:dyDescent="0.25">
      <c r="A280" s="156" t="s">
        <v>545</v>
      </c>
      <c r="B280" s="156" t="s">
        <v>279</v>
      </c>
      <c r="C280" s="156" t="s">
        <v>280</v>
      </c>
      <c r="D280" s="156" t="s">
        <v>543</v>
      </c>
      <c r="E280" s="179">
        <v>47031000</v>
      </c>
      <c r="F280" s="179">
        <v>47031000</v>
      </c>
      <c r="G280" s="179">
        <v>10406767.810000001</v>
      </c>
      <c r="H280" s="179">
        <v>0</v>
      </c>
      <c r="I280" s="179">
        <v>16006564.1</v>
      </c>
      <c r="J280" s="179">
        <v>0</v>
      </c>
      <c r="K280" s="179">
        <v>0</v>
      </c>
      <c r="L280" s="179">
        <v>0</v>
      </c>
      <c r="M280" s="179">
        <v>31024435.899999999</v>
      </c>
      <c r="N280" s="179">
        <v>-5599796.29</v>
      </c>
    </row>
    <row r="281" spans="1:14" s="156" customFormat="1" x14ac:dyDescent="0.25">
      <c r="A281" s="156" t="s">
        <v>545</v>
      </c>
      <c r="B281" s="156" t="s">
        <v>281</v>
      </c>
      <c r="C281" s="156" t="s">
        <v>282</v>
      </c>
      <c r="D281" s="156" t="s">
        <v>543</v>
      </c>
      <c r="E281" s="179">
        <v>25000000</v>
      </c>
      <c r="F281" s="179">
        <v>25000000</v>
      </c>
      <c r="G281" s="179">
        <v>4899017.8099999996</v>
      </c>
      <c r="H281" s="179">
        <v>0</v>
      </c>
      <c r="I281" s="179">
        <v>14655581.91</v>
      </c>
      <c r="J281" s="179">
        <v>0</v>
      </c>
      <c r="K281" s="179">
        <v>0</v>
      </c>
      <c r="L281" s="179">
        <v>0</v>
      </c>
      <c r="M281" s="179">
        <v>10344418.09</v>
      </c>
      <c r="N281" s="184">
        <v>-9756564.0999999996</v>
      </c>
    </row>
    <row r="282" spans="1:14" s="156" customFormat="1" x14ac:dyDescent="0.25">
      <c r="A282" s="156" t="s">
        <v>545</v>
      </c>
      <c r="B282" s="156" t="s">
        <v>398</v>
      </c>
      <c r="C282" s="156" t="s">
        <v>501</v>
      </c>
      <c r="D282" s="156" t="s">
        <v>543</v>
      </c>
      <c r="E282" s="179">
        <v>15000000</v>
      </c>
      <c r="F282" s="179">
        <v>15000000</v>
      </c>
      <c r="G282" s="179">
        <v>3750000</v>
      </c>
      <c r="H282" s="179">
        <v>0</v>
      </c>
      <c r="I282" s="179">
        <v>14655581.91</v>
      </c>
      <c r="J282" s="179">
        <v>0</v>
      </c>
      <c r="K282" s="179">
        <v>0</v>
      </c>
      <c r="L282" s="179">
        <v>0</v>
      </c>
      <c r="M282" s="179">
        <v>344418.09</v>
      </c>
      <c r="N282" s="179">
        <v>-10905581.91</v>
      </c>
    </row>
    <row r="283" spans="1:14" s="156" customFormat="1" x14ac:dyDescent="0.25">
      <c r="A283" s="156" t="s">
        <v>545</v>
      </c>
      <c r="B283" s="156" t="s">
        <v>285</v>
      </c>
      <c r="C283" s="156" t="s">
        <v>286</v>
      </c>
      <c r="D283" s="156" t="s">
        <v>543</v>
      </c>
      <c r="E283" s="179">
        <v>0</v>
      </c>
      <c r="F283" s="179">
        <v>0</v>
      </c>
      <c r="G283" s="179">
        <v>0</v>
      </c>
      <c r="H283" s="179">
        <v>0</v>
      </c>
      <c r="I283" s="179">
        <v>0</v>
      </c>
      <c r="J283" s="179">
        <v>0</v>
      </c>
      <c r="K283" s="179">
        <v>0</v>
      </c>
      <c r="L283" s="179">
        <v>0</v>
      </c>
      <c r="M283" s="179">
        <v>0</v>
      </c>
      <c r="N283" s="179">
        <v>0</v>
      </c>
    </row>
    <row r="284" spans="1:14" s="156" customFormat="1" x14ac:dyDescent="0.25">
      <c r="A284" s="156" t="s">
        <v>545</v>
      </c>
      <c r="B284" s="156" t="s">
        <v>287</v>
      </c>
      <c r="C284" s="156" t="s">
        <v>288</v>
      </c>
      <c r="D284" s="156" t="s">
        <v>543</v>
      </c>
      <c r="E284" s="179">
        <v>0</v>
      </c>
      <c r="F284" s="179">
        <v>0</v>
      </c>
      <c r="G284" s="179">
        <v>0</v>
      </c>
      <c r="H284" s="179">
        <v>0</v>
      </c>
      <c r="I284" s="179">
        <v>0</v>
      </c>
      <c r="J284" s="179">
        <v>0</v>
      </c>
      <c r="K284" s="179">
        <v>0</v>
      </c>
      <c r="L284" s="179">
        <v>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289</v>
      </c>
      <c r="C285" s="156" t="s">
        <v>290</v>
      </c>
      <c r="D285" s="156" t="s">
        <v>543</v>
      </c>
      <c r="E285" s="179">
        <v>10000000</v>
      </c>
      <c r="F285" s="179">
        <v>10000000</v>
      </c>
      <c r="G285" s="179">
        <v>1149017.81</v>
      </c>
      <c r="H285" s="179">
        <v>0</v>
      </c>
      <c r="I285" s="179">
        <v>0</v>
      </c>
      <c r="J285" s="179">
        <v>0</v>
      </c>
      <c r="K285" s="179">
        <v>0</v>
      </c>
      <c r="L285" s="179">
        <v>0</v>
      </c>
      <c r="M285" s="179">
        <v>10000000</v>
      </c>
      <c r="N285" s="179">
        <v>1149017.81</v>
      </c>
    </row>
    <row r="286" spans="1:14" s="156" customFormat="1" x14ac:dyDescent="0.25">
      <c r="A286" s="156" t="s">
        <v>545</v>
      </c>
      <c r="B286" s="156" t="s">
        <v>291</v>
      </c>
      <c r="C286" s="156" t="s">
        <v>292</v>
      </c>
      <c r="D286" s="156" t="s">
        <v>543</v>
      </c>
      <c r="E286" s="179">
        <v>0</v>
      </c>
      <c r="F286" s="179">
        <v>0</v>
      </c>
      <c r="G286" s="179">
        <v>0</v>
      </c>
      <c r="H286" s="179">
        <v>0</v>
      </c>
      <c r="I286" s="179">
        <v>0</v>
      </c>
      <c r="J286" s="179">
        <v>0</v>
      </c>
      <c r="K286" s="179">
        <v>0</v>
      </c>
      <c r="L286" s="179">
        <v>0</v>
      </c>
      <c r="M286" s="179">
        <v>0</v>
      </c>
      <c r="N286" s="179">
        <v>0</v>
      </c>
    </row>
    <row r="287" spans="1:14" s="156" customFormat="1" x14ac:dyDescent="0.25">
      <c r="A287" s="156" t="s">
        <v>545</v>
      </c>
      <c r="B287" s="156" t="s">
        <v>297</v>
      </c>
      <c r="C287" s="156" t="s">
        <v>298</v>
      </c>
      <c r="D287" s="156" t="s">
        <v>543</v>
      </c>
      <c r="E287" s="179">
        <v>0</v>
      </c>
      <c r="F287" s="179">
        <v>0</v>
      </c>
      <c r="G287" s="179">
        <v>0</v>
      </c>
      <c r="H287" s="179">
        <v>0</v>
      </c>
      <c r="I287" s="179">
        <v>1350982.19</v>
      </c>
      <c r="J287" s="179">
        <v>0</v>
      </c>
      <c r="K287" s="179">
        <v>0</v>
      </c>
      <c r="L287" s="179">
        <v>0</v>
      </c>
      <c r="M287" s="179">
        <v>-1350982.19</v>
      </c>
      <c r="N287" s="179">
        <v>-1350982.19</v>
      </c>
    </row>
    <row r="288" spans="1:14" s="156" customFormat="1" x14ac:dyDescent="0.25">
      <c r="A288" s="156" t="s">
        <v>545</v>
      </c>
      <c r="B288" s="156" t="s">
        <v>299</v>
      </c>
      <c r="C288" s="156" t="s">
        <v>300</v>
      </c>
      <c r="D288" s="156" t="s">
        <v>543</v>
      </c>
      <c r="E288" s="179">
        <v>0</v>
      </c>
      <c r="F288" s="179">
        <v>0</v>
      </c>
      <c r="G288" s="179">
        <v>0</v>
      </c>
      <c r="H288" s="179">
        <v>0</v>
      </c>
      <c r="I288" s="179">
        <v>1350982.19</v>
      </c>
      <c r="J288" s="179">
        <v>0</v>
      </c>
      <c r="K288" s="179">
        <v>0</v>
      </c>
      <c r="L288" s="179">
        <v>0</v>
      </c>
      <c r="M288" s="179">
        <v>-1350982.19</v>
      </c>
      <c r="N288" s="179">
        <v>-1350982.19</v>
      </c>
    </row>
    <row r="289" spans="1:14" s="156" customFormat="1" x14ac:dyDescent="0.25">
      <c r="A289" s="156" t="s">
        <v>545</v>
      </c>
      <c r="B289" s="156" t="s">
        <v>340</v>
      </c>
      <c r="C289" s="156" t="s">
        <v>341</v>
      </c>
      <c r="D289" s="156" t="s">
        <v>543</v>
      </c>
      <c r="E289" s="179">
        <v>22031000</v>
      </c>
      <c r="F289" s="179">
        <v>22031000</v>
      </c>
      <c r="G289" s="179">
        <v>5507750</v>
      </c>
      <c r="H289" s="179">
        <v>0</v>
      </c>
      <c r="I289" s="179">
        <v>0</v>
      </c>
      <c r="J289" s="179">
        <v>0</v>
      </c>
      <c r="K289" s="179">
        <v>0</v>
      </c>
      <c r="L289" s="179">
        <v>0</v>
      </c>
      <c r="M289" s="179">
        <v>22031000</v>
      </c>
      <c r="N289" s="179">
        <v>5507750</v>
      </c>
    </row>
    <row r="290" spans="1:14" s="156" customFormat="1" x14ac:dyDescent="0.25">
      <c r="A290" s="156" t="s">
        <v>545</v>
      </c>
      <c r="B290" s="156" t="s">
        <v>342</v>
      </c>
      <c r="C290" s="156" t="s">
        <v>343</v>
      </c>
      <c r="D290" s="156" t="s">
        <v>543</v>
      </c>
      <c r="E290" s="179">
        <v>22031000</v>
      </c>
      <c r="F290" s="179">
        <v>22031000</v>
      </c>
      <c r="G290" s="179">
        <v>5507750</v>
      </c>
      <c r="H290" s="179">
        <v>0</v>
      </c>
      <c r="I290" s="179">
        <v>0</v>
      </c>
      <c r="J290" s="179">
        <v>0</v>
      </c>
      <c r="K290" s="179">
        <v>0</v>
      </c>
      <c r="L290" s="179">
        <v>0</v>
      </c>
      <c r="M290" s="179">
        <v>22031000</v>
      </c>
      <c r="N290" s="179">
        <v>5507750</v>
      </c>
    </row>
    <row r="291" spans="1:14" s="156" customFormat="1" x14ac:dyDescent="0.25">
      <c r="A291" s="156">
        <v>214783</v>
      </c>
      <c r="B291" s="156" t="s">
        <v>587</v>
      </c>
      <c r="C291" s="156" t="s">
        <v>587</v>
      </c>
      <c r="D291" s="156" t="s">
        <v>541</v>
      </c>
      <c r="E291" s="179">
        <v>106163237755</v>
      </c>
      <c r="F291" s="179">
        <v>106163237755</v>
      </c>
      <c r="G291" s="179">
        <v>80054235299.190002</v>
      </c>
      <c r="H291" s="179">
        <v>0</v>
      </c>
      <c r="I291" s="179">
        <v>18075886356.48</v>
      </c>
      <c r="J291" s="179">
        <v>308247108.77999997</v>
      </c>
      <c r="K291" s="182">
        <v>9177986155.2900009</v>
      </c>
      <c r="L291" s="179">
        <v>8754246747.2600002</v>
      </c>
      <c r="M291" s="179">
        <v>78601118134.449997</v>
      </c>
      <c r="N291" s="179">
        <v>52492115678.639999</v>
      </c>
    </row>
    <row r="292" spans="1:14" s="156" customFormat="1" x14ac:dyDescent="0.25">
      <c r="A292" s="156" t="s">
        <v>546</v>
      </c>
      <c r="B292" s="156" t="s">
        <v>92</v>
      </c>
      <c r="C292" s="156" t="s">
        <v>93</v>
      </c>
      <c r="D292" s="156" t="s">
        <v>541</v>
      </c>
      <c r="E292" s="179">
        <v>69224041000</v>
      </c>
      <c r="F292" s="179">
        <v>69224041000</v>
      </c>
      <c r="G292" s="179">
        <v>69224041000</v>
      </c>
      <c r="H292" s="179">
        <v>0</v>
      </c>
      <c r="I292" s="179">
        <v>9752699418</v>
      </c>
      <c r="J292" s="179">
        <v>0</v>
      </c>
      <c r="K292" s="179">
        <v>8613979144.4200001</v>
      </c>
      <c r="L292" s="179">
        <v>8613979144.4200001</v>
      </c>
      <c r="M292" s="179">
        <v>50857362437.580002</v>
      </c>
      <c r="N292" s="179">
        <v>50857362437.580002</v>
      </c>
    </row>
    <row r="293" spans="1:14" s="156" customFormat="1" x14ac:dyDescent="0.25">
      <c r="A293" s="156" t="s">
        <v>546</v>
      </c>
      <c r="B293" s="156" t="s">
        <v>94</v>
      </c>
      <c r="C293" s="156" t="s">
        <v>95</v>
      </c>
      <c r="D293" s="156" t="s">
        <v>541</v>
      </c>
      <c r="E293" s="179">
        <v>25618223000</v>
      </c>
      <c r="F293" s="179">
        <v>25618223000</v>
      </c>
      <c r="G293" s="179">
        <v>25618223000</v>
      </c>
      <c r="H293" s="179">
        <v>0</v>
      </c>
      <c r="I293" s="179">
        <v>0</v>
      </c>
      <c r="J293" s="179">
        <v>0</v>
      </c>
      <c r="K293" s="179">
        <v>2007873097.96</v>
      </c>
      <c r="L293" s="179">
        <v>2007873097.96</v>
      </c>
      <c r="M293" s="179">
        <v>23610349902.040001</v>
      </c>
      <c r="N293" s="179">
        <v>23610349902.040001</v>
      </c>
    </row>
    <row r="294" spans="1:14" s="156" customFormat="1" x14ac:dyDescent="0.25">
      <c r="A294" s="156" t="s">
        <v>546</v>
      </c>
      <c r="B294" s="156" t="s">
        <v>96</v>
      </c>
      <c r="C294" s="156" t="s">
        <v>97</v>
      </c>
      <c r="D294" s="156" t="s">
        <v>541</v>
      </c>
      <c r="E294" s="179">
        <v>25601107000</v>
      </c>
      <c r="F294" s="179">
        <v>25601107000</v>
      </c>
      <c r="G294" s="179">
        <v>25601107000</v>
      </c>
      <c r="H294" s="179">
        <v>0</v>
      </c>
      <c r="I294" s="179">
        <v>0</v>
      </c>
      <c r="J294" s="179">
        <v>0</v>
      </c>
      <c r="K294" s="179">
        <v>2000237197.96</v>
      </c>
      <c r="L294" s="179">
        <v>2000237197.96</v>
      </c>
      <c r="M294" s="179">
        <v>23600869802.040001</v>
      </c>
      <c r="N294" s="179">
        <v>23600869802.040001</v>
      </c>
    </row>
    <row r="295" spans="1:14" s="156" customFormat="1" x14ac:dyDescent="0.25">
      <c r="A295" s="156" t="s">
        <v>546</v>
      </c>
      <c r="B295" s="156" t="s">
        <v>346</v>
      </c>
      <c r="C295" s="156" t="s">
        <v>347</v>
      </c>
      <c r="D295" s="156" t="s">
        <v>541</v>
      </c>
      <c r="E295" s="179">
        <v>17116000</v>
      </c>
      <c r="F295" s="179">
        <v>17116000</v>
      </c>
      <c r="G295" s="179">
        <v>17116000</v>
      </c>
      <c r="H295" s="179">
        <v>0</v>
      </c>
      <c r="I295" s="179">
        <v>0</v>
      </c>
      <c r="J295" s="179">
        <v>0</v>
      </c>
      <c r="K295" s="179">
        <v>7635900</v>
      </c>
      <c r="L295" s="179">
        <v>7635900</v>
      </c>
      <c r="M295" s="179">
        <v>9480100</v>
      </c>
      <c r="N295" s="179">
        <v>9480100</v>
      </c>
    </row>
    <row r="296" spans="1:14" s="156" customFormat="1" x14ac:dyDescent="0.25">
      <c r="A296" s="156" t="s">
        <v>546</v>
      </c>
      <c r="B296" s="156" t="s">
        <v>98</v>
      </c>
      <c r="C296" s="156" t="s">
        <v>99</v>
      </c>
      <c r="D296" s="156" t="s">
        <v>541</v>
      </c>
      <c r="E296" s="179">
        <v>3406791000</v>
      </c>
      <c r="F296" s="179">
        <v>3406791000</v>
      </c>
      <c r="G296" s="179">
        <v>3406791000</v>
      </c>
      <c r="H296" s="179">
        <v>0</v>
      </c>
      <c r="I296" s="179">
        <v>0</v>
      </c>
      <c r="J296" s="179">
        <v>0</v>
      </c>
      <c r="K296" s="179">
        <v>300511996.29000002</v>
      </c>
      <c r="L296" s="179">
        <v>300511996.29000002</v>
      </c>
      <c r="M296" s="179">
        <v>3106279003.71</v>
      </c>
      <c r="N296" s="179">
        <v>3106279003.71</v>
      </c>
    </row>
    <row r="297" spans="1:14" s="156" customFormat="1" x14ac:dyDescent="0.25">
      <c r="A297" s="156" t="s">
        <v>546</v>
      </c>
      <c r="B297" s="156" t="s">
        <v>100</v>
      </c>
      <c r="C297" s="156" t="s">
        <v>101</v>
      </c>
      <c r="D297" s="156" t="s">
        <v>541</v>
      </c>
      <c r="E297" s="179">
        <v>8000000</v>
      </c>
      <c r="F297" s="179">
        <v>8000000</v>
      </c>
      <c r="G297" s="179">
        <v>8000000</v>
      </c>
      <c r="H297" s="179">
        <v>0</v>
      </c>
      <c r="I297" s="179">
        <v>0</v>
      </c>
      <c r="J297" s="179">
        <v>0</v>
      </c>
      <c r="K297" s="179">
        <v>0</v>
      </c>
      <c r="L297" s="179">
        <v>0</v>
      </c>
      <c r="M297" s="179">
        <v>8000000</v>
      </c>
      <c r="N297" s="179">
        <v>8000000</v>
      </c>
    </row>
    <row r="298" spans="1:14" s="156" customFormat="1" x14ac:dyDescent="0.25">
      <c r="A298" s="156" t="s">
        <v>546</v>
      </c>
      <c r="B298" s="156" t="s">
        <v>348</v>
      </c>
      <c r="C298" s="156" t="s">
        <v>349</v>
      </c>
      <c r="D298" s="156" t="s">
        <v>541</v>
      </c>
      <c r="E298" s="179">
        <v>24994000</v>
      </c>
      <c r="F298" s="179">
        <v>24994000</v>
      </c>
      <c r="G298" s="179">
        <v>24994000</v>
      </c>
      <c r="H298" s="179">
        <v>0</v>
      </c>
      <c r="I298" s="179">
        <v>0</v>
      </c>
      <c r="J298" s="179">
        <v>0</v>
      </c>
      <c r="K298" s="179">
        <v>745232</v>
      </c>
      <c r="L298" s="179">
        <v>745232</v>
      </c>
      <c r="M298" s="179">
        <v>24248768</v>
      </c>
      <c r="N298" s="179">
        <v>24248768</v>
      </c>
    </row>
    <row r="299" spans="1:14" s="156" customFormat="1" x14ac:dyDescent="0.25">
      <c r="A299" s="156" t="s">
        <v>546</v>
      </c>
      <c r="B299" s="156" t="s">
        <v>350</v>
      </c>
      <c r="C299" s="156" t="s">
        <v>351</v>
      </c>
      <c r="D299" s="156" t="s">
        <v>541</v>
      </c>
      <c r="E299" s="179">
        <v>3373797000</v>
      </c>
      <c r="F299" s="179">
        <v>3373797000</v>
      </c>
      <c r="G299" s="179">
        <v>3373797000</v>
      </c>
      <c r="H299" s="179">
        <v>0</v>
      </c>
      <c r="I299" s="179">
        <v>0</v>
      </c>
      <c r="J299" s="179">
        <v>0</v>
      </c>
      <c r="K299" s="179">
        <v>299766764.29000002</v>
      </c>
      <c r="L299" s="179">
        <v>299766764.29000002</v>
      </c>
      <c r="M299" s="179">
        <v>3074030235.71</v>
      </c>
      <c r="N299" s="179">
        <v>3074030235.71</v>
      </c>
    </row>
    <row r="300" spans="1:14" s="156" customFormat="1" x14ac:dyDescent="0.25">
      <c r="A300" s="156" t="s">
        <v>546</v>
      </c>
      <c r="B300" s="156" t="s">
        <v>102</v>
      </c>
      <c r="C300" s="156" t="s">
        <v>103</v>
      </c>
      <c r="D300" s="156" t="s">
        <v>541</v>
      </c>
      <c r="E300" s="179">
        <v>29694590000</v>
      </c>
      <c r="F300" s="179">
        <v>29694590000</v>
      </c>
      <c r="G300" s="179">
        <v>29694590000</v>
      </c>
      <c r="H300" s="179">
        <v>0</v>
      </c>
      <c r="I300" s="179">
        <v>0</v>
      </c>
      <c r="J300" s="179">
        <v>0</v>
      </c>
      <c r="K300" s="179">
        <v>5553856468.1700001</v>
      </c>
      <c r="L300" s="179">
        <v>5553856468.1700001</v>
      </c>
      <c r="M300" s="179">
        <v>24140733531.830002</v>
      </c>
      <c r="N300" s="179">
        <v>24140733531.830002</v>
      </c>
    </row>
    <row r="301" spans="1:14" s="156" customFormat="1" x14ac:dyDescent="0.25">
      <c r="A301" s="156" t="s">
        <v>546</v>
      </c>
      <c r="B301" s="156" t="s">
        <v>104</v>
      </c>
      <c r="C301" s="156" t="s">
        <v>105</v>
      </c>
      <c r="D301" s="156" t="s">
        <v>541</v>
      </c>
      <c r="E301" s="179">
        <v>9856906000</v>
      </c>
      <c r="F301" s="179">
        <v>9856906000</v>
      </c>
      <c r="G301" s="179">
        <v>9856906000</v>
      </c>
      <c r="H301" s="179">
        <v>0</v>
      </c>
      <c r="I301" s="179">
        <v>0</v>
      </c>
      <c r="J301" s="179">
        <v>0</v>
      </c>
      <c r="K301" s="179">
        <v>766497537.16999996</v>
      </c>
      <c r="L301" s="179">
        <v>766497537.16999996</v>
      </c>
      <c r="M301" s="179">
        <v>9090408462.8299999</v>
      </c>
      <c r="N301" s="179">
        <v>9090408462.8299999</v>
      </c>
    </row>
    <row r="302" spans="1:14" s="156" customFormat="1" x14ac:dyDescent="0.25">
      <c r="A302" s="156" t="s">
        <v>546</v>
      </c>
      <c r="B302" s="156" t="s">
        <v>106</v>
      </c>
      <c r="C302" s="156" t="s">
        <v>107</v>
      </c>
      <c r="D302" s="156" t="s">
        <v>541</v>
      </c>
      <c r="E302" s="179">
        <v>3637068000</v>
      </c>
      <c r="F302" s="179">
        <v>3637068000</v>
      </c>
      <c r="G302" s="179">
        <v>3637068000</v>
      </c>
      <c r="H302" s="179">
        <v>0</v>
      </c>
      <c r="I302" s="179">
        <v>0</v>
      </c>
      <c r="J302" s="179">
        <v>0</v>
      </c>
      <c r="K302" s="179">
        <v>276196164.81</v>
      </c>
      <c r="L302" s="179">
        <v>276196164.81</v>
      </c>
      <c r="M302" s="179">
        <v>3360871835.1900001</v>
      </c>
      <c r="N302" s="179">
        <v>3360871835.1900001</v>
      </c>
    </row>
    <row r="303" spans="1:14" s="156" customFormat="1" x14ac:dyDescent="0.25">
      <c r="A303" s="156" t="s">
        <v>546</v>
      </c>
      <c r="B303" s="156" t="s">
        <v>108</v>
      </c>
      <c r="C303" s="156" t="s">
        <v>109</v>
      </c>
      <c r="D303" s="156" t="s">
        <v>541</v>
      </c>
      <c r="E303" s="179">
        <v>3859929000</v>
      </c>
      <c r="F303" s="179">
        <v>3859929000</v>
      </c>
      <c r="G303" s="179">
        <v>3859929000</v>
      </c>
      <c r="H303" s="179">
        <v>0</v>
      </c>
      <c r="I303" s="179">
        <v>0</v>
      </c>
      <c r="J303" s="179">
        <v>0</v>
      </c>
      <c r="K303" s="179">
        <v>3839684379.6700001</v>
      </c>
      <c r="L303" s="179">
        <v>3839684379.6700001</v>
      </c>
      <c r="M303" s="179">
        <v>20244620.329999998</v>
      </c>
      <c r="N303" s="179">
        <v>20244620.329999998</v>
      </c>
    </row>
    <row r="304" spans="1:14" s="156" customFormat="1" x14ac:dyDescent="0.25">
      <c r="A304" s="156" t="s">
        <v>546</v>
      </c>
      <c r="B304" s="156" t="s">
        <v>110</v>
      </c>
      <c r="C304" s="156" t="s">
        <v>111</v>
      </c>
      <c r="D304" s="156" t="s">
        <v>541</v>
      </c>
      <c r="E304" s="179">
        <v>7961754000</v>
      </c>
      <c r="F304" s="179">
        <v>7961754000</v>
      </c>
      <c r="G304" s="179">
        <v>7961754000</v>
      </c>
      <c r="H304" s="179">
        <v>0</v>
      </c>
      <c r="I304" s="179">
        <v>0</v>
      </c>
      <c r="J304" s="179">
        <v>0</v>
      </c>
      <c r="K304" s="179">
        <v>667055151.58000004</v>
      </c>
      <c r="L304" s="179">
        <v>667055151.58000004</v>
      </c>
      <c r="M304" s="179">
        <v>7294698848.4200001</v>
      </c>
      <c r="N304" s="179">
        <v>7294698848.4200001</v>
      </c>
    </row>
    <row r="305" spans="1:14" s="156" customFormat="1" x14ac:dyDescent="0.25">
      <c r="A305" s="156" t="s">
        <v>546</v>
      </c>
      <c r="B305" s="156" t="s">
        <v>112</v>
      </c>
      <c r="C305" s="156" t="s">
        <v>113</v>
      </c>
      <c r="D305" s="156" t="s">
        <v>543</v>
      </c>
      <c r="E305" s="179">
        <v>4378933000</v>
      </c>
      <c r="F305" s="179">
        <v>4378933000</v>
      </c>
      <c r="G305" s="179">
        <v>4378933000</v>
      </c>
      <c r="H305" s="179">
        <v>0</v>
      </c>
      <c r="I305" s="179">
        <v>0</v>
      </c>
      <c r="J305" s="179">
        <v>0</v>
      </c>
      <c r="K305" s="179">
        <v>4423234.9400000004</v>
      </c>
      <c r="L305" s="179">
        <v>4423234.9400000004</v>
      </c>
      <c r="M305" s="179">
        <v>4374509765.0600004</v>
      </c>
      <c r="N305" s="179">
        <v>4374509765.0600004</v>
      </c>
    </row>
    <row r="306" spans="1:14" s="156" customFormat="1" x14ac:dyDescent="0.25">
      <c r="A306" s="156" t="s">
        <v>546</v>
      </c>
      <c r="B306" s="156" t="s">
        <v>114</v>
      </c>
      <c r="C306" s="156" t="s">
        <v>115</v>
      </c>
      <c r="D306" s="156" t="s">
        <v>541</v>
      </c>
      <c r="E306" s="179">
        <v>5298410000</v>
      </c>
      <c r="F306" s="179">
        <v>5298410000</v>
      </c>
      <c r="G306" s="179">
        <v>5298410000</v>
      </c>
      <c r="H306" s="179">
        <v>0</v>
      </c>
      <c r="I306" s="179">
        <v>4919112640</v>
      </c>
      <c r="J306" s="179">
        <v>0</v>
      </c>
      <c r="K306" s="179">
        <v>379297360</v>
      </c>
      <c r="L306" s="179">
        <v>379297360</v>
      </c>
      <c r="M306" s="179">
        <v>0</v>
      </c>
      <c r="N306" s="179">
        <v>0</v>
      </c>
    </row>
    <row r="307" spans="1:14" s="156" customFormat="1" x14ac:dyDescent="0.25">
      <c r="A307" s="156" t="s">
        <v>546</v>
      </c>
      <c r="B307" s="156" t="s">
        <v>352</v>
      </c>
      <c r="C307" s="156" t="s">
        <v>597</v>
      </c>
      <c r="D307" s="156" t="s">
        <v>541</v>
      </c>
      <c r="E307" s="179">
        <v>5026697000</v>
      </c>
      <c r="F307" s="179">
        <v>5026697000</v>
      </c>
      <c r="G307" s="179">
        <v>5026697000</v>
      </c>
      <c r="H307" s="179">
        <v>0</v>
      </c>
      <c r="I307" s="179">
        <v>4666847469</v>
      </c>
      <c r="J307" s="179">
        <v>0</v>
      </c>
      <c r="K307" s="179">
        <v>359849531</v>
      </c>
      <c r="L307" s="179">
        <v>359849531</v>
      </c>
      <c r="M307" s="179">
        <v>0</v>
      </c>
      <c r="N307" s="179">
        <v>0</v>
      </c>
    </row>
    <row r="308" spans="1:14" s="156" customFormat="1" x14ac:dyDescent="0.25">
      <c r="A308" s="156" t="s">
        <v>546</v>
      </c>
      <c r="B308" s="156" t="s">
        <v>353</v>
      </c>
      <c r="C308" s="156" t="s">
        <v>583</v>
      </c>
      <c r="D308" s="156" t="s">
        <v>541</v>
      </c>
      <c r="E308" s="179">
        <v>271713000</v>
      </c>
      <c r="F308" s="179">
        <v>271713000</v>
      </c>
      <c r="G308" s="179">
        <v>271713000</v>
      </c>
      <c r="H308" s="179">
        <v>0</v>
      </c>
      <c r="I308" s="179">
        <v>252265171</v>
      </c>
      <c r="J308" s="179">
        <v>0</v>
      </c>
      <c r="K308" s="179">
        <v>19447829</v>
      </c>
      <c r="L308" s="179">
        <v>19447829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118</v>
      </c>
      <c r="C309" s="156" t="s">
        <v>119</v>
      </c>
      <c r="D309" s="156" t="s">
        <v>541</v>
      </c>
      <c r="E309" s="179">
        <v>5206027000</v>
      </c>
      <c r="F309" s="179">
        <v>5206027000</v>
      </c>
      <c r="G309" s="179">
        <v>5206027000</v>
      </c>
      <c r="H309" s="179">
        <v>0</v>
      </c>
      <c r="I309" s="179">
        <v>4833586778</v>
      </c>
      <c r="J309" s="179">
        <v>0</v>
      </c>
      <c r="K309" s="179">
        <v>372440222</v>
      </c>
      <c r="L309" s="179">
        <v>372440222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354</v>
      </c>
      <c r="C310" s="156" t="s">
        <v>598</v>
      </c>
      <c r="D310" s="156" t="s">
        <v>541</v>
      </c>
      <c r="E310" s="179">
        <v>2760607000</v>
      </c>
      <c r="F310" s="179">
        <v>2760607000</v>
      </c>
      <c r="G310" s="179">
        <v>2760607000</v>
      </c>
      <c r="H310" s="179">
        <v>0</v>
      </c>
      <c r="I310" s="179">
        <v>2563197718</v>
      </c>
      <c r="J310" s="179">
        <v>0</v>
      </c>
      <c r="K310" s="179">
        <v>197409282</v>
      </c>
      <c r="L310" s="179">
        <v>197409282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355</v>
      </c>
      <c r="C311" s="156" t="s">
        <v>599</v>
      </c>
      <c r="D311" s="156" t="s">
        <v>541</v>
      </c>
      <c r="E311" s="179">
        <v>815140000</v>
      </c>
      <c r="F311" s="179">
        <v>815140000</v>
      </c>
      <c r="G311" s="179">
        <v>815140000</v>
      </c>
      <c r="H311" s="179">
        <v>0</v>
      </c>
      <c r="I311" s="179">
        <v>756796360</v>
      </c>
      <c r="J311" s="179">
        <v>0</v>
      </c>
      <c r="K311" s="179">
        <v>58343640</v>
      </c>
      <c r="L311" s="179">
        <v>58343640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356</v>
      </c>
      <c r="C312" s="156" t="s">
        <v>600</v>
      </c>
      <c r="D312" s="156" t="s">
        <v>541</v>
      </c>
      <c r="E312" s="179">
        <v>1630280000</v>
      </c>
      <c r="F312" s="179">
        <v>1630280000</v>
      </c>
      <c r="G312" s="179">
        <v>1630280000</v>
      </c>
      <c r="H312" s="179">
        <v>0</v>
      </c>
      <c r="I312" s="179">
        <v>1513592700</v>
      </c>
      <c r="J312" s="179">
        <v>0</v>
      </c>
      <c r="K312" s="179">
        <v>116687300</v>
      </c>
      <c r="L312" s="179">
        <v>116687300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123</v>
      </c>
      <c r="C313" s="156" t="s">
        <v>124</v>
      </c>
      <c r="D313" s="156" t="s">
        <v>541</v>
      </c>
      <c r="E313" s="179">
        <v>9869454182</v>
      </c>
      <c r="F313" s="179">
        <v>9869454182</v>
      </c>
      <c r="G313" s="179">
        <v>2449042413.9400001</v>
      </c>
      <c r="H313" s="179">
        <v>0</v>
      </c>
      <c r="I313" s="179">
        <v>1760136309.5799999</v>
      </c>
      <c r="J313" s="179">
        <v>3109432.44</v>
      </c>
      <c r="K313" s="179">
        <v>343783441.69999999</v>
      </c>
      <c r="L313" s="179">
        <v>719400</v>
      </c>
      <c r="M313" s="179">
        <v>7762424998.2799997</v>
      </c>
      <c r="N313" s="179">
        <v>342013230.22000003</v>
      </c>
    </row>
    <row r="314" spans="1:14" s="156" customFormat="1" x14ac:dyDescent="0.25">
      <c r="A314" s="156" t="s">
        <v>546</v>
      </c>
      <c r="B314" s="156" t="s">
        <v>125</v>
      </c>
      <c r="C314" s="156" t="s">
        <v>126</v>
      </c>
      <c r="D314" s="156" t="s">
        <v>541</v>
      </c>
      <c r="E314" s="179">
        <v>3181468559</v>
      </c>
      <c r="F314" s="179">
        <v>3181468559</v>
      </c>
      <c r="G314" s="179">
        <v>795367139.89999998</v>
      </c>
      <c r="H314" s="179">
        <v>0</v>
      </c>
      <c r="I314" s="179">
        <v>463438613.63</v>
      </c>
      <c r="J314" s="179">
        <v>0</v>
      </c>
      <c r="K314" s="179">
        <v>36748631.490000002</v>
      </c>
      <c r="L314" s="179">
        <v>0</v>
      </c>
      <c r="M314" s="179">
        <v>2681281313.8800001</v>
      </c>
      <c r="N314" s="179">
        <v>295179894.77999997</v>
      </c>
    </row>
    <row r="315" spans="1:14" s="156" customFormat="1" x14ac:dyDescent="0.25">
      <c r="A315" s="156" t="s">
        <v>546</v>
      </c>
      <c r="B315" s="156" t="s">
        <v>306</v>
      </c>
      <c r="C315" s="156" t="s">
        <v>307</v>
      </c>
      <c r="D315" s="156" t="s">
        <v>541</v>
      </c>
      <c r="E315" s="179">
        <v>431740903</v>
      </c>
      <c r="F315" s="179">
        <v>431740903</v>
      </c>
      <c r="G315" s="179">
        <v>107935225.8</v>
      </c>
      <c r="H315" s="179">
        <v>0</v>
      </c>
      <c r="I315" s="179">
        <v>78307712.209999993</v>
      </c>
      <c r="J315" s="179">
        <v>0</v>
      </c>
      <c r="K315" s="179">
        <v>0</v>
      </c>
      <c r="L315" s="179">
        <v>0</v>
      </c>
      <c r="M315" s="179">
        <v>353433190.79000002</v>
      </c>
      <c r="N315" s="179">
        <v>29627513.59</v>
      </c>
    </row>
    <row r="316" spans="1:14" s="156" customFormat="1" x14ac:dyDescent="0.25">
      <c r="A316" s="156" t="s">
        <v>546</v>
      </c>
      <c r="B316" s="156" t="s">
        <v>127</v>
      </c>
      <c r="C316" s="156" t="s">
        <v>128</v>
      </c>
      <c r="D316" s="156" t="s">
        <v>541</v>
      </c>
      <c r="E316" s="179">
        <v>719138329</v>
      </c>
      <c r="F316" s="179">
        <v>719138329</v>
      </c>
      <c r="G316" s="179">
        <v>179784582.30000001</v>
      </c>
      <c r="H316" s="179">
        <v>0</v>
      </c>
      <c r="I316" s="179">
        <v>54431120.450000003</v>
      </c>
      <c r="J316" s="179">
        <v>0</v>
      </c>
      <c r="K316" s="179">
        <v>36748631.490000002</v>
      </c>
      <c r="L316" s="179">
        <v>0</v>
      </c>
      <c r="M316" s="179">
        <v>627958577.05999994</v>
      </c>
      <c r="N316" s="179">
        <v>88604830.359999999</v>
      </c>
    </row>
    <row r="317" spans="1:14" s="156" customFormat="1" x14ac:dyDescent="0.25">
      <c r="A317" s="156" t="s">
        <v>546</v>
      </c>
      <c r="B317" s="156" t="s">
        <v>322</v>
      </c>
      <c r="C317" s="156" t="s">
        <v>323</v>
      </c>
      <c r="D317" s="156" t="s">
        <v>541</v>
      </c>
      <c r="E317" s="179">
        <v>23472000</v>
      </c>
      <c r="F317" s="179">
        <v>23472000</v>
      </c>
      <c r="G317" s="179">
        <v>5868000</v>
      </c>
      <c r="H317" s="179">
        <v>0</v>
      </c>
      <c r="I317" s="179">
        <v>5461057.1699999999</v>
      </c>
      <c r="J317" s="179">
        <v>0</v>
      </c>
      <c r="K317" s="179">
        <v>0</v>
      </c>
      <c r="L317" s="179">
        <v>0</v>
      </c>
      <c r="M317" s="179">
        <v>18010942.829999998</v>
      </c>
      <c r="N317" s="179">
        <v>406942.83</v>
      </c>
    </row>
    <row r="318" spans="1:14" s="156" customFormat="1" x14ac:dyDescent="0.25">
      <c r="A318" s="156" t="s">
        <v>546</v>
      </c>
      <c r="B318" s="156" t="s">
        <v>129</v>
      </c>
      <c r="C318" s="156" t="s">
        <v>130</v>
      </c>
      <c r="D318" s="156" t="s">
        <v>541</v>
      </c>
      <c r="E318" s="179">
        <v>2007117327</v>
      </c>
      <c r="F318" s="179">
        <v>2007117327</v>
      </c>
      <c r="G318" s="179">
        <v>501779331.80000001</v>
      </c>
      <c r="H318" s="179">
        <v>0</v>
      </c>
      <c r="I318" s="179">
        <v>325238723.80000001</v>
      </c>
      <c r="J318" s="179">
        <v>0</v>
      </c>
      <c r="K318" s="179">
        <v>0</v>
      </c>
      <c r="L318" s="179">
        <v>0</v>
      </c>
      <c r="M318" s="179">
        <v>1681878603.2</v>
      </c>
      <c r="N318" s="179">
        <v>176540608</v>
      </c>
    </row>
    <row r="319" spans="1:14" s="156" customFormat="1" x14ac:dyDescent="0.25">
      <c r="A319" s="156" t="s">
        <v>546</v>
      </c>
      <c r="B319" s="156" t="s">
        <v>131</v>
      </c>
      <c r="C319" s="156" t="s">
        <v>132</v>
      </c>
      <c r="D319" s="156" t="s">
        <v>541</v>
      </c>
      <c r="E319" s="179">
        <v>4328674526</v>
      </c>
      <c r="F319" s="179">
        <v>4328674526</v>
      </c>
      <c r="G319" s="179">
        <v>1082168631.5</v>
      </c>
      <c r="H319" s="179">
        <v>0</v>
      </c>
      <c r="I319" s="179">
        <v>747465609.96000004</v>
      </c>
      <c r="J319" s="179">
        <v>0</v>
      </c>
      <c r="K319" s="179">
        <v>300100967.25</v>
      </c>
      <c r="L319" s="179">
        <v>0</v>
      </c>
      <c r="M319" s="179">
        <v>3281107948.79</v>
      </c>
      <c r="N319" s="179">
        <v>34602054.289999999</v>
      </c>
    </row>
    <row r="320" spans="1:14" s="156" customFormat="1" x14ac:dyDescent="0.25">
      <c r="A320" s="156" t="s">
        <v>546</v>
      </c>
      <c r="B320" s="156" t="s">
        <v>133</v>
      </c>
      <c r="C320" s="156" t="s">
        <v>134</v>
      </c>
      <c r="D320" s="156" t="s">
        <v>541</v>
      </c>
      <c r="E320" s="179">
        <v>2503011786</v>
      </c>
      <c r="F320" s="179">
        <v>2503011786</v>
      </c>
      <c r="G320" s="179">
        <v>625752946.5</v>
      </c>
      <c r="H320" s="179">
        <v>0</v>
      </c>
      <c r="I320" s="179">
        <v>413040019.5</v>
      </c>
      <c r="J320" s="179">
        <v>0</v>
      </c>
      <c r="K320" s="179">
        <v>212712927</v>
      </c>
      <c r="L320" s="179">
        <v>0</v>
      </c>
      <c r="M320" s="179">
        <v>1877258839.5</v>
      </c>
      <c r="N320" s="179">
        <v>0</v>
      </c>
    </row>
    <row r="321" spans="1:14" s="156" customFormat="1" x14ac:dyDescent="0.25">
      <c r="A321" s="156" t="s">
        <v>546</v>
      </c>
      <c r="B321" s="156" t="s">
        <v>135</v>
      </c>
      <c r="C321" s="156" t="s">
        <v>136</v>
      </c>
      <c r="D321" s="156" t="s">
        <v>541</v>
      </c>
      <c r="E321" s="179">
        <v>973642474</v>
      </c>
      <c r="F321" s="179">
        <v>973642474</v>
      </c>
      <c r="G321" s="179">
        <v>243410618.5</v>
      </c>
      <c r="H321" s="179">
        <v>0</v>
      </c>
      <c r="I321" s="179">
        <v>160150208.5</v>
      </c>
      <c r="J321" s="179">
        <v>0</v>
      </c>
      <c r="K321" s="179">
        <v>43260410</v>
      </c>
      <c r="L321" s="179">
        <v>0</v>
      </c>
      <c r="M321" s="179">
        <v>770231855.5</v>
      </c>
      <c r="N321" s="179">
        <v>40000000</v>
      </c>
    </row>
    <row r="322" spans="1:14" s="156" customFormat="1" x14ac:dyDescent="0.25">
      <c r="A322" s="156" t="s">
        <v>546</v>
      </c>
      <c r="B322" s="156" t="s">
        <v>137</v>
      </c>
      <c r="C322" s="156" t="s">
        <v>138</v>
      </c>
      <c r="D322" s="156" t="s">
        <v>541</v>
      </c>
      <c r="E322" s="179">
        <v>3942858</v>
      </c>
      <c r="F322" s="179">
        <v>3942858</v>
      </c>
      <c r="G322" s="179">
        <v>985714.5</v>
      </c>
      <c r="H322" s="179">
        <v>0</v>
      </c>
      <c r="I322" s="179">
        <v>438895</v>
      </c>
      <c r="J322" s="179">
        <v>0</v>
      </c>
      <c r="K322" s="179">
        <v>168380</v>
      </c>
      <c r="L322" s="179">
        <v>0</v>
      </c>
      <c r="M322" s="179">
        <v>3335583</v>
      </c>
      <c r="N322" s="179">
        <v>378439.5</v>
      </c>
    </row>
    <row r="323" spans="1:14" s="156" customFormat="1" x14ac:dyDescent="0.25">
      <c r="A323" s="156" t="s">
        <v>546</v>
      </c>
      <c r="B323" s="156" t="s">
        <v>139</v>
      </c>
      <c r="C323" s="156" t="s">
        <v>140</v>
      </c>
      <c r="D323" s="156" t="s">
        <v>541</v>
      </c>
      <c r="E323" s="179">
        <v>753229000</v>
      </c>
      <c r="F323" s="179">
        <v>753229000</v>
      </c>
      <c r="G323" s="179">
        <v>188307250</v>
      </c>
      <c r="H323" s="179">
        <v>0</v>
      </c>
      <c r="I323" s="179">
        <v>96477059.950000003</v>
      </c>
      <c r="J323" s="179">
        <v>0</v>
      </c>
      <c r="K323" s="179">
        <v>43959250.25</v>
      </c>
      <c r="L323" s="179">
        <v>0</v>
      </c>
      <c r="M323" s="179">
        <v>612792689.79999995</v>
      </c>
      <c r="N323" s="179">
        <v>47870939.799999997</v>
      </c>
    </row>
    <row r="324" spans="1:14" s="156" customFormat="1" x14ac:dyDescent="0.25">
      <c r="A324" s="156" t="s">
        <v>546</v>
      </c>
      <c r="B324" s="156" t="s">
        <v>141</v>
      </c>
      <c r="C324" s="156" t="s">
        <v>142</v>
      </c>
      <c r="D324" s="156" t="s">
        <v>541</v>
      </c>
      <c r="E324" s="179">
        <v>94848408</v>
      </c>
      <c r="F324" s="179">
        <v>94848408</v>
      </c>
      <c r="G324" s="179">
        <v>23712102</v>
      </c>
      <c r="H324" s="179">
        <v>0</v>
      </c>
      <c r="I324" s="179">
        <v>77359427.010000005</v>
      </c>
      <c r="J324" s="179">
        <v>0</v>
      </c>
      <c r="K324" s="179">
        <v>0</v>
      </c>
      <c r="L324" s="179">
        <v>0</v>
      </c>
      <c r="M324" s="179">
        <v>17488980.989999998</v>
      </c>
      <c r="N324" s="179">
        <v>-53647325.009999998</v>
      </c>
    </row>
    <row r="325" spans="1:14" s="156" customFormat="1" x14ac:dyDescent="0.25">
      <c r="A325" s="156" t="s">
        <v>546</v>
      </c>
      <c r="B325" s="156" t="s">
        <v>143</v>
      </c>
      <c r="C325" s="156" t="s">
        <v>144</v>
      </c>
      <c r="D325" s="156" t="s">
        <v>541</v>
      </c>
      <c r="E325" s="179">
        <v>4451091</v>
      </c>
      <c r="F325" s="179">
        <v>4451091</v>
      </c>
      <c r="G325" s="179">
        <v>2486090.75</v>
      </c>
      <c r="H325" s="179">
        <v>0</v>
      </c>
      <c r="I325" s="179">
        <v>2525180</v>
      </c>
      <c r="J325" s="179">
        <v>0</v>
      </c>
      <c r="K325" s="179">
        <v>0</v>
      </c>
      <c r="L325" s="179">
        <v>0</v>
      </c>
      <c r="M325" s="179">
        <v>1925911</v>
      </c>
      <c r="N325" s="179">
        <v>-39089.25</v>
      </c>
    </row>
    <row r="326" spans="1:14" s="156" customFormat="1" x14ac:dyDescent="0.25">
      <c r="A326" s="156" t="s">
        <v>546</v>
      </c>
      <c r="B326" s="156" t="s">
        <v>145</v>
      </c>
      <c r="C326" s="156" t="s">
        <v>146</v>
      </c>
      <c r="D326" s="156" t="s">
        <v>541</v>
      </c>
      <c r="E326" s="179">
        <v>1831091</v>
      </c>
      <c r="F326" s="179">
        <v>1831091</v>
      </c>
      <c r="G326" s="179">
        <v>1831090.75</v>
      </c>
      <c r="H326" s="179">
        <v>0</v>
      </c>
      <c r="I326" s="179">
        <v>1482540</v>
      </c>
      <c r="J326" s="179">
        <v>0</v>
      </c>
      <c r="K326" s="179">
        <v>0</v>
      </c>
      <c r="L326" s="179">
        <v>0</v>
      </c>
      <c r="M326" s="179">
        <v>348551</v>
      </c>
      <c r="N326" s="179">
        <v>348550.75</v>
      </c>
    </row>
    <row r="327" spans="1:14" s="156" customFormat="1" x14ac:dyDescent="0.25">
      <c r="A327" s="156" t="s">
        <v>546</v>
      </c>
      <c r="B327" s="156" t="s">
        <v>147</v>
      </c>
      <c r="C327" s="156" t="s">
        <v>148</v>
      </c>
      <c r="D327" s="156" t="s">
        <v>541</v>
      </c>
      <c r="E327" s="179">
        <v>2620000</v>
      </c>
      <c r="F327" s="179">
        <v>2620000</v>
      </c>
      <c r="G327" s="179">
        <v>655000</v>
      </c>
      <c r="H327" s="179">
        <v>0</v>
      </c>
      <c r="I327" s="179">
        <v>1042640</v>
      </c>
      <c r="J327" s="179">
        <v>0</v>
      </c>
      <c r="K327" s="179">
        <v>0</v>
      </c>
      <c r="L327" s="179">
        <v>0</v>
      </c>
      <c r="M327" s="179">
        <v>1577360</v>
      </c>
      <c r="N327" s="183">
        <v>-387640</v>
      </c>
    </row>
    <row r="328" spans="1:14" s="156" customFormat="1" x14ac:dyDescent="0.25">
      <c r="A328" s="156" t="s">
        <v>546</v>
      </c>
      <c r="B328" s="156" t="s">
        <v>151</v>
      </c>
      <c r="C328" s="156" t="s">
        <v>152</v>
      </c>
      <c r="D328" s="156" t="s">
        <v>541</v>
      </c>
      <c r="E328" s="179">
        <v>310063679</v>
      </c>
      <c r="F328" s="179">
        <v>310063679</v>
      </c>
      <c r="G328" s="179">
        <v>81252293.75</v>
      </c>
      <c r="H328" s="179">
        <v>0</v>
      </c>
      <c r="I328" s="179">
        <v>42320032.82</v>
      </c>
      <c r="J328" s="179">
        <v>0</v>
      </c>
      <c r="K328" s="179">
        <v>5758847.96</v>
      </c>
      <c r="L328" s="179">
        <v>0</v>
      </c>
      <c r="M328" s="179">
        <v>261984798.22</v>
      </c>
      <c r="N328" s="179">
        <v>33173412.969999999</v>
      </c>
    </row>
    <row r="329" spans="1:14" s="156" customFormat="1" x14ac:dyDescent="0.25">
      <c r="A329" s="156" t="s">
        <v>546</v>
      </c>
      <c r="B329" s="156" t="s">
        <v>359</v>
      </c>
      <c r="C329" s="156" t="s">
        <v>605</v>
      </c>
      <c r="D329" s="156" t="s">
        <v>541</v>
      </c>
      <c r="E329" s="179">
        <v>21381819</v>
      </c>
      <c r="F329" s="179">
        <v>21381819</v>
      </c>
      <c r="G329" s="179">
        <v>5345454.75</v>
      </c>
      <c r="H329" s="179">
        <v>0</v>
      </c>
      <c r="I329" s="179">
        <v>190000</v>
      </c>
      <c r="J329" s="179">
        <v>0</v>
      </c>
      <c r="K329" s="179">
        <v>0</v>
      </c>
      <c r="L329" s="179">
        <v>0</v>
      </c>
      <c r="M329" s="179">
        <v>21191819</v>
      </c>
      <c r="N329" s="179">
        <v>5155454.75</v>
      </c>
    </row>
    <row r="330" spans="1:14" s="156" customFormat="1" x14ac:dyDescent="0.25">
      <c r="A330" s="156" t="s">
        <v>546</v>
      </c>
      <c r="B330" s="156" t="s">
        <v>330</v>
      </c>
      <c r="C330" s="156" t="s">
        <v>604</v>
      </c>
      <c r="D330" s="156" t="s">
        <v>541</v>
      </c>
      <c r="E330" s="179">
        <v>106119000</v>
      </c>
      <c r="F330" s="179">
        <v>106119000</v>
      </c>
      <c r="G330" s="179">
        <v>26529750</v>
      </c>
      <c r="H330" s="179">
        <v>0</v>
      </c>
      <c r="I330" s="179">
        <v>24917663.219999999</v>
      </c>
      <c r="J330" s="179">
        <v>0</v>
      </c>
      <c r="K330" s="179">
        <v>0</v>
      </c>
      <c r="L330" s="179">
        <v>0</v>
      </c>
      <c r="M330" s="179">
        <v>81201336.780000001</v>
      </c>
      <c r="N330" s="179">
        <v>1612086.78</v>
      </c>
    </row>
    <row r="331" spans="1:14" s="156" customFormat="1" x14ac:dyDescent="0.25">
      <c r="A331" s="156" t="s">
        <v>546</v>
      </c>
      <c r="B331" s="156" t="s">
        <v>154</v>
      </c>
      <c r="C331" s="156" t="s">
        <v>155</v>
      </c>
      <c r="D331" s="156" t="s">
        <v>541</v>
      </c>
      <c r="E331" s="179">
        <v>126000000</v>
      </c>
      <c r="F331" s="179">
        <v>126000000</v>
      </c>
      <c r="G331" s="179">
        <v>31500000</v>
      </c>
      <c r="H331" s="179">
        <v>0</v>
      </c>
      <c r="I331" s="179">
        <v>6996179.8499999996</v>
      </c>
      <c r="J331" s="179">
        <v>0</v>
      </c>
      <c r="K331" s="179">
        <v>5758847.96</v>
      </c>
      <c r="L331" s="179">
        <v>0</v>
      </c>
      <c r="M331" s="179">
        <v>113244972.19</v>
      </c>
      <c r="N331" s="179">
        <v>18744972.190000001</v>
      </c>
    </row>
    <row r="332" spans="1:14" s="156" customFormat="1" x14ac:dyDescent="0.25">
      <c r="A332" s="156" t="s">
        <v>546</v>
      </c>
      <c r="B332" s="156" t="s">
        <v>156</v>
      </c>
      <c r="C332" s="156" t="s">
        <v>157</v>
      </c>
      <c r="D332" s="156" t="s">
        <v>541</v>
      </c>
      <c r="E332" s="179">
        <v>56562860</v>
      </c>
      <c r="F332" s="179">
        <v>56562860</v>
      </c>
      <c r="G332" s="179">
        <v>17877089</v>
      </c>
      <c r="H332" s="179">
        <v>0</v>
      </c>
      <c r="I332" s="179">
        <v>10216189.75</v>
      </c>
      <c r="J332" s="179">
        <v>0</v>
      </c>
      <c r="K332" s="179">
        <v>0</v>
      </c>
      <c r="L332" s="179">
        <v>0</v>
      </c>
      <c r="M332" s="179">
        <v>46346670.25</v>
      </c>
      <c r="N332" s="179">
        <v>7660899.25</v>
      </c>
    </row>
    <row r="333" spans="1:14" s="156" customFormat="1" x14ac:dyDescent="0.25">
      <c r="A333" s="156" t="s">
        <v>546</v>
      </c>
      <c r="B333" s="156" t="s">
        <v>158</v>
      </c>
      <c r="C333" s="156" t="s">
        <v>159</v>
      </c>
      <c r="D333" s="156" t="s">
        <v>541</v>
      </c>
      <c r="E333" s="179">
        <v>128523280</v>
      </c>
      <c r="F333" s="179">
        <v>128523280</v>
      </c>
      <c r="G333" s="179">
        <v>65563280</v>
      </c>
      <c r="H333" s="179">
        <v>0</v>
      </c>
      <c r="I333" s="179">
        <v>63299840</v>
      </c>
      <c r="J333" s="179">
        <v>0</v>
      </c>
      <c r="K333" s="179">
        <v>1128400</v>
      </c>
      <c r="L333" s="179">
        <v>719400</v>
      </c>
      <c r="M333" s="179">
        <v>64095040</v>
      </c>
      <c r="N333" s="179">
        <v>1135040</v>
      </c>
    </row>
    <row r="334" spans="1:14" s="156" customFormat="1" x14ac:dyDescent="0.25">
      <c r="A334" s="156" t="s">
        <v>546</v>
      </c>
      <c r="B334" s="156" t="s">
        <v>160</v>
      </c>
      <c r="C334" s="156" t="s">
        <v>161</v>
      </c>
      <c r="D334" s="156" t="s">
        <v>541</v>
      </c>
      <c r="E334" s="179">
        <v>4829000</v>
      </c>
      <c r="F334" s="179">
        <v>4829000</v>
      </c>
      <c r="G334" s="179">
        <v>3014210</v>
      </c>
      <c r="H334" s="179">
        <v>0</v>
      </c>
      <c r="I334" s="179">
        <v>3002410</v>
      </c>
      <c r="J334" s="179">
        <v>0</v>
      </c>
      <c r="K334" s="179">
        <v>11800</v>
      </c>
      <c r="L334" s="179">
        <v>0</v>
      </c>
      <c r="M334" s="179">
        <v>1814790</v>
      </c>
      <c r="N334" s="179">
        <v>0</v>
      </c>
    </row>
    <row r="335" spans="1:14" s="156" customFormat="1" x14ac:dyDescent="0.25">
      <c r="A335" s="156" t="s">
        <v>546</v>
      </c>
      <c r="B335" s="156" t="s">
        <v>162</v>
      </c>
      <c r="C335" s="156" t="s">
        <v>163</v>
      </c>
      <c r="D335" s="156" t="s">
        <v>541</v>
      </c>
      <c r="E335" s="179">
        <v>119154137</v>
      </c>
      <c r="F335" s="179">
        <v>119154137</v>
      </c>
      <c r="G335" s="179">
        <v>61414034.25</v>
      </c>
      <c r="H335" s="179">
        <v>0</v>
      </c>
      <c r="I335" s="179">
        <v>60297430</v>
      </c>
      <c r="J335" s="179">
        <v>0</v>
      </c>
      <c r="K335" s="179">
        <v>1116600</v>
      </c>
      <c r="L335" s="179">
        <v>719400</v>
      </c>
      <c r="M335" s="179">
        <v>57740107</v>
      </c>
      <c r="N335" s="179">
        <v>4.25</v>
      </c>
    </row>
    <row r="336" spans="1:14" s="156" customFormat="1" x14ac:dyDescent="0.25">
      <c r="A336" s="156" t="s">
        <v>546</v>
      </c>
      <c r="B336" s="156" t="s">
        <v>164</v>
      </c>
      <c r="C336" s="156" t="s">
        <v>165</v>
      </c>
      <c r="D336" s="156" t="s">
        <v>541</v>
      </c>
      <c r="E336" s="179">
        <v>2851000</v>
      </c>
      <c r="F336" s="179">
        <v>2851000</v>
      </c>
      <c r="G336" s="179">
        <v>712750</v>
      </c>
      <c r="H336" s="179">
        <v>0</v>
      </c>
      <c r="I336" s="179">
        <v>0</v>
      </c>
      <c r="J336" s="179">
        <v>0</v>
      </c>
      <c r="K336" s="179">
        <v>0</v>
      </c>
      <c r="L336" s="179">
        <v>0</v>
      </c>
      <c r="M336" s="179">
        <v>2851000</v>
      </c>
      <c r="N336" s="179">
        <v>712750</v>
      </c>
    </row>
    <row r="337" spans="1:14" s="156" customFormat="1" x14ac:dyDescent="0.25">
      <c r="A337" s="156" t="s">
        <v>546</v>
      </c>
      <c r="B337" s="156" t="s">
        <v>166</v>
      </c>
      <c r="C337" s="156" t="s">
        <v>167</v>
      </c>
      <c r="D337" s="156" t="s">
        <v>541</v>
      </c>
      <c r="E337" s="179">
        <v>1689143</v>
      </c>
      <c r="F337" s="179">
        <v>1689143</v>
      </c>
      <c r="G337" s="179">
        <v>422285.75</v>
      </c>
      <c r="H337" s="179">
        <v>0</v>
      </c>
      <c r="I337" s="179">
        <v>0</v>
      </c>
      <c r="J337" s="179">
        <v>0</v>
      </c>
      <c r="K337" s="179">
        <v>0</v>
      </c>
      <c r="L337" s="179">
        <v>0</v>
      </c>
      <c r="M337" s="179">
        <v>1689143</v>
      </c>
      <c r="N337" s="179">
        <v>422285.75</v>
      </c>
    </row>
    <row r="338" spans="1:14" s="156" customFormat="1" x14ac:dyDescent="0.25">
      <c r="A338" s="156" t="s">
        <v>546</v>
      </c>
      <c r="B338" s="156" t="s">
        <v>168</v>
      </c>
      <c r="C338" s="156" t="s">
        <v>169</v>
      </c>
      <c r="D338" s="156" t="s">
        <v>541</v>
      </c>
      <c r="E338" s="179">
        <v>1290997262</v>
      </c>
      <c r="F338" s="179">
        <v>1290997262</v>
      </c>
      <c r="G338" s="179">
        <v>152220425.78999999</v>
      </c>
      <c r="H338" s="179">
        <v>0</v>
      </c>
      <c r="I338" s="179">
        <v>148734876</v>
      </c>
      <c r="J338" s="179">
        <v>0</v>
      </c>
      <c r="K338" s="179">
        <v>0</v>
      </c>
      <c r="L338" s="179">
        <v>0</v>
      </c>
      <c r="M338" s="179">
        <v>1142262386</v>
      </c>
      <c r="N338" s="179">
        <v>3485549.79</v>
      </c>
    </row>
    <row r="339" spans="1:14" s="156" customFormat="1" x14ac:dyDescent="0.25">
      <c r="A339" s="156" t="s">
        <v>546</v>
      </c>
      <c r="B339" s="156" t="s">
        <v>170</v>
      </c>
      <c r="C339" s="156" t="s">
        <v>171</v>
      </c>
      <c r="D339" s="156" t="s">
        <v>541</v>
      </c>
      <c r="E339" s="179">
        <v>1290997262</v>
      </c>
      <c r="F339" s="179">
        <v>1290997262</v>
      </c>
      <c r="G339" s="179">
        <v>152220425.78999999</v>
      </c>
      <c r="H339" s="179">
        <v>0</v>
      </c>
      <c r="I339" s="179">
        <v>148734876</v>
      </c>
      <c r="J339" s="179">
        <v>0</v>
      </c>
      <c r="K339" s="179">
        <v>0</v>
      </c>
      <c r="L339" s="179">
        <v>0</v>
      </c>
      <c r="M339" s="179">
        <v>1142262386</v>
      </c>
      <c r="N339" s="179">
        <v>3485549.79</v>
      </c>
    </row>
    <row r="340" spans="1:14" s="156" customFormat="1" x14ac:dyDescent="0.25">
      <c r="A340" s="156" t="s">
        <v>546</v>
      </c>
      <c r="B340" s="156" t="s">
        <v>172</v>
      </c>
      <c r="C340" s="156" t="s">
        <v>173</v>
      </c>
      <c r="D340" s="156" t="s">
        <v>541</v>
      </c>
      <c r="E340" s="179">
        <v>1413715</v>
      </c>
      <c r="F340" s="179">
        <v>1413715</v>
      </c>
      <c r="G340" s="179">
        <v>353428.75</v>
      </c>
      <c r="H340" s="179">
        <v>0</v>
      </c>
      <c r="I340" s="179">
        <v>0</v>
      </c>
      <c r="J340" s="179">
        <v>0</v>
      </c>
      <c r="K340" s="179">
        <v>0</v>
      </c>
      <c r="L340" s="179">
        <v>0</v>
      </c>
      <c r="M340" s="179">
        <v>1413715</v>
      </c>
      <c r="N340" s="179">
        <v>353428.75</v>
      </c>
    </row>
    <row r="341" spans="1:14" s="156" customFormat="1" x14ac:dyDescent="0.25">
      <c r="A341" s="156" t="s">
        <v>546</v>
      </c>
      <c r="B341" s="156" t="s">
        <v>309</v>
      </c>
      <c r="C341" s="156" t="s">
        <v>310</v>
      </c>
      <c r="D341" s="156" t="s">
        <v>541</v>
      </c>
      <c r="E341" s="179">
        <v>1413715</v>
      </c>
      <c r="F341" s="179">
        <v>1413715</v>
      </c>
      <c r="G341" s="179">
        <v>353428.75</v>
      </c>
      <c r="H341" s="179">
        <v>0</v>
      </c>
      <c r="I341" s="179">
        <v>0</v>
      </c>
      <c r="J341" s="179">
        <v>0</v>
      </c>
      <c r="K341" s="179">
        <v>0</v>
      </c>
      <c r="L341" s="179">
        <v>0</v>
      </c>
      <c r="M341" s="179">
        <v>1413715</v>
      </c>
      <c r="N341" s="179">
        <v>353428.75</v>
      </c>
    </row>
    <row r="342" spans="1:14" s="156" customFormat="1" x14ac:dyDescent="0.25">
      <c r="A342" s="156" t="s">
        <v>546</v>
      </c>
      <c r="B342" s="156" t="s">
        <v>178</v>
      </c>
      <c r="C342" s="156" t="s">
        <v>179</v>
      </c>
      <c r="D342" s="156" t="s">
        <v>541</v>
      </c>
      <c r="E342" s="179">
        <v>594069615</v>
      </c>
      <c r="F342" s="179">
        <v>594069615</v>
      </c>
      <c r="G342" s="179">
        <v>259933009.75</v>
      </c>
      <c r="H342" s="179">
        <v>0</v>
      </c>
      <c r="I342" s="179">
        <v>227870691.46000001</v>
      </c>
      <c r="J342" s="179">
        <v>3109432.44</v>
      </c>
      <c r="K342" s="179">
        <v>46595</v>
      </c>
      <c r="L342" s="179">
        <v>0</v>
      </c>
      <c r="M342" s="179">
        <v>363042896.10000002</v>
      </c>
      <c r="N342" s="179">
        <v>28906290.850000001</v>
      </c>
    </row>
    <row r="343" spans="1:14" s="156" customFormat="1" x14ac:dyDescent="0.25">
      <c r="A343" s="156" t="s">
        <v>546</v>
      </c>
      <c r="B343" s="156" t="s">
        <v>180</v>
      </c>
      <c r="C343" s="156" t="s">
        <v>181</v>
      </c>
      <c r="D343" s="156" t="s">
        <v>541</v>
      </c>
      <c r="E343" s="179">
        <v>125656000</v>
      </c>
      <c r="F343" s="179">
        <v>125656000</v>
      </c>
      <c r="G343" s="179">
        <v>31414000</v>
      </c>
      <c r="H343" s="179">
        <v>0</v>
      </c>
      <c r="I343" s="179">
        <v>23008.85</v>
      </c>
      <c r="J343" s="179">
        <v>0</v>
      </c>
      <c r="K343" s="179">
        <v>0</v>
      </c>
      <c r="L343" s="179">
        <v>0</v>
      </c>
      <c r="M343" s="179">
        <v>125632991.15000001</v>
      </c>
      <c r="N343" s="179">
        <v>31390991.149999999</v>
      </c>
    </row>
    <row r="344" spans="1:14" s="156" customFormat="1" x14ac:dyDescent="0.25">
      <c r="A344" s="156" t="s">
        <v>546</v>
      </c>
      <c r="B344" s="156" t="s">
        <v>332</v>
      </c>
      <c r="C344" s="156" t="s">
        <v>333</v>
      </c>
      <c r="D344" s="156" t="s">
        <v>541</v>
      </c>
      <c r="E344" s="179">
        <v>188229817</v>
      </c>
      <c r="F344" s="179">
        <v>188229817</v>
      </c>
      <c r="G344" s="179">
        <v>47057454.25</v>
      </c>
      <c r="H344" s="179">
        <v>0</v>
      </c>
      <c r="I344" s="179">
        <v>135135532.81</v>
      </c>
      <c r="J344" s="179">
        <v>0</v>
      </c>
      <c r="K344" s="179">
        <v>0</v>
      </c>
      <c r="L344" s="179">
        <v>0</v>
      </c>
      <c r="M344" s="179">
        <v>53094284.189999998</v>
      </c>
      <c r="N344" s="179">
        <v>-88078078.560000002</v>
      </c>
    </row>
    <row r="345" spans="1:14" s="156" customFormat="1" x14ac:dyDescent="0.25">
      <c r="A345" s="156" t="s">
        <v>546</v>
      </c>
      <c r="B345" s="156" t="s">
        <v>182</v>
      </c>
      <c r="C345" s="156" t="s">
        <v>183</v>
      </c>
      <c r="D345" s="156" t="s">
        <v>541</v>
      </c>
      <c r="E345" s="179">
        <v>95028648</v>
      </c>
      <c r="F345" s="179">
        <v>95028648</v>
      </c>
      <c r="G345" s="179">
        <v>95028648</v>
      </c>
      <c r="H345" s="179">
        <v>0</v>
      </c>
      <c r="I345" s="179">
        <v>39734796.530000001</v>
      </c>
      <c r="J345" s="179">
        <v>3109432.44</v>
      </c>
      <c r="K345" s="179">
        <v>46595</v>
      </c>
      <c r="L345" s="179">
        <v>0</v>
      </c>
      <c r="M345" s="179">
        <v>52137824.030000001</v>
      </c>
      <c r="N345" s="179">
        <v>52137824.030000001</v>
      </c>
    </row>
    <row r="346" spans="1:14" s="156" customFormat="1" x14ac:dyDescent="0.25">
      <c r="A346" s="156" t="s">
        <v>546</v>
      </c>
      <c r="B346" s="156" t="s">
        <v>184</v>
      </c>
      <c r="C346" s="156" t="s">
        <v>185</v>
      </c>
      <c r="D346" s="156" t="s">
        <v>541</v>
      </c>
      <c r="E346" s="179">
        <v>6300000</v>
      </c>
      <c r="F346" s="179">
        <v>6300000</v>
      </c>
      <c r="G346" s="179">
        <v>1575000</v>
      </c>
      <c r="H346" s="179">
        <v>0</v>
      </c>
      <c r="I346" s="179">
        <v>0</v>
      </c>
      <c r="J346" s="179">
        <v>0</v>
      </c>
      <c r="K346" s="179">
        <v>0</v>
      </c>
      <c r="L346" s="179">
        <v>0</v>
      </c>
      <c r="M346" s="179">
        <v>6300000</v>
      </c>
      <c r="N346" s="179">
        <v>1575000</v>
      </c>
    </row>
    <row r="347" spans="1:14" s="156" customFormat="1" x14ac:dyDescent="0.25">
      <c r="A347" s="156" t="s">
        <v>546</v>
      </c>
      <c r="B347" s="156" t="s">
        <v>186</v>
      </c>
      <c r="C347" s="156" t="s">
        <v>187</v>
      </c>
      <c r="D347" s="156" t="s">
        <v>541</v>
      </c>
      <c r="E347" s="179">
        <v>11141667</v>
      </c>
      <c r="F347" s="179">
        <v>11141667</v>
      </c>
      <c r="G347" s="179">
        <v>11141666.75</v>
      </c>
      <c r="H347" s="179">
        <v>0</v>
      </c>
      <c r="I347" s="179">
        <v>9423000</v>
      </c>
      <c r="J347" s="179">
        <v>0</v>
      </c>
      <c r="K347" s="179">
        <v>0</v>
      </c>
      <c r="L347" s="179">
        <v>0</v>
      </c>
      <c r="M347" s="179">
        <v>1718667</v>
      </c>
      <c r="N347" s="179">
        <v>1718666.75</v>
      </c>
    </row>
    <row r="348" spans="1:14" s="156" customFormat="1" x14ac:dyDescent="0.25">
      <c r="A348" s="156" t="s">
        <v>546</v>
      </c>
      <c r="B348" s="156" t="s">
        <v>188</v>
      </c>
      <c r="C348" s="156" t="s">
        <v>189</v>
      </c>
      <c r="D348" s="156" t="s">
        <v>541</v>
      </c>
      <c r="E348" s="179">
        <v>40562000</v>
      </c>
      <c r="F348" s="179">
        <v>40562000</v>
      </c>
      <c r="G348" s="179">
        <v>10140500</v>
      </c>
      <c r="H348" s="179">
        <v>0</v>
      </c>
      <c r="I348" s="179">
        <v>11286474.789999999</v>
      </c>
      <c r="J348" s="179">
        <v>0</v>
      </c>
      <c r="K348" s="179">
        <v>0</v>
      </c>
      <c r="L348" s="179">
        <v>0</v>
      </c>
      <c r="M348" s="179">
        <v>29275525.210000001</v>
      </c>
      <c r="N348" s="179">
        <v>-1145974.79</v>
      </c>
    </row>
    <row r="349" spans="1:14" s="156" customFormat="1" x14ac:dyDescent="0.25">
      <c r="A349" s="156" t="s">
        <v>546</v>
      </c>
      <c r="B349" s="156" t="s">
        <v>190</v>
      </c>
      <c r="C349" s="156" t="s">
        <v>191</v>
      </c>
      <c r="D349" s="156" t="s">
        <v>541</v>
      </c>
      <c r="E349" s="179">
        <v>127151483</v>
      </c>
      <c r="F349" s="179">
        <v>127151483</v>
      </c>
      <c r="G349" s="179">
        <v>63575740.75</v>
      </c>
      <c r="H349" s="179">
        <v>0</v>
      </c>
      <c r="I349" s="179">
        <v>32267878.48</v>
      </c>
      <c r="J349" s="179">
        <v>0</v>
      </c>
      <c r="K349" s="179">
        <v>0</v>
      </c>
      <c r="L349" s="179">
        <v>0</v>
      </c>
      <c r="M349" s="179">
        <v>94883604.519999996</v>
      </c>
      <c r="N349" s="179">
        <v>31307862.27</v>
      </c>
    </row>
    <row r="350" spans="1:14" s="156" customFormat="1" x14ac:dyDescent="0.25">
      <c r="A350" s="156" t="s">
        <v>546</v>
      </c>
      <c r="B350" s="156" t="s">
        <v>192</v>
      </c>
      <c r="C350" s="156" t="s">
        <v>193</v>
      </c>
      <c r="D350" s="156" t="s">
        <v>541</v>
      </c>
      <c r="E350" s="179">
        <v>11126154</v>
      </c>
      <c r="F350" s="179">
        <v>11126154</v>
      </c>
      <c r="G350" s="179">
        <v>2781538.5</v>
      </c>
      <c r="H350" s="179">
        <v>0</v>
      </c>
      <c r="I350" s="179">
        <v>1811101</v>
      </c>
      <c r="J350" s="179">
        <v>0</v>
      </c>
      <c r="K350" s="179">
        <v>0</v>
      </c>
      <c r="L350" s="179">
        <v>0</v>
      </c>
      <c r="M350" s="179">
        <v>9315053</v>
      </c>
      <c r="N350" s="179">
        <v>970437.5</v>
      </c>
    </row>
    <row r="351" spans="1:14" s="156" customFormat="1" x14ac:dyDescent="0.25">
      <c r="A351" s="156" t="s">
        <v>546</v>
      </c>
      <c r="B351" s="156" t="s">
        <v>194</v>
      </c>
      <c r="C351" s="156" t="s">
        <v>195</v>
      </c>
      <c r="D351" s="156" t="s">
        <v>541</v>
      </c>
      <c r="E351" s="179">
        <v>11126154</v>
      </c>
      <c r="F351" s="179">
        <v>11126154</v>
      </c>
      <c r="G351" s="179">
        <v>2781538.5</v>
      </c>
      <c r="H351" s="179">
        <v>0</v>
      </c>
      <c r="I351" s="179">
        <v>1811101</v>
      </c>
      <c r="J351" s="179">
        <v>0</v>
      </c>
      <c r="K351" s="179">
        <v>0</v>
      </c>
      <c r="L351" s="179">
        <v>0</v>
      </c>
      <c r="M351" s="179">
        <v>9315053</v>
      </c>
      <c r="N351" s="179">
        <v>970437.5</v>
      </c>
    </row>
    <row r="352" spans="1:14" s="156" customFormat="1" x14ac:dyDescent="0.25">
      <c r="A352" s="156" t="s">
        <v>546</v>
      </c>
      <c r="B352" s="156" t="s">
        <v>196</v>
      </c>
      <c r="C352" s="156" t="s">
        <v>197</v>
      </c>
      <c r="D352" s="156" t="s">
        <v>541</v>
      </c>
      <c r="E352" s="179">
        <v>18666301</v>
      </c>
      <c r="F352" s="179">
        <v>18666301</v>
      </c>
      <c r="G352" s="179">
        <v>6916575.25</v>
      </c>
      <c r="H352" s="179">
        <v>0</v>
      </c>
      <c r="I352" s="179">
        <v>62670364.710000001</v>
      </c>
      <c r="J352" s="179">
        <v>0</v>
      </c>
      <c r="K352" s="179">
        <v>0</v>
      </c>
      <c r="L352" s="179">
        <v>0</v>
      </c>
      <c r="M352" s="179">
        <v>-44004063.710000001</v>
      </c>
      <c r="N352" s="179">
        <v>-55753789.460000001</v>
      </c>
    </row>
    <row r="353" spans="1:14" s="156" customFormat="1" x14ac:dyDescent="0.25">
      <c r="A353" s="156" t="s">
        <v>546</v>
      </c>
      <c r="B353" s="156" t="s">
        <v>360</v>
      </c>
      <c r="C353" s="156" t="s">
        <v>361</v>
      </c>
      <c r="D353" s="156" t="s">
        <v>541</v>
      </c>
      <c r="E353" s="179">
        <v>3000000</v>
      </c>
      <c r="F353" s="179">
        <v>3000000</v>
      </c>
      <c r="G353" s="179">
        <v>3000000</v>
      </c>
      <c r="H353" s="179">
        <v>0</v>
      </c>
      <c r="I353" s="179">
        <v>466174</v>
      </c>
      <c r="J353" s="179">
        <v>0</v>
      </c>
      <c r="K353" s="179">
        <v>0</v>
      </c>
      <c r="L353" s="179">
        <v>0</v>
      </c>
      <c r="M353" s="179">
        <v>2533826</v>
      </c>
      <c r="N353" s="179">
        <v>2533826</v>
      </c>
    </row>
    <row r="354" spans="1:14" s="156" customFormat="1" x14ac:dyDescent="0.25">
      <c r="A354" s="156" t="s">
        <v>546</v>
      </c>
      <c r="B354" s="156" t="s">
        <v>334</v>
      </c>
      <c r="C354" s="156" t="s">
        <v>335</v>
      </c>
      <c r="D354" s="156" t="s">
        <v>541</v>
      </c>
      <c r="E354" s="179">
        <v>1275676</v>
      </c>
      <c r="F354" s="179">
        <v>1275676</v>
      </c>
      <c r="G354" s="179">
        <v>318919</v>
      </c>
      <c r="H354" s="179">
        <v>0</v>
      </c>
      <c r="I354" s="179">
        <v>47166460.710000001</v>
      </c>
      <c r="J354" s="179">
        <v>0</v>
      </c>
      <c r="K354" s="179">
        <v>0</v>
      </c>
      <c r="L354" s="179">
        <v>0</v>
      </c>
      <c r="M354" s="179">
        <v>-45890784.710000001</v>
      </c>
      <c r="N354" s="179">
        <v>-46847541.710000001</v>
      </c>
    </row>
    <row r="355" spans="1:14" s="156" customFormat="1" x14ac:dyDescent="0.25">
      <c r="A355" s="156" t="s">
        <v>546</v>
      </c>
      <c r="B355" s="156" t="s">
        <v>198</v>
      </c>
      <c r="C355" s="156" t="s">
        <v>199</v>
      </c>
      <c r="D355" s="156" t="s">
        <v>541</v>
      </c>
      <c r="E355" s="179">
        <v>14390625</v>
      </c>
      <c r="F355" s="179">
        <v>14390625</v>
      </c>
      <c r="G355" s="179">
        <v>3597656.25</v>
      </c>
      <c r="H355" s="179">
        <v>0</v>
      </c>
      <c r="I355" s="179">
        <v>15037730</v>
      </c>
      <c r="J355" s="179">
        <v>0</v>
      </c>
      <c r="K355" s="179">
        <v>0</v>
      </c>
      <c r="L355" s="179">
        <v>0</v>
      </c>
      <c r="M355" s="183">
        <v>-647105</v>
      </c>
      <c r="N355" s="179">
        <v>-11440073.75</v>
      </c>
    </row>
    <row r="356" spans="1:14" s="156" customFormat="1" x14ac:dyDescent="0.25">
      <c r="A356" s="156" t="s">
        <v>546</v>
      </c>
      <c r="B356" s="156" t="s">
        <v>200</v>
      </c>
      <c r="C356" s="156" t="s">
        <v>201</v>
      </c>
      <c r="D356" s="156" t="s">
        <v>541</v>
      </c>
      <c r="E356" s="179">
        <v>14015826994</v>
      </c>
      <c r="F356" s="179">
        <v>14015826994</v>
      </c>
      <c r="G356" s="179">
        <v>3536021317.5</v>
      </c>
      <c r="H356" s="179">
        <v>0</v>
      </c>
      <c r="I356" s="179">
        <v>1826549544.7</v>
      </c>
      <c r="J356" s="179">
        <v>295414248.87</v>
      </c>
      <c r="K356" s="179">
        <v>61001590.43</v>
      </c>
      <c r="L356" s="179">
        <v>25326224.100000001</v>
      </c>
      <c r="M356" s="179">
        <v>11832861610</v>
      </c>
      <c r="N356" s="179">
        <v>1353055933.5</v>
      </c>
    </row>
    <row r="357" spans="1:14" s="156" customFormat="1" x14ac:dyDescent="0.25">
      <c r="A357" s="156" t="s">
        <v>546</v>
      </c>
      <c r="B357" s="156" t="s">
        <v>202</v>
      </c>
      <c r="C357" s="156" t="s">
        <v>203</v>
      </c>
      <c r="D357" s="156" t="s">
        <v>541</v>
      </c>
      <c r="E357" s="179">
        <v>777682724</v>
      </c>
      <c r="F357" s="179">
        <v>777682724</v>
      </c>
      <c r="G357" s="179">
        <v>194420681</v>
      </c>
      <c r="H357" s="179">
        <v>0</v>
      </c>
      <c r="I357" s="179">
        <v>53337789.270000003</v>
      </c>
      <c r="J357" s="179">
        <v>0</v>
      </c>
      <c r="K357" s="179">
        <v>30442078.829999998</v>
      </c>
      <c r="L357" s="179">
        <v>25326224.100000001</v>
      </c>
      <c r="M357" s="179">
        <v>693902855.89999998</v>
      </c>
      <c r="N357" s="179">
        <v>110640812.90000001</v>
      </c>
    </row>
    <row r="358" spans="1:14" s="156" customFormat="1" x14ac:dyDescent="0.25">
      <c r="A358" s="156" t="s">
        <v>546</v>
      </c>
      <c r="B358" s="156" t="s">
        <v>204</v>
      </c>
      <c r="C358" s="156" t="s">
        <v>205</v>
      </c>
      <c r="D358" s="156" t="s">
        <v>541</v>
      </c>
      <c r="E358" s="179">
        <v>543016724</v>
      </c>
      <c r="F358" s="179">
        <v>543016724</v>
      </c>
      <c r="G358" s="179">
        <v>135754181</v>
      </c>
      <c r="H358" s="179">
        <v>0</v>
      </c>
      <c r="I358" s="179">
        <v>52382518.270000003</v>
      </c>
      <c r="J358" s="179">
        <v>0</v>
      </c>
      <c r="K358" s="179">
        <v>30442078.829999998</v>
      </c>
      <c r="L358" s="179">
        <v>25326224.100000001</v>
      </c>
      <c r="M358" s="179">
        <v>460192126.89999998</v>
      </c>
      <c r="N358" s="179">
        <v>52929583.899999999</v>
      </c>
    </row>
    <row r="359" spans="1:14" s="156" customFormat="1" x14ac:dyDescent="0.25">
      <c r="A359" s="156" t="s">
        <v>546</v>
      </c>
      <c r="B359" s="156" t="s">
        <v>206</v>
      </c>
      <c r="C359" s="156" t="s">
        <v>207</v>
      </c>
      <c r="D359" s="156" t="s">
        <v>541</v>
      </c>
      <c r="E359" s="179">
        <v>195656000</v>
      </c>
      <c r="F359" s="179">
        <v>195656000</v>
      </c>
      <c r="G359" s="179">
        <v>48914000</v>
      </c>
      <c r="H359" s="179">
        <v>0</v>
      </c>
      <c r="I359" s="179">
        <v>820600</v>
      </c>
      <c r="J359" s="179">
        <v>0</v>
      </c>
      <c r="K359" s="179">
        <v>0</v>
      </c>
      <c r="L359" s="179">
        <v>0</v>
      </c>
      <c r="M359" s="179">
        <v>194835400</v>
      </c>
      <c r="N359" s="179">
        <v>48093400</v>
      </c>
    </row>
    <row r="360" spans="1:14" s="156" customFormat="1" x14ac:dyDescent="0.25">
      <c r="A360" s="156" t="s">
        <v>546</v>
      </c>
      <c r="B360" s="156" t="s">
        <v>362</v>
      </c>
      <c r="C360" s="156" t="s">
        <v>363</v>
      </c>
      <c r="D360" s="156" t="s">
        <v>541</v>
      </c>
      <c r="E360" s="179">
        <v>2674000</v>
      </c>
      <c r="F360" s="179">
        <v>2674000</v>
      </c>
      <c r="G360" s="179">
        <v>668500</v>
      </c>
      <c r="H360" s="179">
        <v>0</v>
      </c>
      <c r="I360" s="179">
        <v>120771</v>
      </c>
      <c r="J360" s="179">
        <v>0</v>
      </c>
      <c r="K360" s="179">
        <v>0</v>
      </c>
      <c r="L360" s="179">
        <v>0</v>
      </c>
      <c r="M360" s="179">
        <v>2553229</v>
      </c>
      <c r="N360" s="179">
        <v>547729</v>
      </c>
    </row>
    <row r="361" spans="1:14" s="156" customFormat="1" x14ac:dyDescent="0.25">
      <c r="A361" s="156" t="s">
        <v>546</v>
      </c>
      <c r="B361" s="156" t="s">
        <v>208</v>
      </c>
      <c r="C361" s="156" t="s">
        <v>209</v>
      </c>
      <c r="D361" s="156" t="s">
        <v>541</v>
      </c>
      <c r="E361" s="179">
        <v>30373000</v>
      </c>
      <c r="F361" s="179">
        <v>30373000</v>
      </c>
      <c r="G361" s="179">
        <v>7593250</v>
      </c>
      <c r="H361" s="179">
        <v>0</v>
      </c>
      <c r="I361" s="179">
        <v>13900</v>
      </c>
      <c r="J361" s="179">
        <v>0</v>
      </c>
      <c r="K361" s="179">
        <v>0</v>
      </c>
      <c r="L361" s="179">
        <v>0</v>
      </c>
      <c r="M361" s="179">
        <v>30359100</v>
      </c>
      <c r="N361" s="179">
        <v>7579350</v>
      </c>
    </row>
    <row r="362" spans="1:14" s="156" customFormat="1" x14ac:dyDescent="0.25">
      <c r="A362" s="156" t="s">
        <v>546</v>
      </c>
      <c r="B362" s="156" t="s">
        <v>210</v>
      </c>
      <c r="C362" s="156" t="s">
        <v>211</v>
      </c>
      <c r="D362" s="156" t="s">
        <v>541</v>
      </c>
      <c r="E362" s="179">
        <v>5963000</v>
      </c>
      <c r="F362" s="179">
        <v>5963000</v>
      </c>
      <c r="G362" s="179">
        <v>1490750</v>
      </c>
      <c r="H362" s="179">
        <v>0</v>
      </c>
      <c r="I362" s="179">
        <v>0</v>
      </c>
      <c r="J362" s="179">
        <v>0</v>
      </c>
      <c r="K362" s="179">
        <v>0</v>
      </c>
      <c r="L362" s="179">
        <v>0</v>
      </c>
      <c r="M362" s="179">
        <v>5963000</v>
      </c>
      <c r="N362" s="179">
        <v>1490750</v>
      </c>
    </row>
    <row r="363" spans="1:14" s="156" customFormat="1" x14ac:dyDescent="0.25">
      <c r="A363" s="156" t="s">
        <v>546</v>
      </c>
      <c r="B363" s="156" t="s">
        <v>212</v>
      </c>
      <c r="C363" s="156" t="s">
        <v>213</v>
      </c>
      <c r="D363" s="156" t="s">
        <v>541</v>
      </c>
      <c r="E363" s="179">
        <v>10984366500</v>
      </c>
      <c r="F363" s="179">
        <v>10984366500</v>
      </c>
      <c r="G363" s="179">
        <v>2746091625</v>
      </c>
      <c r="H363" s="179">
        <v>0</v>
      </c>
      <c r="I363" s="179">
        <v>1303443827.45</v>
      </c>
      <c r="J363" s="179">
        <v>271628273.5</v>
      </c>
      <c r="K363" s="179">
        <v>96716.4</v>
      </c>
      <c r="L363" s="179">
        <v>0</v>
      </c>
      <c r="M363" s="179">
        <v>9409197682.6499996</v>
      </c>
      <c r="N363" s="179">
        <v>1170922807.6500001</v>
      </c>
    </row>
    <row r="364" spans="1:14" s="156" customFormat="1" x14ac:dyDescent="0.25">
      <c r="A364" s="156" t="s">
        <v>546</v>
      </c>
      <c r="B364" s="156" t="s">
        <v>214</v>
      </c>
      <c r="C364" s="156" t="s">
        <v>215</v>
      </c>
      <c r="D364" s="156" t="s">
        <v>541</v>
      </c>
      <c r="E364" s="179">
        <v>10972726000</v>
      </c>
      <c r="F364" s="179">
        <v>10972726000</v>
      </c>
      <c r="G364" s="179">
        <v>2743181500</v>
      </c>
      <c r="H364" s="179">
        <v>0</v>
      </c>
      <c r="I364" s="179">
        <v>1303443827.45</v>
      </c>
      <c r="J364" s="179">
        <v>271628273.5</v>
      </c>
      <c r="K364" s="179">
        <v>96716.4</v>
      </c>
      <c r="L364" s="179">
        <v>0</v>
      </c>
      <c r="M364" s="179">
        <v>9397557182.6499996</v>
      </c>
      <c r="N364" s="179">
        <v>1168012682.6500001</v>
      </c>
    </row>
    <row r="365" spans="1:14" s="156" customFormat="1" x14ac:dyDescent="0.25">
      <c r="A365" s="156" t="s">
        <v>546</v>
      </c>
      <c r="B365" s="156" t="s">
        <v>364</v>
      </c>
      <c r="C365" s="156" t="s">
        <v>365</v>
      </c>
      <c r="D365" s="156" t="s">
        <v>541</v>
      </c>
      <c r="E365" s="179">
        <v>11640500</v>
      </c>
      <c r="F365" s="179">
        <v>11640500</v>
      </c>
      <c r="G365" s="179">
        <v>2910125</v>
      </c>
      <c r="H365" s="179">
        <v>0</v>
      </c>
      <c r="I365" s="179">
        <v>0</v>
      </c>
      <c r="J365" s="179">
        <v>0</v>
      </c>
      <c r="K365" s="179">
        <v>0</v>
      </c>
      <c r="L365" s="179">
        <v>0</v>
      </c>
      <c r="M365" s="179">
        <v>11640500</v>
      </c>
      <c r="N365" s="179">
        <v>2910125</v>
      </c>
    </row>
    <row r="366" spans="1:14" s="156" customFormat="1" x14ac:dyDescent="0.25">
      <c r="A366" s="156" t="s">
        <v>546</v>
      </c>
      <c r="B366" s="156" t="s">
        <v>216</v>
      </c>
      <c r="C366" s="156" t="s">
        <v>217</v>
      </c>
      <c r="D366" s="156" t="s">
        <v>541</v>
      </c>
      <c r="E366" s="179">
        <v>446867786</v>
      </c>
      <c r="F366" s="179">
        <v>446867786</v>
      </c>
      <c r="G366" s="179">
        <v>111716946.5</v>
      </c>
      <c r="H366" s="179">
        <v>0</v>
      </c>
      <c r="I366" s="179">
        <v>26428417.18</v>
      </c>
      <c r="J366" s="179">
        <v>22947828</v>
      </c>
      <c r="K366" s="179">
        <v>0</v>
      </c>
      <c r="L366" s="179">
        <v>0</v>
      </c>
      <c r="M366" s="179">
        <v>397491540.81999999</v>
      </c>
      <c r="N366" s="179">
        <v>62340701.32</v>
      </c>
    </row>
    <row r="367" spans="1:14" s="156" customFormat="1" x14ac:dyDescent="0.25">
      <c r="A367" s="156" t="s">
        <v>546</v>
      </c>
      <c r="B367" s="156" t="s">
        <v>218</v>
      </c>
      <c r="C367" s="156" t="s">
        <v>219</v>
      </c>
      <c r="D367" s="156" t="s">
        <v>541</v>
      </c>
      <c r="E367" s="179">
        <v>122902000</v>
      </c>
      <c r="F367" s="179">
        <v>122902000</v>
      </c>
      <c r="G367" s="179">
        <v>30725500</v>
      </c>
      <c r="H367" s="179">
        <v>0</v>
      </c>
      <c r="I367" s="179">
        <v>6019035</v>
      </c>
      <c r="J367" s="179">
        <v>0</v>
      </c>
      <c r="K367" s="179">
        <v>0</v>
      </c>
      <c r="L367" s="179">
        <v>0</v>
      </c>
      <c r="M367" s="179">
        <v>116882965</v>
      </c>
      <c r="N367" s="179">
        <v>24706465</v>
      </c>
    </row>
    <row r="368" spans="1:14" s="156" customFormat="1" x14ac:dyDescent="0.25">
      <c r="A368" s="156" t="s">
        <v>546</v>
      </c>
      <c r="B368" s="156" t="s">
        <v>336</v>
      </c>
      <c r="C368" s="156" t="s">
        <v>337</v>
      </c>
      <c r="D368" s="156" t="s">
        <v>541</v>
      </c>
      <c r="E368" s="179">
        <v>50168000</v>
      </c>
      <c r="F368" s="179">
        <v>50168000</v>
      </c>
      <c r="G368" s="179">
        <v>12542000</v>
      </c>
      <c r="H368" s="179">
        <v>0</v>
      </c>
      <c r="I368" s="179">
        <v>3935643</v>
      </c>
      <c r="J368" s="179">
        <v>0</v>
      </c>
      <c r="K368" s="179">
        <v>0</v>
      </c>
      <c r="L368" s="179">
        <v>0</v>
      </c>
      <c r="M368" s="179">
        <v>46232357</v>
      </c>
      <c r="N368" s="179">
        <v>8606357</v>
      </c>
    </row>
    <row r="369" spans="1:14" s="156" customFormat="1" x14ac:dyDescent="0.25">
      <c r="A369" s="156" t="s">
        <v>546</v>
      </c>
      <c r="B369" s="156" t="s">
        <v>338</v>
      </c>
      <c r="C369" s="156" t="s">
        <v>339</v>
      </c>
      <c r="D369" s="156" t="s">
        <v>541</v>
      </c>
      <c r="E369" s="179">
        <v>89195672</v>
      </c>
      <c r="F369" s="179">
        <v>89195672</v>
      </c>
      <c r="G369" s="179">
        <v>22298918</v>
      </c>
      <c r="H369" s="179">
        <v>0</v>
      </c>
      <c r="I369" s="179">
        <v>16222770</v>
      </c>
      <c r="J369" s="179">
        <v>22947828</v>
      </c>
      <c r="K369" s="179">
        <v>0</v>
      </c>
      <c r="L369" s="179">
        <v>0</v>
      </c>
      <c r="M369" s="179">
        <v>50025074</v>
      </c>
      <c r="N369" s="183">
        <v>-16871680</v>
      </c>
    </row>
    <row r="370" spans="1:14" s="156" customFormat="1" x14ac:dyDescent="0.25">
      <c r="A370" s="156" t="s">
        <v>546</v>
      </c>
      <c r="B370" s="156" t="s">
        <v>220</v>
      </c>
      <c r="C370" s="156" t="s">
        <v>221</v>
      </c>
      <c r="D370" s="156" t="s">
        <v>541</v>
      </c>
      <c r="E370" s="179">
        <v>90316000</v>
      </c>
      <c r="F370" s="179">
        <v>90316000</v>
      </c>
      <c r="G370" s="179">
        <v>22579000</v>
      </c>
      <c r="H370" s="179">
        <v>0</v>
      </c>
      <c r="I370" s="179">
        <v>210000</v>
      </c>
      <c r="J370" s="179">
        <v>0</v>
      </c>
      <c r="K370" s="179">
        <v>0</v>
      </c>
      <c r="L370" s="179">
        <v>0</v>
      </c>
      <c r="M370" s="179">
        <v>90106000</v>
      </c>
      <c r="N370" s="179">
        <v>22369000</v>
      </c>
    </row>
    <row r="371" spans="1:14" s="156" customFormat="1" x14ac:dyDescent="0.25">
      <c r="A371" s="156" t="s">
        <v>546</v>
      </c>
      <c r="B371" s="156" t="s">
        <v>222</v>
      </c>
      <c r="C371" s="156" t="s">
        <v>223</v>
      </c>
      <c r="D371" s="156" t="s">
        <v>541</v>
      </c>
      <c r="E371" s="179">
        <v>7059000</v>
      </c>
      <c r="F371" s="179">
        <v>7059000</v>
      </c>
      <c r="G371" s="179">
        <v>1764750</v>
      </c>
      <c r="H371" s="179">
        <v>0</v>
      </c>
      <c r="I371" s="179">
        <v>0</v>
      </c>
      <c r="J371" s="179">
        <v>0</v>
      </c>
      <c r="K371" s="179">
        <v>0</v>
      </c>
      <c r="L371" s="179">
        <v>0</v>
      </c>
      <c r="M371" s="179">
        <v>7059000</v>
      </c>
      <c r="N371" s="179">
        <v>1764750</v>
      </c>
    </row>
    <row r="372" spans="1:14" s="156" customFormat="1" x14ac:dyDescent="0.25">
      <c r="A372" s="156" t="s">
        <v>546</v>
      </c>
      <c r="B372" s="156" t="s">
        <v>224</v>
      </c>
      <c r="C372" s="156" t="s">
        <v>225</v>
      </c>
      <c r="D372" s="156" t="s">
        <v>541</v>
      </c>
      <c r="E372" s="179">
        <v>61279000</v>
      </c>
      <c r="F372" s="179">
        <v>61279000</v>
      </c>
      <c r="G372" s="179">
        <v>15319750</v>
      </c>
      <c r="H372" s="179">
        <v>0</v>
      </c>
      <c r="I372" s="179">
        <v>40969.18</v>
      </c>
      <c r="J372" s="179">
        <v>0</v>
      </c>
      <c r="K372" s="179">
        <v>0</v>
      </c>
      <c r="L372" s="179">
        <v>0</v>
      </c>
      <c r="M372" s="179">
        <v>61238030.82</v>
      </c>
      <c r="N372" s="179">
        <v>15278780.82</v>
      </c>
    </row>
    <row r="373" spans="1:14" s="156" customFormat="1" x14ac:dyDescent="0.25">
      <c r="A373" s="156" t="s">
        <v>546</v>
      </c>
      <c r="B373" s="156" t="s">
        <v>226</v>
      </c>
      <c r="C373" s="156" t="s">
        <v>227</v>
      </c>
      <c r="D373" s="156" t="s">
        <v>541</v>
      </c>
      <c r="E373" s="179">
        <v>25948114</v>
      </c>
      <c r="F373" s="179">
        <v>25948114</v>
      </c>
      <c r="G373" s="179">
        <v>6487028.5</v>
      </c>
      <c r="H373" s="179">
        <v>0</v>
      </c>
      <c r="I373" s="179">
        <v>0</v>
      </c>
      <c r="J373" s="179">
        <v>0</v>
      </c>
      <c r="K373" s="179">
        <v>0</v>
      </c>
      <c r="L373" s="179">
        <v>0</v>
      </c>
      <c r="M373" s="179">
        <v>25948114</v>
      </c>
      <c r="N373" s="179">
        <v>6487028.5</v>
      </c>
    </row>
    <row r="374" spans="1:14" s="156" customFormat="1" x14ac:dyDescent="0.25">
      <c r="A374" s="156" t="s">
        <v>546</v>
      </c>
      <c r="B374" s="156" t="s">
        <v>228</v>
      </c>
      <c r="C374" s="156" t="s">
        <v>229</v>
      </c>
      <c r="D374" s="156" t="s">
        <v>541</v>
      </c>
      <c r="E374" s="179">
        <v>150560000</v>
      </c>
      <c r="F374" s="179">
        <v>150560000</v>
      </c>
      <c r="G374" s="179">
        <v>61876250</v>
      </c>
      <c r="H374" s="179">
        <v>0</v>
      </c>
      <c r="I374" s="179">
        <v>33832575.549999997</v>
      </c>
      <c r="J374" s="179">
        <v>838147.37</v>
      </c>
      <c r="K374" s="179">
        <v>0</v>
      </c>
      <c r="L374" s="179">
        <v>0</v>
      </c>
      <c r="M374" s="179">
        <v>115889277.08</v>
      </c>
      <c r="N374" s="179">
        <v>27205527.079999998</v>
      </c>
    </row>
    <row r="375" spans="1:14" s="156" customFormat="1" x14ac:dyDescent="0.25">
      <c r="A375" s="156" t="s">
        <v>546</v>
      </c>
      <c r="B375" s="156" t="s">
        <v>230</v>
      </c>
      <c r="C375" s="156" t="s">
        <v>231</v>
      </c>
      <c r="D375" s="156" t="s">
        <v>541</v>
      </c>
      <c r="E375" s="179">
        <v>53615000</v>
      </c>
      <c r="F375" s="179">
        <v>53615000</v>
      </c>
      <c r="G375" s="179">
        <v>13403750</v>
      </c>
      <c r="H375" s="179">
        <v>0</v>
      </c>
      <c r="I375" s="179">
        <v>16855580</v>
      </c>
      <c r="J375" s="179">
        <v>0</v>
      </c>
      <c r="K375" s="179">
        <v>0</v>
      </c>
      <c r="L375" s="179">
        <v>0</v>
      </c>
      <c r="M375" s="179">
        <v>36759420</v>
      </c>
      <c r="N375" s="183">
        <v>-3451830</v>
      </c>
    </row>
    <row r="376" spans="1:14" s="156" customFormat="1" x14ac:dyDescent="0.25">
      <c r="A376" s="156" t="s">
        <v>546</v>
      </c>
      <c r="B376" s="156" t="s">
        <v>232</v>
      </c>
      <c r="C376" s="156" t="s">
        <v>233</v>
      </c>
      <c r="D376" s="156" t="s">
        <v>541</v>
      </c>
      <c r="E376" s="179">
        <v>96945000</v>
      </c>
      <c r="F376" s="179">
        <v>96945000</v>
      </c>
      <c r="G376" s="179">
        <v>48472500</v>
      </c>
      <c r="H376" s="179">
        <v>0</v>
      </c>
      <c r="I376" s="179">
        <v>16976995.550000001</v>
      </c>
      <c r="J376" s="179">
        <v>838147.37</v>
      </c>
      <c r="K376" s="179">
        <v>0</v>
      </c>
      <c r="L376" s="179">
        <v>0</v>
      </c>
      <c r="M376" s="179">
        <v>79129857.079999998</v>
      </c>
      <c r="N376" s="179">
        <v>30657357.079999998</v>
      </c>
    </row>
    <row r="377" spans="1:14" s="156" customFormat="1" x14ac:dyDescent="0.25">
      <c r="A377" s="156" t="s">
        <v>546</v>
      </c>
      <c r="B377" s="156" t="s">
        <v>234</v>
      </c>
      <c r="C377" s="156" t="s">
        <v>601</v>
      </c>
      <c r="D377" s="156" t="s">
        <v>541</v>
      </c>
      <c r="E377" s="179">
        <v>1656349984</v>
      </c>
      <c r="F377" s="179">
        <v>1656349984</v>
      </c>
      <c r="G377" s="179">
        <v>421915815</v>
      </c>
      <c r="H377" s="179">
        <v>0</v>
      </c>
      <c r="I377" s="179">
        <v>409506935.25</v>
      </c>
      <c r="J377" s="179">
        <v>0</v>
      </c>
      <c r="K377" s="179">
        <v>30462795.199999999</v>
      </c>
      <c r="L377" s="179">
        <v>0</v>
      </c>
      <c r="M377" s="179">
        <v>1216380253.55</v>
      </c>
      <c r="N377" s="179">
        <v>-18053915.449999999</v>
      </c>
    </row>
    <row r="378" spans="1:14" s="156" customFormat="1" x14ac:dyDescent="0.25">
      <c r="A378" s="156" t="s">
        <v>546</v>
      </c>
      <c r="B378" s="156" t="s">
        <v>235</v>
      </c>
      <c r="C378" s="156" t="s">
        <v>236</v>
      </c>
      <c r="D378" s="156" t="s">
        <v>541</v>
      </c>
      <c r="E378" s="179">
        <v>34070136</v>
      </c>
      <c r="F378" s="179">
        <v>34070136</v>
      </c>
      <c r="G378" s="179">
        <v>8517534</v>
      </c>
      <c r="H378" s="179">
        <v>0</v>
      </c>
      <c r="I378" s="179">
        <v>0</v>
      </c>
      <c r="J378" s="179">
        <v>0</v>
      </c>
      <c r="K378" s="179">
        <v>0</v>
      </c>
      <c r="L378" s="179">
        <v>0</v>
      </c>
      <c r="M378" s="179">
        <v>34070136</v>
      </c>
      <c r="N378" s="179">
        <v>8517534</v>
      </c>
    </row>
    <row r="379" spans="1:14" s="156" customFormat="1" x14ac:dyDescent="0.25">
      <c r="A379" s="156" t="s">
        <v>546</v>
      </c>
      <c r="B379" s="156" t="s">
        <v>237</v>
      </c>
      <c r="C379" s="156" t="s">
        <v>238</v>
      </c>
      <c r="D379" s="156" t="s">
        <v>541</v>
      </c>
      <c r="E379" s="179">
        <v>65363019</v>
      </c>
      <c r="F379" s="179">
        <v>65363019</v>
      </c>
      <c r="G379" s="179">
        <v>16340754.75</v>
      </c>
      <c r="H379" s="179">
        <v>0</v>
      </c>
      <c r="I379" s="179">
        <v>2395216.54</v>
      </c>
      <c r="J379" s="179">
        <v>0</v>
      </c>
      <c r="K379" s="179">
        <v>3009655.17</v>
      </c>
      <c r="L379" s="179">
        <v>0</v>
      </c>
      <c r="M379" s="179">
        <v>59958147.289999999</v>
      </c>
      <c r="N379" s="179">
        <v>10935883.039999999</v>
      </c>
    </row>
    <row r="380" spans="1:14" s="156" customFormat="1" x14ac:dyDescent="0.25">
      <c r="A380" s="156" t="s">
        <v>546</v>
      </c>
      <c r="B380" s="156" t="s">
        <v>239</v>
      </c>
      <c r="C380" s="156" t="s">
        <v>240</v>
      </c>
      <c r="D380" s="156" t="s">
        <v>541</v>
      </c>
      <c r="E380" s="179">
        <v>146259000</v>
      </c>
      <c r="F380" s="179">
        <v>146259000</v>
      </c>
      <c r="G380" s="179">
        <v>36564750</v>
      </c>
      <c r="H380" s="179">
        <v>0</v>
      </c>
      <c r="I380" s="179">
        <v>20176205.940000001</v>
      </c>
      <c r="J380" s="179">
        <v>0</v>
      </c>
      <c r="K380" s="179">
        <v>0</v>
      </c>
      <c r="L380" s="179">
        <v>0</v>
      </c>
      <c r="M380" s="179">
        <v>126082794.06</v>
      </c>
      <c r="N380" s="179">
        <v>16388544.060000001</v>
      </c>
    </row>
    <row r="381" spans="1:14" s="156" customFormat="1" x14ac:dyDescent="0.25">
      <c r="A381" s="156" t="s">
        <v>546</v>
      </c>
      <c r="B381" s="156" t="s">
        <v>241</v>
      </c>
      <c r="C381" s="156" t="s">
        <v>242</v>
      </c>
      <c r="D381" s="156" t="s">
        <v>541</v>
      </c>
      <c r="E381" s="179">
        <v>643150000</v>
      </c>
      <c r="F381" s="179">
        <v>643150000</v>
      </c>
      <c r="G381" s="179">
        <v>160787500</v>
      </c>
      <c r="H381" s="179">
        <v>0</v>
      </c>
      <c r="I381" s="179">
        <v>293236817</v>
      </c>
      <c r="J381" s="179">
        <v>0</v>
      </c>
      <c r="K381" s="179">
        <v>0</v>
      </c>
      <c r="L381" s="179">
        <v>0</v>
      </c>
      <c r="M381" s="179">
        <v>349913183</v>
      </c>
      <c r="N381" s="183">
        <v>-132449317</v>
      </c>
    </row>
    <row r="382" spans="1:14" s="156" customFormat="1" x14ac:dyDescent="0.25">
      <c r="A382" s="156" t="s">
        <v>546</v>
      </c>
      <c r="B382" s="156" t="s">
        <v>243</v>
      </c>
      <c r="C382" s="156" t="s">
        <v>244</v>
      </c>
      <c r="D382" s="156" t="s">
        <v>541</v>
      </c>
      <c r="E382" s="179">
        <v>302355000</v>
      </c>
      <c r="F382" s="179">
        <v>302355000</v>
      </c>
      <c r="G382" s="179">
        <v>75588750</v>
      </c>
      <c r="H382" s="179">
        <v>0</v>
      </c>
      <c r="I382" s="179">
        <v>14967067.51</v>
      </c>
      <c r="J382" s="179">
        <v>0</v>
      </c>
      <c r="K382" s="179">
        <v>19326604.699999999</v>
      </c>
      <c r="L382" s="179">
        <v>0</v>
      </c>
      <c r="M382" s="179">
        <v>268061327.78999999</v>
      </c>
      <c r="N382" s="179">
        <v>41295077.789999999</v>
      </c>
    </row>
    <row r="383" spans="1:14" s="156" customFormat="1" x14ac:dyDescent="0.25">
      <c r="A383" s="156" t="s">
        <v>546</v>
      </c>
      <c r="B383" s="156" t="s">
        <v>245</v>
      </c>
      <c r="C383" s="156" t="s">
        <v>246</v>
      </c>
      <c r="D383" s="156" t="s">
        <v>541</v>
      </c>
      <c r="E383" s="179">
        <v>182921000</v>
      </c>
      <c r="F383" s="179">
        <v>182921000</v>
      </c>
      <c r="G383" s="179">
        <v>45730250</v>
      </c>
      <c r="H383" s="179">
        <v>0</v>
      </c>
      <c r="I383" s="179">
        <v>123476</v>
      </c>
      <c r="J383" s="179">
        <v>0</v>
      </c>
      <c r="K383" s="179">
        <v>297017.25</v>
      </c>
      <c r="L383" s="179">
        <v>0</v>
      </c>
      <c r="M383" s="179">
        <v>182500506.75</v>
      </c>
      <c r="N383" s="179">
        <v>45309756.75</v>
      </c>
    </row>
    <row r="384" spans="1:14" s="156" customFormat="1" x14ac:dyDescent="0.25">
      <c r="A384" s="156" t="s">
        <v>546</v>
      </c>
      <c r="B384" s="156" t="s">
        <v>247</v>
      </c>
      <c r="C384" s="156" t="s">
        <v>248</v>
      </c>
      <c r="D384" s="156" t="s">
        <v>541</v>
      </c>
      <c r="E384" s="179">
        <v>92727347</v>
      </c>
      <c r="F384" s="179">
        <v>92727347</v>
      </c>
      <c r="G384" s="179">
        <v>23181836.75</v>
      </c>
      <c r="H384" s="179">
        <v>0</v>
      </c>
      <c r="I384" s="179">
        <v>34005576.770000003</v>
      </c>
      <c r="J384" s="179">
        <v>0</v>
      </c>
      <c r="K384" s="179">
        <v>0</v>
      </c>
      <c r="L384" s="179">
        <v>0</v>
      </c>
      <c r="M384" s="179">
        <v>58721770.229999997</v>
      </c>
      <c r="N384" s="179">
        <v>-10823740.02</v>
      </c>
    </row>
    <row r="385" spans="1:14" s="156" customFormat="1" x14ac:dyDescent="0.25">
      <c r="A385" s="156" t="s">
        <v>546</v>
      </c>
      <c r="B385" s="156" t="s">
        <v>249</v>
      </c>
      <c r="C385" s="156" t="s">
        <v>250</v>
      </c>
      <c r="D385" s="156" t="s">
        <v>541</v>
      </c>
      <c r="E385" s="179">
        <v>189504482</v>
      </c>
      <c r="F385" s="179">
        <v>189504482</v>
      </c>
      <c r="G385" s="179">
        <v>55204439.5</v>
      </c>
      <c r="H385" s="179">
        <v>0</v>
      </c>
      <c r="I385" s="179">
        <v>44602575.490000002</v>
      </c>
      <c r="J385" s="179">
        <v>0</v>
      </c>
      <c r="K385" s="179">
        <v>7829518.0800000001</v>
      </c>
      <c r="L385" s="179">
        <v>0</v>
      </c>
      <c r="M385" s="179">
        <v>137072388.43000001</v>
      </c>
      <c r="N385" s="179">
        <v>2772345.93</v>
      </c>
    </row>
    <row r="386" spans="1:14" s="156" customFormat="1" x14ac:dyDescent="0.25">
      <c r="A386" s="156" t="s">
        <v>546</v>
      </c>
      <c r="B386" s="156" t="s">
        <v>279</v>
      </c>
      <c r="C386" s="156" t="s">
        <v>280</v>
      </c>
      <c r="D386" s="156" t="s">
        <v>541</v>
      </c>
      <c r="E386" s="179">
        <v>883769579</v>
      </c>
      <c r="F386" s="179">
        <v>883769579</v>
      </c>
      <c r="G386" s="179">
        <v>220942394.75</v>
      </c>
      <c r="H386" s="179">
        <v>0</v>
      </c>
      <c r="I386" s="179">
        <v>762514246.05999994</v>
      </c>
      <c r="J386" s="179">
        <v>9723427.4700000007</v>
      </c>
      <c r="K386" s="179">
        <v>0</v>
      </c>
      <c r="L386" s="179">
        <v>0</v>
      </c>
      <c r="M386" s="179">
        <v>111531905.47</v>
      </c>
      <c r="N386" s="179">
        <v>-551295278.77999997</v>
      </c>
    </row>
    <row r="387" spans="1:14" s="156" customFormat="1" x14ac:dyDescent="0.25">
      <c r="A387" s="156" t="s">
        <v>546</v>
      </c>
      <c r="B387" s="156" t="s">
        <v>281</v>
      </c>
      <c r="C387" s="156" t="s">
        <v>282</v>
      </c>
      <c r="D387" s="156" t="s">
        <v>541</v>
      </c>
      <c r="E387" s="179">
        <v>667187579</v>
      </c>
      <c r="F387" s="179">
        <v>667187579</v>
      </c>
      <c r="G387" s="179">
        <v>166796894.75</v>
      </c>
      <c r="H387" s="179">
        <v>0</v>
      </c>
      <c r="I387" s="179">
        <v>118955726.93000001</v>
      </c>
      <c r="J387" s="179">
        <v>9217427.4700000007</v>
      </c>
      <c r="K387" s="179">
        <v>0</v>
      </c>
      <c r="L387" s="179">
        <v>0</v>
      </c>
      <c r="M387" s="179">
        <v>539014424.60000002</v>
      </c>
      <c r="N387" s="179">
        <v>38623740.350000001</v>
      </c>
    </row>
    <row r="388" spans="1:14" s="156" customFormat="1" x14ac:dyDescent="0.25">
      <c r="A388" s="156" t="s">
        <v>546</v>
      </c>
      <c r="B388" s="156" t="s">
        <v>285</v>
      </c>
      <c r="C388" s="156" t="s">
        <v>286</v>
      </c>
      <c r="D388" s="156" t="s">
        <v>541</v>
      </c>
      <c r="E388" s="179">
        <v>0</v>
      </c>
      <c r="F388" s="179">
        <v>0</v>
      </c>
      <c r="G388" s="179">
        <v>0</v>
      </c>
      <c r="H388" s="179">
        <v>0</v>
      </c>
      <c r="I388" s="179">
        <v>0</v>
      </c>
      <c r="J388" s="179">
        <v>0</v>
      </c>
      <c r="K388" s="179">
        <v>0</v>
      </c>
      <c r="L388" s="179">
        <v>0</v>
      </c>
      <c r="M388" s="179">
        <v>0</v>
      </c>
      <c r="N388" s="179">
        <v>0</v>
      </c>
    </row>
    <row r="389" spans="1:14" s="156" customFormat="1" x14ac:dyDescent="0.25">
      <c r="A389" s="156" t="s">
        <v>546</v>
      </c>
      <c r="B389" s="156" t="s">
        <v>287</v>
      </c>
      <c r="C389" s="156" t="s">
        <v>288</v>
      </c>
      <c r="D389" s="156" t="s">
        <v>541</v>
      </c>
      <c r="E389" s="179">
        <v>0</v>
      </c>
      <c r="F389" s="179">
        <v>0</v>
      </c>
      <c r="G389" s="179">
        <v>0</v>
      </c>
      <c r="H389" s="179">
        <v>0</v>
      </c>
      <c r="I389" s="179">
        <v>0</v>
      </c>
      <c r="J389" s="179">
        <v>0</v>
      </c>
      <c r="K389" s="179">
        <v>0</v>
      </c>
      <c r="L389" s="179">
        <v>0</v>
      </c>
      <c r="M389" s="179">
        <v>0</v>
      </c>
      <c r="N389" s="179">
        <v>0</v>
      </c>
    </row>
    <row r="390" spans="1:14" s="156" customFormat="1" x14ac:dyDescent="0.25">
      <c r="A390" s="156" t="s">
        <v>546</v>
      </c>
      <c r="B390" s="156" t="s">
        <v>283</v>
      </c>
      <c r="C390" s="156" t="s">
        <v>284</v>
      </c>
      <c r="D390" s="156" t="s">
        <v>543</v>
      </c>
      <c r="E390" s="179">
        <v>33062000</v>
      </c>
      <c r="F390" s="179">
        <v>33062000</v>
      </c>
      <c r="G390" s="179">
        <v>8265500</v>
      </c>
      <c r="H390" s="179">
        <v>0</v>
      </c>
      <c r="I390" s="179">
        <v>0</v>
      </c>
      <c r="J390" s="179">
        <v>0</v>
      </c>
      <c r="K390" s="179">
        <v>0</v>
      </c>
      <c r="L390" s="179">
        <v>0</v>
      </c>
      <c r="M390" s="179">
        <v>33062000</v>
      </c>
      <c r="N390" s="179">
        <v>8265500</v>
      </c>
    </row>
    <row r="391" spans="1:14" s="156" customFormat="1" x14ac:dyDescent="0.25">
      <c r="A391" s="156" t="s">
        <v>546</v>
      </c>
      <c r="B391" s="156" t="s">
        <v>398</v>
      </c>
      <c r="C391" s="156" t="s">
        <v>501</v>
      </c>
      <c r="D391" s="156" t="s">
        <v>543</v>
      </c>
      <c r="E391" s="179">
        <v>72100000</v>
      </c>
      <c r="F391" s="179">
        <v>72100000</v>
      </c>
      <c r="G391" s="179">
        <v>18025000</v>
      </c>
      <c r="H391" s="179">
        <v>0</v>
      </c>
      <c r="I391" s="179">
        <v>16883370</v>
      </c>
      <c r="J391" s="179">
        <v>0</v>
      </c>
      <c r="K391" s="179">
        <v>0</v>
      </c>
      <c r="L391" s="179">
        <v>0</v>
      </c>
      <c r="M391" s="179">
        <v>55216630</v>
      </c>
      <c r="N391" s="179">
        <v>1141630</v>
      </c>
    </row>
    <row r="392" spans="1:14" s="156" customFormat="1" x14ac:dyDescent="0.25">
      <c r="A392" s="156" t="s">
        <v>546</v>
      </c>
      <c r="B392" s="156" t="s">
        <v>285</v>
      </c>
      <c r="C392" s="156" t="s">
        <v>286</v>
      </c>
      <c r="D392" s="156" t="s">
        <v>543</v>
      </c>
      <c r="E392" s="179">
        <v>147248000</v>
      </c>
      <c r="F392" s="179">
        <v>147248000</v>
      </c>
      <c r="G392" s="179">
        <v>36812000</v>
      </c>
      <c r="H392" s="179">
        <v>0</v>
      </c>
      <c r="I392" s="179">
        <v>16197.33</v>
      </c>
      <c r="J392" s="179">
        <v>0</v>
      </c>
      <c r="K392" s="179">
        <v>0</v>
      </c>
      <c r="L392" s="179">
        <v>0</v>
      </c>
      <c r="M392" s="179">
        <v>147231802.66999999</v>
      </c>
      <c r="N392" s="179">
        <v>36795802.670000002</v>
      </c>
    </row>
    <row r="393" spans="1:14" s="156" customFormat="1" x14ac:dyDescent="0.25">
      <c r="A393" s="156" t="s">
        <v>546</v>
      </c>
      <c r="B393" s="156" t="s">
        <v>287</v>
      </c>
      <c r="C393" s="156" t="s">
        <v>288</v>
      </c>
      <c r="D393" s="156" t="s">
        <v>543</v>
      </c>
      <c r="E393" s="179">
        <v>69415579</v>
      </c>
      <c r="F393" s="179">
        <v>69415579</v>
      </c>
      <c r="G393" s="179">
        <v>17353894.75</v>
      </c>
      <c r="H393" s="179">
        <v>0</v>
      </c>
      <c r="I393" s="179">
        <v>8448600</v>
      </c>
      <c r="J393" s="179">
        <v>2306404</v>
      </c>
      <c r="K393" s="179">
        <v>0</v>
      </c>
      <c r="L393" s="179">
        <v>0</v>
      </c>
      <c r="M393" s="179">
        <v>58660575</v>
      </c>
      <c r="N393" s="179">
        <v>6598890.75</v>
      </c>
    </row>
    <row r="394" spans="1:14" s="156" customFormat="1" x14ac:dyDescent="0.25">
      <c r="A394" s="156" t="s">
        <v>546</v>
      </c>
      <c r="B394" s="156" t="s">
        <v>289</v>
      </c>
      <c r="C394" s="156" t="s">
        <v>290</v>
      </c>
      <c r="D394" s="156" t="s">
        <v>543</v>
      </c>
      <c r="E394" s="179">
        <v>21137000</v>
      </c>
      <c r="F394" s="179">
        <v>21137000</v>
      </c>
      <c r="G394" s="179">
        <v>5284250</v>
      </c>
      <c r="H394" s="179">
        <v>0</v>
      </c>
      <c r="I394" s="179">
        <v>15613250.310000001</v>
      </c>
      <c r="J394" s="179">
        <v>0</v>
      </c>
      <c r="K394" s="179">
        <v>0</v>
      </c>
      <c r="L394" s="179">
        <v>0</v>
      </c>
      <c r="M394" s="179">
        <v>5523749.6900000004</v>
      </c>
      <c r="N394" s="179">
        <v>-10329000.310000001</v>
      </c>
    </row>
    <row r="395" spans="1:14" s="156" customFormat="1" x14ac:dyDescent="0.25">
      <c r="A395" s="156" t="s">
        <v>546</v>
      </c>
      <c r="B395" s="156" t="s">
        <v>291</v>
      </c>
      <c r="C395" s="156" t="s">
        <v>292</v>
      </c>
      <c r="D395" s="156" t="s">
        <v>543</v>
      </c>
      <c r="E395" s="179">
        <v>29458000</v>
      </c>
      <c r="F395" s="179">
        <v>29458000</v>
      </c>
      <c r="G395" s="179">
        <v>7364500</v>
      </c>
      <c r="H395" s="179">
        <v>0</v>
      </c>
      <c r="I395" s="179">
        <v>14941960.529999999</v>
      </c>
      <c r="J395" s="179">
        <v>1393335</v>
      </c>
      <c r="K395" s="179">
        <v>0</v>
      </c>
      <c r="L395" s="179">
        <v>0</v>
      </c>
      <c r="M395" s="179">
        <v>13122704.470000001</v>
      </c>
      <c r="N395" s="179">
        <v>-8970795.5299999993</v>
      </c>
    </row>
    <row r="396" spans="1:14" s="156" customFormat="1" x14ac:dyDescent="0.25">
      <c r="A396" s="156" t="s">
        <v>546</v>
      </c>
      <c r="B396" s="156" t="s">
        <v>293</v>
      </c>
      <c r="C396" s="156" t="s">
        <v>294</v>
      </c>
      <c r="D396" s="156" t="s">
        <v>543</v>
      </c>
      <c r="E396" s="179">
        <v>5405000</v>
      </c>
      <c r="F396" s="179">
        <v>5405000</v>
      </c>
      <c r="G396" s="179">
        <v>1351250</v>
      </c>
      <c r="H396" s="179">
        <v>0</v>
      </c>
      <c r="I396" s="179">
        <v>3981450</v>
      </c>
      <c r="J396" s="179">
        <v>0</v>
      </c>
      <c r="K396" s="179">
        <v>0</v>
      </c>
      <c r="L396" s="179">
        <v>0</v>
      </c>
      <c r="M396" s="179">
        <v>1423550</v>
      </c>
      <c r="N396" s="183">
        <v>-2630200</v>
      </c>
    </row>
    <row r="397" spans="1:14" s="156" customFormat="1" x14ac:dyDescent="0.25">
      <c r="A397" s="156" t="s">
        <v>546</v>
      </c>
      <c r="B397" s="156" t="s">
        <v>295</v>
      </c>
      <c r="C397" s="156" t="s">
        <v>296</v>
      </c>
      <c r="D397" s="156" t="s">
        <v>543</v>
      </c>
      <c r="E397" s="179">
        <v>289362000</v>
      </c>
      <c r="F397" s="179">
        <v>289362000</v>
      </c>
      <c r="G397" s="179">
        <v>72340500</v>
      </c>
      <c r="H397" s="179">
        <v>0</v>
      </c>
      <c r="I397" s="179">
        <v>59070898.759999998</v>
      </c>
      <c r="J397" s="179">
        <v>5517688.4699999997</v>
      </c>
      <c r="K397" s="179">
        <v>0</v>
      </c>
      <c r="L397" s="179">
        <v>0</v>
      </c>
      <c r="M397" s="179">
        <v>224773412.77000001</v>
      </c>
      <c r="N397" s="179">
        <v>7751912.7699999996</v>
      </c>
    </row>
    <row r="398" spans="1:14" s="156" customFormat="1" x14ac:dyDescent="0.25">
      <c r="A398" s="156" t="s">
        <v>546</v>
      </c>
      <c r="B398" s="156" t="s">
        <v>297</v>
      </c>
      <c r="C398" s="156" t="s">
        <v>298</v>
      </c>
      <c r="D398" s="156" t="s">
        <v>543</v>
      </c>
      <c r="E398" s="179">
        <v>8088000</v>
      </c>
      <c r="F398" s="179">
        <v>8088000</v>
      </c>
      <c r="G398" s="179">
        <v>2022000</v>
      </c>
      <c r="H398" s="179">
        <v>0</v>
      </c>
      <c r="I398" s="179">
        <v>640781016.71000004</v>
      </c>
      <c r="J398" s="179">
        <v>506000</v>
      </c>
      <c r="K398" s="179">
        <v>0</v>
      </c>
      <c r="L398" s="179">
        <v>0</v>
      </c>
      <c r="M398" s="179">
        <v>-633199016.71000004</v>
      </c>
      <c r="N398" s="179">
        <v>-639265016.71000004</v>
      </c>
    </row>
    <row r="399" spans="1:14" s="156" customFormat="1" x14ac:dyDescent="0.25">
      <c r="A399" s="156" t="s">
        <v>546</v>
      </c>
      <c r="B399" s="156" t="s">
        <v>299</v>
      </c>
      <c r="C399" s="156" t="s">
        <v>300</v>
      </c>
      <c r="D399" s="156" t="s">
        <v>543</v>
      </c>
      <c r="E399" s="179">
        <v>0</v>
      </c>
      <c r="F399" s="179">
        <v>0</v>
      </c>
      <c r="G399" s="179">
        <v>0</v>
      </c>
      <c r="H399" s="179">
        <v>0</v>
      </c>
      <c r="I399" s="179">
        <v>640613017.71000004</v>
      </c>
      <c r="J399" s="179">
        <v>0</v>
      </c>
      <c r="K399" s="179">
        <v>0</v>
      </c>
      <c r="L399" s="179">
        <v>0</v>
      </c>
      <c r="M399" s="179">
        <v>-640613017.71000004</v>
      </c>
      <c r="N399" s="179">
        <v>-640613017.71000004</v>
      </c>
    </row>
    <row r="400" spans="1:14" s="156" customFormat="1" x14ac:dyDescent="0.25">
      <c r="A400" s="156" t="s">
        <v>546</v>
      </c>
      <c r="B400" s="156" t="s">
        <v>366</v>
      </c>
      <c r="C400" s="156" t="s">
        <v>367</v>
      </c>
      <c r="D400" s="156" t="s">
        <v>543</v>
      </c>
      <c r="E400" s="179">
        <v>8088000</v>
      </c>
      <c r="F400" s="179">
        <v>8088000</v>
      </c>
      <c r="G400" s="179">
        <v>2022000</v>
      </c>
      <c r="H400" s="179">
        <v>0</v>
      </c>
      <c r="I400" s="179">
        <v>167999</v>
      </c>
      <c r="J400" s="179">
        <v>506000</v>
      </c>
      <c r="K400" s="179">
        <v>0</v>
      </c>
      <c r="L400" s="179">
        <v>0</v>
      </c>
      <c r="M400" s="179">
        <v>7414001</v>
      </c>
      <c r="N400" s="179">
        <v>1348001</v>
      </c>
    </row>
    <row r="401" spans="1:14" s="156" customFormat="1" x14ac:dyDescent="0.25">
      <c r="A401" s="156" t="s">
        <v>546</v>
      </c>
      <c r="B401" s="156" t="s">
        <v>340</v>
      </c>
      <c r="C401" s="156" t="s">
        <v>341</v>
      </c>
      <c r="D401" s="156" t="s">
        <v>543</v>
      </c>
      <c r="E401" s="179">
        <v>208494000</v>
      </c>
      <c r="F401" s="179">
        <v>208494000</v>
      </c>
      <c r="G401" s="179">
        <v>52123500</v>
      </c>
      <c r="H401" s="179">
        <v>0</v>
      </c>
      <c r="I401" s="179">
        <v>2777502.42</v>
      </c>
      <c r="J401" s="179">
        <v>0</v>
      </c>
      <c r="K401" s="179">
        <v>0</v>
      </c>
      <c r="L401" s="179">
        <v>0</v>
      </c>
      <c r="M401" s="179">
        <v>205716497.58000001</v>
      </c>
      <c r="N401" s="179">
        <v>49345997.579999998</v>
      </c>
    </row>
    <row r="402" spans="1:14" s="156" customFormat="1" x14ac:dyDescent="0.25">
      <c r="A402" s="156" t="s">
        <v>546</v>
      </c>
      <c r="B402" s="156" t="s">
        <v>342</v>
      </c>
      <c r="C402" s="156" t="s">
        <v>343</v>
      </c>
      <c r="D402" s="156" t="s">
        <v>543</v>
      </c>
      <c r="E402" s="179">
        <v>208494000</v>
      </c>
      <c r="F402" s="179">
        <v>208494000</v>
      </c>
      <c r="G402" s="179">
        <v>52123500</v>
      </c>
      <c r="H402" s="179">
        <v>0</v>
      </c>
      <c r="I402" s="179">
        <v>2777502.42</v>
      </c>
      <c r="J402" s="179">
        <v>0</v>
      </c>
      <c r="K402" s="179">
        <v>0</v>
      </c>
      <c r="L402" s="179">
        <v>0</v>
      </c>
      <c r="M402" s="179">
        <v>205716497.58000001</v>
      </c>
      <c r="N402" s="179">
        <v>49345997.579999998</v>
      </c>
    </row>
    <row r="403" spans="1:14" s="156" customFormat="1" x14ac:dyDescent="0.25">
      <c r="A403" s="156" t="s">
        <v>546</v>
      </c>
      <c r="B403" s="156" t="s">
        <v>251</v>
      </c>
      <c r="C403" s="156" t="s">
        <v>252</v>
      </c>
      <c r="D403" s="156" t="s">
        <v>541</v>
      </c>
      <c r="E403" s="179">
        <v>11597046000</v>
      </c>
      <c r="F403" s="179">
        <v>11597046000</v>
      </c>
      <c r="G403" s="179">
        <v>4480913173</v>
      </c>
      <c r="H403" s="179">
        <v>0</v>
      </c>
      <c r="I403" s="179">
        <v>3973986838.1399999</v>
      </c>
      <c r="J403" s="179">
        <v>0</v>
      </c>
      <c r="K403" s="179">
        <v>159221978.74000001</v>
      </c>
      <c r="L403" s="179">
        <v>114221978.73999999</v>
      </c>
      <c r="M403" s="179">
        <v>7463837183.1199999</v>
      </c>
      <c r="N403" s="179">
        <v>347704356.12</v>
      </c>
    </row>
    <row r="404" spans="1:14" s="156" customFormat="1" x14ac:dyDescent="0.25">
      <c r="A404" s="156" t="s">
        <v>546</v>
      </c>
      <c r="B404" s="156" t="s">
        <v>253</v>
      </c>
      <c r="C404" s="156" t="s">
        <v>254</v>
      </c>
      <c r="D404" s="156" t="s">
        <v>541</v>
      </c>
      <c r="E404" s="179">
        <v>9955805000</v>
      </c>
      <c r="F404" s="179">
        <v>9955805000</v>
      </c>
      <c r="G404" s="179">
        <v>3895805000</v>
      </c>
      <c r="H404" s="179">
        <v>0</v>
      </c>
      <c r="I404" s="179">
        <v>3817850376</v>
      </c>
      <c r="J404" s="179">
        <v>0</v>
      </c>
      <c r="K404" s="179">
        <v>57954624</v>
      </c>
      <c r="L404" s="179">
        <v>57954624</v>
      </c>
      <c r="M404" s="179">
        <v>6080000000</v>
      </c>
      <c r="N404" s="179">
        <v>20000000</v>
      </c>
    </row>
    <row r="405" spans="1:14" s="156" customFormat="1" x14ac:dyDescent="0.25">
      <c r="A405" s="156" t="s">
        <v>546</v>
      </c>
      <c r="B405" s="156" t="s">
        <v>368</v>
      </c>
      <c r="C405" s="156" t="s">
        <v>369</v>
      </c>
      <c r="D405" s="156" t="s">
        <v>541</v>
      </c>
      <c r="E405" s="179">
        <v>80000000</v>
      </c>
      <c r="F405" s="179">
        <v>80000000</v>
      </c>
      <c r="G405" s="179">
        <v>20000000</v>
      </c>
      <c r="H405" s="179">
        <v>0</v>
      </c>
      <c r="I405" s="179">
        <v>0</v>
      </c>
      <c r="J405" s="179">
        <v>0</v>
      </c>
      <c r="K405" s="179">
        <v>0</v>
      </c>
      <c r="L405" s="179">
        <v>0</v>
      </c>
      <c r="M405" s="179">
        <v>80000000</v>
      </c>
      <c r="N405" s="179">
        <v>20000000</v>
      </c>
    </row>
    <row r="406" spans="1:14" s="156" customFormat="1" x14ac:dyDescent="0.25">
      <c r="A406" s="156" t="s">
        <v>546</v>
      </c>
      <c r="B406" s="156" t="s">
        <v>370</v>
      </c>
      <c r="C406" s="156" t="s">
        <v>602</v>
      </c>
      <c r="D406" s="156" t="s">
        <v>541</v>
      </c>
      <c r="E406" s="179">
        <v>673849000</v>
      </c>
      <c r="F406" s="179">
        <v>673849000</v>
      </c>
      <c r="G406" s="179">
        <v>673849000</v>
      </c>
      <c r="H406" s="179">
        <v>0</v>
      </c>
      <c r="I406" s="179">
        <v>625618306</v>
      </c>
      <c r="J406" s="179">
        <v>0</v>
      </c>
      <c r="K406" s="179">
        <v>48230694</v>
      </c>
      <c r="L406" s="179">
        <v>48230694</v>
      </c>
      <c r="M406" s="179">
        <v>0</v>
      </c>
      <c r="N406" s="179">
        <v>0</v>
      </c>
    </row>
    <row r="407" spans="1:14" s="156" customFormat="1" x14ac:dyDescent="0.25">
      <c r="A407" s="156" t="s">
        <v>546</v>
      </c>
      <c r="B407" s="156" t="s">
        <v>371</v>
      </c>
      <c r="C407" s="156" t="s">
        <v>603</v>
      </c>
      <c r="D407" s="156" t="s">
        <v>541</v>
      </c>
      <c r="E407" s="179">
        <v>135856000</v>
      </c>
      <c r="F407" s="179">
        <v>135856000</v>
      </c>
      <c r="G407" s="179">
        <v>135856000</v>
      </c>
      <c r="H407" s="179">
        <v>0</v>
      </c>
      <c r="I407" s="179">
        <v>126132070</v>
      </c>
      <c r="J407" s="179">
        <v>0</v>
      </c>
      <c r="K407" s="179">
        <v>9723930</v>
      </c>
      <c r="L407" s="179">
        <v>9723930</v>
      </c>
      <c r="M407" s="179">
        <v>0</v>
      </c>
      <c r="N407" s="179">
        <v>0</v>
      </c>
    </row>
    <row r="408" spans="1:14" s="156" customFormat="1" x14ac:dyDescent="0.25">
      <c r="A408" s="156" t="s">
        <v>546</v>
      </c>
      <c r="B408" s="156" t="s">
        <v>606</v>
      </c>
      <c r="C408" s="156" t="s">
        <v>607</v>
      </c>
      <c r="D408" s="156" t="s">
        <v>543</v>
      </c>
      <c r="E408" s="179">
        <v>9066100000</v>
      </c>
      <c r="F408" s="179">
        <v>9066100000</v>
      </c>
      <c r="G408" s="179">
        <v>3066100000</v>
      </c>
      <c r="H408" s="179">
        <v>0</v>
      </c>
      <c r="I408" s="179">
        <v>3066100000</v>
      </c>
      <c r="J408" s="179">
        <v>0</v>
      </c>
      <c r="K408" s="179">
        <v>0</v>
      </c>
      <c r="L408" s="179">
        <v>0</v>
      </c>
      <c r="M408" s="179">
        <v>6000000000</v>
      </c>
      <c r="N408" s="179">
        <v>0</v>
      </c>
    </row>
    <row r="409" spans="1:14" s="156" customFormat="1" x14ac:dyDescent="0.25">
      <c r="A409" s="156" t="s">
        <v>546</v>
      </c>
      <c r="B409" s="156" t="s">
        <v>372</v>
      </c>
      <c r="C409" s="156" t="s">
        <v>373</v>
      </c>
      <c r="D409" s="156" t="s">
        <v>541</v>
      </c>
      <c r="E409" s="179">
        <v>550000000</v>
      </c>
      <c r="F409" s="179">
        <v>550000000</v>
      </c>
      <c r="G409" s="179">
        <v>137500000</v>
      </c>
      <c r="H409" s="179">
        <v>0</v>
      </c>
      <c r="I409" s="179">
        <v>92500000</v>
      </c>
      <c r="J409" s="179">
        <v>0</v>
      </c>
      <c r="K409" s="179">
        <v>45000000</v>
      </c>
      <c r="L409" s="179">
        <v>0</v>
      </c>
      <c r="M409" s="179">
        <v>412500000</v>
      </c>
      <c r="N409" s="179">
        <v>0</v>
      </c>
    </row>
    <row r="410" spans="1:14" s="156" customFormat="1" x14ac:dyDescent="0.25">
      <c r="A410" s="156" t="s">
        <v>546</v>
      </c>
      <c r="B410" s="156" t="s">
        <v>374</v>
      </c>
      <c r="C410" s="156" t="s">
        <v>375</v>
      </c>
      <c r="D410" s="156" t="s">
        <v>541</v>
      </c>
      <c r="E410" s="179">
        <v>550000000</v>
      </c>
      <c r="F410" s="179">
        <v>550000000</v>
      </c>
      <c r="G410" s="179">
        <v>137500000</v>
      </c>
      <c r="H410" s="179">
        <v>0</v>
      </c>
      <c r="I410" s="179">
        <v>92500000</v>
      </c>
      <c r="J410" s="179">
        <v>0</v>
      </c>
      <c r="K410" s="179">
        <v>45000000</v>
      </c>
      <c r="L410" s="179">
        <v>0</v>
      </c>
      <c r="M410" s="179">
        <v>412500000</v>
      </c>
      <c r="N410" s="179">
        <v>0</v>
      </c>
    </row>
    <row r="411" spans="1:14" s="156" customFormat="1" x14ac:dyDescent="0.25">
      <c r="A411" s="156" t="s">
        <v>546</v>
      </c>
      <c r="B411" s="156" t="s">
        <v>261</v>
      </c>
      <c r="C411" s="156" t="s">
        <v>262</v>
      </c>
      <c r="D411" s="156" t="s">
        <v>541</v>
      </c>
      <c r="E411" s="179">
        <v>1002889000</v>
      </c>
      <c r="F411" s="179">
        <v>1002889000</v>
      </c>
      <c r="G411" s="179">
        <v>425520173</v>
      </c>
      <c r="H411" s="179">
        <v>0</v>
      </c>
      <c r="I411" s="179">
        <v>20557775.109999999</v>
      </c>
      <c r="J411" s="179">
        <v>0</v>
      </c>
      <c r="K411" s="179">
        <v>56267354.740000002</v>
      </c>
      <c r="L411" s="179">
        <v>56267354.740000002</v>
      </c>
      <c r="M411" s="179">
        <v>926063870.14999998</v>
      </c>
      <c r="N411" s="179">
        <v>348695043.14999998</v>
      </c>
    </row>
    <row r="412" spans="1:14" s="156" customFormat="1" x14ac:dyDescent="0.25">
      <c r="A412" s="156" t="s">
        <v>546</v>
      </c>
      <c r="B412" s="156" t="s">
        <v>263</v>
      </c>
      <c r="C412" s="156" t="s">
        <v>264</v>
      </c>
      <c r="D412" s="156" t="s">
        <v>541</v>
      </c>
      <c r="E412" s="179">
        <v>657462000</v>
      </c>
      <c r="F412" s="179">
        <v>657462000</v>
      </c>
      <c r="G412" s="179">
        <v>80093173</v>
      </c>
      <c r="H412" s="179">
        <v>0</v>
      </c>
      <c r="I412" s="179">
        <v>20557775.109999999</v>
      </c>
      <c r="J412" s="179">
        <v>0</v>
      </c>
      <c r="K412" s="179">
        <v>31736332.239999998</v>
      </c>
      <c r="L412" s="179">
        <v>31736332.239999998</v>
      </c>
      <c r="M412" s="179">
        <v>605167892.64999998</v>
      </c>
      <c r="N412" s="179">
        <v>27799065.649999999</v>
      </c>
    </row>
    <row r="413" spans="1:14" s="156" customFormat="1" x14ac:dyDescent="0.25">
      <c r="A413" s="156" t="s">
        <v>546</v>
      </c>
      <c r="B413" s="156" t="s">
        <v>265</v>
      </c>
      <c r="C413" s="156" t="s">
        <v>266</v>
      </c>
      <c r="D413" s="156" t="s">
        <v>541</v>
      </c>
      <c r="E413" s="179">
        <v>345427000</v>
      </c>
      <c r="F413" s="179">
        <v>345427000</v>
      </c>
      <c r="G413" s="179">
        <v>345427000</v>
      </c>
      <c r="H413" s="179">
        <v>0</v>
      </c>
      <c r="I413" s="179">
        <v>0</v>
      </c>
      <c r="J413" s="179">
        <v>0</v>
      </c>
      <c r="K413" s="179">
        <v>24531022.5</v>
      </c>
      <c r="L413" s="179">
        <v>24531022.5</v>
      </c>
      <c r="M413" s="179">
        <v>320895977.5</v>
      </c>
      <c r="N413" s="179">
        <v>320895977.5</v>
      </c>
    </row>
    <row r="414" spans="1:14" s="156" customFormat="1" x14ac:dyDescent="0.25">
      <c r="A414" s="156" t="s">
        <v>546</v>
      </c>
      <c r="B414" s="156" t="s">
        <v>267</v>
      </c>
      <c r="C414" s="156" t="s">
        <v>268</v>
      </c>
      <c r="D414" s="156" t="s">
        <v>541</v>
      </c>
      <c r="E414" s="179">
        <v>88352000</v>
      </c>
      <c r="F414" s="179">
        <v>88352000</v>
      </c>
      <c r="G414" s="179">
        <v>22088000</v>
      </c>
      <c r="H414" s="179">
        <v>0</v>
      </c>
      <c r="I414" s="179">
        <v>43078687.030000001</v>
      </c>
      <c r="J414" s="179">
        <v>0</v>
      </c>
      <c r="K414" s="179">
        <v>0</v>
      </c>
      <c r="L414" s="179">
        <v>0</v>
      </c>
      <c r="M414" s="179">
        <v>45273312.969999999</v>
      </c>
      <c r="N414" s="179">
        <v>-20990687.030000001</v>
      </c>
    </row>
    <row r="415" spans="1:14" s="156" customFormat="1" x14ac:dyDescent="0.25">
      <c r="A415" s="156" t="s">
        <v>546</v>
      </c>
      <c r="B415" s="156" t="s">
        <v>269</v>
      </c>
      <c r="C415" s="156" t="s">
        <v>270</v>
      </c>
      <c r="D415" s="156" t="s">
        <v>541</v>
      </c>
      <c r="E415" s="179">
        <v>65000000</v>
      </c>
      <c r="F415" s="179">
        <v>65000000</v>
      </c>
      <c r="G415" s="179">
        <v>16250000</v>
      </c>
      <c r="H415" s="179">
        <v>0</v>
      </c>
      <c r="I415" s="179">
        <v>29897166.530000001</v>
      </c>
      <c r="J415" s="179">
        <v>0</v>
      </c>
      <c r="K415" s="179">
        <v>0</v>
      </c>
      <c r="L415" s="179">
        <v>0</v>
      </c>
      <c r="M415" s="179">
        <v>35102833.469999999</v>
      </c>
      <c r="N415" s="179">
        <v>-13647166.529999999</v>
      </c>
    </row>
    <row r="416" spans="1:14" s="156" customFormat="1" x14ac:dyDescent="0.25">
      <c r="A416" s="156" t="s">
        <v>546</v>
      </c>
      <c r="B416" s="156" t="s">
        <v>271</v>
      </c>
      <c r="C416" s="156" t="s">
        <v>272</v>
      </c>
      <c r="D416" s="156" t="s">
        <v>541</v>
      </c>
      <c r="E416" s="179">
        <v>23352000</v>
      </c>
      <c r="F416" s="179">
        <v>23352000</v>
      </c>
      <c r="G416" s="179">
        <v>5838000</v>
      </c>
      <c r="H416" s="179">
        <v>0</v>
      </c>
      <c r="I416" s="179">
        <v>13181520.5</v>
      </c>
      <c r="J416" s="179">
        <v>0</v>
      </c>
      <c r="K416" s="179">
        <v>0</v>
      </c>
      <c r="L416" s="179">
        <v>0</v>
      </c>
      <c r="M416" s="179">
        <v>10170479.5</v>
      </c>
      <c r="N416" s="184">
        <v>-7343520.5</v>
      </c>
    </row>
    <row r="417" spans="1:14" s="156" customFormat="1" x14ac:dyDescent="0.25">
      <c r="A417" s="156" t="s">
        <v>546</v>
      </c>
      <c r="B417" s="156" t="s">
        <v>376</v>
      </c>
      <c r="C417" s="156" t="s">
        <v>377</v>
      </c>
      <c r="D417" s="156" t="s">
        <v>543</v>
      </c>
      <c r="E417" s="179">
        <v>573100000</v>
      </c>
      <c r="F417" s="179">
        <v>573100000</v>
      </c>
      <c r="G417" s="179">
        <v>143275000</v>
      </c>
      <c r="H417" s="179">
        <v>0</v>
      </c>
      <c r="I417" s="179">
        <v>0</v>
      </c>
      <c r="J417" s="179">
        <v>0</v>
      </c>
      <c r="K417" s="179">
        <v>0</v>
      </c>
      <c r="L417" s="179">
        <v>0</v>
      </c>
      <c r="M417" s="179">
        <v>573100000</v>
      </c>
      <c r="N417" s="179">
        <v>143275000</v>
      </c>
    </row>
    <row r="418" spans="1:14" s="156" customFormat="1" x14ac:dyDescent="0.25">
      <c r="A418" s="156" t="s">
        <v>546</v>
      </c>
      <c r="B418" s="156" t="s">
        <v>378</v>
      </c>
      <c r="C418" s="156" t="s">
        <v>379</v>
      </c>
      <c r="D418" s="156" t="s">
        <v>543</v>
      </c>
      <c r="E418" s="179">
        <v>573100000</v>
      </c>
      <c r="F418" s="179">
        <v>573100000</v>
      </c>
      <c r="G418" s="179">
        <v>143275000</v>
      </c>
      <c r="H418" s="179">
        <v>0</v>
      </c>
      <c r="I418" s="179">
        <v>0</v>
      </c>
      <c r="J418" s="179">
        <v>0</v>
      </c>
      <c r="K418" s="179">
        <v>0</v>
      </c>
      <c r="L418" s="179">
        <v>0</v>
      </c>
      <c r="M418" s="179">
        <v>573100000</v>
      </c>
      <c r="N418" s="179">
        <v>143275000</v>
      </c>
    </row>
    <row r="419" spans="1:14" s="156" customFormat="1" x14ac:dyDescent="0.25">
      <c r="A419" s="156" t="s">
        <v>546</v>
      </c>
      <c r="B419" s="156" t="s">
        <v>380</v>
      </c>
      <c r="C419" s="156" t="s">
        <v>381</v>
      </c>
      <c r="D419" s="156" t="s">
        <v>543</v>
      </c>
      <c r="E419" s="179">
        <v>573100000</v>
      </c>
      <c r="F419" s="179">
        <v>573100000</v>
      </c>
      <c r="G419" s="179">
        <v>143275000</v>
      </c>
      <c r="H419" s="179">
        <v>0</v>
      </c>
      <c r="I419" s="179">
        <v>0</v>
      </c>
      <c r="J419" s="179">
        <v>0</v>
      </c>
      <c r="K419" s="179">
        <v>0</v>
      </c>
      <c r="L419" s="179">
        <v>0</v>
      </c>
      <c r="M419" s="179">
        <v>573100000</v>
      </c>
      <c r="N419" s="179">
        <v>143275000</v>
      </c>
    </row>
    <row r="420" spans="1:14" s="156" customFormat="1" x14ac:dyDescent="0.25">
      <c r="A420" s="156">
        <v>214784</v>
      </c>
      <c r="B420" s="156" t="s">
        <v>587</v>
      </c>
      <c r="C420" s="156" t="s">
        <v>587</v>
      </c>
      <c r="D420" s="156" t="s">
        <v>541</v>
      </c>
      <c r="E420" s="179">
        <v>13837611334</v>
      </c>
      <c r="F420" s="179">
        <v>13837611334</v>
      </c>
      <c r="G420" s="179">
        <v>13615521834</v>
      </c>
      <c r="H420" s="179">
        <v>0</v>
      </c>
      <c r="I420" s="179">
        <v>2171986864.21</v>
      </c>
      <c r="J420" s="179">
        <v>0</v>
      </c>
      <c r="K420" s="179">
        <v>1629058459.9300001</v>
      </c>
      <c r="L420" s="179">
        <v>1629058459.9300001</v>
      </c>
      <c r="M420" s="179">
        <v>10036566009.860001</v>
      </c>
      <c r="N420" s="179">
        <v>9814476509.8600006</v>
      </c>
    </row>
    <row r="421" spans="1:14" s="156" customFormat="1" x14ac:dyDescent="0.25">
      <c r="A421" s="156" t="s">
        <v>547</v>
      </c>
      <c r="B421" s="156" t="s">
        <v>92</v>
      </c>
      <c r="C421" s="156" t="s">
        <v>93</v>
      </c>
      <c r="D421" s="156" t="s">
        <v>541</v>
      </c>
      <c r="E421" s="179">
        <v>13313316000</v>
      </c>
      <c r="F421" s="179">
        <v>13313316000</v>
      </c>
      <c r="G421" s="179">
        <v>13313316000</v>
      </c>
      <c r="H421" s="179">
        <v>0</v>
      </c>
      <c r="I421" s="179">
        <v>1948956394.22</v>
      </c>
      <c r="J421" s="179">
        <v>0</v>
      </c>
      <c r="K421" s="179">
        <v>1621104019.9200001</v>
      </c>
      <c r="L421" s="179">
        <v>1621104019.9200001</v>
      </c>
      <c r="M421" s="179">
        <v>9743255585.8600006</v>
      </c>
      <c r="N421" s="179">
        <v>9743255585.8600006</v>
      </c>
    </row>
    <row r="422" spans="1:14" s="156" customFormat="1" x14ac:dyDescent="0.25">
      <c r="A422" s="156" t="s">
        <v>547</v>
      </c>
      <c r="B422" s="156" t="s">
        <v>94</v>
      </c>
      <c r="C422" s="156" t="s">
        <v>95</v>
      </c>
      <c r="D422" s="156" t="s">
        <v>541</v>
      </c>
      <c r="E422" s="179">
        <v>4473382000</v>
      </c>
      <c r="F422" s="179">
        <v>4473382000</v>
      </c>
      <c r="G422" s="179">
        <v>4473382000</v>
      </c>
      <c r="H422" s="179">
        <v>0</v>
      </c>
      <c r="I422" s="179">
        <v>0</v>
      </c>
      <c r="J422" s="179">
        <v>0</v>
      </c>
      <c r="K422" s="179">
        <v>336735828.19</v>
      </c>
      <c r="L422" s="179">
        <v>336735828.19</v>
      </c>
      <c r="M422" s="179">
        <v>4136646171.8099999</v>
      </c>
      <c r="N422" s="179">
        <v>4136646171.8099999</v>
      </c>
    </row>
    <row r="423" spans="1:14" s="156" customFormat="1" x14ac:dyDescent="0.25">
      <c r="A423" s="156" t="s">
        <v>547</v>
      </c>
      <c r="B423" s="156" t="s">
        <v>96</v>
      </c>
      <c r="C423" s="156" t="s">
        <v>97</v>
      </c>
      <c r="D423" s="156" t="s">
        <v>541</v>
      </c>
      <c r="E423" s="179">
        <v>4473382000</v>
      </c>
      <c r="F423" s="179">
        <v>4473382000</v>
      </c>
      <c r="G423" s="179">
        <v>4473382000</v>
      </c>
      <c r="H423" s="179">
        <v>0</v>
      </c>
      <c r="I423" s="179">
        <v>0</v>
      </c>
      <c r="J423" s="179">
        <v>0</v>
      </c>
      <c r="K423" s="179">
        <v>336735828.19</v>
      </c>
      <c r="L423" s="179">
        <v>336735828.19</v>
      </c>
      <c r="M423" s="179">
        <v>4136646171.8099999</v>
      </c>
      <c r="N423" s="179">
        <v>4136646171.8099999</v>
      </c>
    </row>
    <row r="424" spans="1:14" s="156" customFormat="1" x14ac:dyDescent="0.25">
      <c r="A424" s="156" t="s">
        <v>547</v>
      </c>
      <c r="B424" s="156" t="s">
        <v>102</v>
      </c>
      <c r="C424" s="156" t="s">
        <v>103</v>
      </c>
      <c r="D424" s="156" t="s">
        <v>541</v>
      </c>
      <c r="E424" s="179">
        <v>6745487000</v>
      </c>
      <c r="F424" s="179">
        <v>6745487000</v>
      </c>
      <c r="G424" s="179">
        <v>6745487000</v>
      </c>
      <c r="H424" s="179">
        <v>0</v>
      </c>
      <c r="I424" s="179">
        <v>0</v>
      </c>
      <c r="J424" s="179">
        <v>0</v>
      </c>
      <c r="K424" s="179">
        <v>1138877585.95</v>
      </c>
      <c r="L424" s="179">
        <v>1138877585.95</v>
      </c>
      <c r="M424" s="179">
        <v>5606609414.0500002</v>
      </c>
      <c r="N424" s="179">
        <v>5606609414.0500002</v>
      </c>
    </row>
    <row r="425" spans="1:14" s="156" customFormat="1" x14ac:dyDescent="0.25">
      <c r="A425" s="156" t="s">
        <v>547</v>
      </c>
      <c r="B425" s="156" t="s">
        <v>104</v>
      </c>
      <c r="C425" s="156" t="s">
        <v>105</v>
      </c>
      <c r="D425" s="156" t="s">
        <v>541</v>
      </c>
      <c r="E425" s="179">
        <v>1460185000</v>
      </c>
      <c r="F425" s="179">
        <v>1460185000</v>
      </c>
      <c r="G425" s="179">
        <v>1460185000</v>
      </c>
      <c r="H425" s="179">
        <v>0</v>
      </c>
      <c r="I425" s="179">
        <v>0</v>
      </c>
      <c r="J425" s="179">
        <v>0</v>
      </c>
      <c r="K425" s="179">
        <v>110871693.18000001</v>
      </c>
      <c r="L425" s="179">
        <v>110871693.18000001</v>
      </c>
      <c r="M425" s="179">
        <v>1349313306.8199999</v>
      </c>
      <c r="N425" s="179">
        <v>1349313306.8199999</v>
      </c>
    </row>
    <row r="426" spans="1:14" s="156" customFormat="1" x14ac:dyDescent="0.25">
      <c r="A426" s="156" t="s">
        <v>547</v>
      </c>
      <c r="B426" s="156" t="s">
        <v>106</v>
      </c>
      <c r="C426" s="156" t="s">
        <v>107</v>
      </c>
      <c r="D426" s="156" t="s">
        <v>541</v>
      </c>
      <c r="E426" s="179">
        <v>2519609000</v>
      </c>
      <c r="F426" s="179">
        <v>2519609000</v>
      </c>
      <c r="G426" s="179">
        <v>2519609000</v>
      </c>
      <c r="H426" s="179">
        <v>0</v>
      </c>
      <c r="I426" s="179">
        <v>0</v>
      </c>
      <c r="J426" s="179">
        <v>0</v>
      </c>
      <c r="K426" s="179">
        <v>196699015.50999999</v>
      </c>
      <c r="L426" s="179">
        <v>196699015.50999999</v>
      </c>
      <c r="M426" s="179">
        <v>2322909984.4899998</v>
      </c>
      <c r="N426" s="179">
        <v>2322909984.4899998</v>
      </c>
    </row>
    <row r="427" spans="1:14" s="156" customFormat="1" x14ac:dyDescent="0.25">
      <c r="A427" s="156" t="s">
        <v>547</v>
      </c>
      <c r="B427" s="156" t="s">
        <v>108</v>
      </c>
      <c r="C427" s="156" t="s">
        <v>109</v>
      </c>
      <c r="D427" s="156" t="s">
        <v>541</v>
      </c>
      <c r="E427" s="179">
        <v>738904000</v>
      </c>
      <c r="F427" s="179">
        <v>738904000</v>
      </c>
      <c r="G427" s="179">
        <v>738904000</v>
      </c>
      <c r="H427" s="179">
        <v>0</v>
      </c>
      <c r="I427" s="179">
        <v>0</v>
      </c>
      <c r="J427" s="179">
        <v>0</v>
      </c>
      <c r="K427" s="179">
        <v>737016521.14999998</v>
      </c>
      <c r="L427" s="179">
        <v>737016521.14999998</v>
      </c>
      <c r="M427" s="179">
        <v>1887478.85</v>
      </c>
      <c r="N427" s="179">
        <v>1887478.85</v>
      </c>
    </row>
    <row r="428" spans="1:14" s="156" customFormat="1" x14ac:dyDescent="0.25">
      <c r="A428" s="156" t="s">
        <v>547</v>
      </c>
      <c r="B428" s="156" t="s">
        <v>110</v>
      </c>
      <c r="C428" s="156" t="s">
        <v>111</v>
      </c>
      <c r="D428" s="156" t="s">
        <v>541</v>
      </c>
      <c r="E428" s="179">
        <v>1196454000</v>
      </c>
      <c r="F428" s="179">
        <v>1196454000</v>
      </c>
      <c r="G428" s="179">
        <v>1196454000</v>
      </c>
      <c r="H428" s="179">
        <v>0</v>
      </c>
      <c r="I428" s="179">
        <v>0</v>
      </c>
      <c r="J428" s="179">
        <v>0</v>
      </c>
      <c r="K428" s="179">
        <v>94290356.109999999</v>
      </c>
      <c r="L428" s="179">
        <v>94290356.109999999</v>
      </c>
      <c r="M428" s="179">
        <v>1102163643.8900001</v>
      </c>
      <c r="N428" s="179">
        <v>1102163643.8900001</v>
      </c>
    </row>
    <row r="429" spans="1:14" s="156" customFormat="1" x14ac:dyDescent="0.25">
      <c r="A429" s="156" t="s">
        <v>547</v>
      </c>
      <c r="B429" s="156" t="s">
        <v>112</v>
      </c>
      <c r="C429" s="156" t="s">
        <v>113</v>
      </c>
      <c r="D429" s="156" t="s">
        <v>543</v>
      </c>
      <c r="E429" s="179">
        <v>830335000</v>
      </c>
      <c r="F429" s="179">
        <v>830335000</v>
      </c>
      <c r="G429" s="179">
        <v>830335000</v>
      </c>
      <c r="H429" s="179">
        <v>0</v>
      </c>
      <c r="I429" s="179">
        <v>0</v>
      </c>
      <c r="J429" s="179">
        <v>0</v>
      </c>
      <c r="K429" s="179">
        <v>0</v>
      </c>
      <c r="L429" s="179">
        <v>0</v>
      </c>
      <c r="M429" s="179">
        <v>830335000</v>
      </c>
      <c r="N429" s="179">
        <v>830335000</v>
      </c>
    </row>
    <row r="430" spans="1:14" s="156" customFormat="1" x14ac:dyDescent="0.25">
      <c r="A430" s="156" t="s">
        <v>547</v>
      </c>
      <c r="B430" s="156" t="s">
        <v>114</v>
      </c>
      <c r="C430" s="156" t="s">
        <v>115</v>
      </c>
      <c r="D430" s="156" t="s">
        <v>541</v>
      </c>
      <c r="E430" s="179">
        <v>1012881000</v>
      </c>
      <c r="F430" s="179">
        <v>1012881000</v>
      </c>
      <c r="G430" s="179">
        <v>1012881000</v>
      </c>
      <c r="H430" s="179">
        <v>0</v>
      </c>
      <c r="I430" s="179">
        <v>940074588</v>
      </c>
      <c r="J430" s="179">
        <v>0</v>
      </c>
      <c r="K430" s="179">
        <v>72806412</v>
      </c>
      <c r="L430" s="179">
        <v>72806412</v>
      </c>
      <c r="M430" s="179">
        <v>0</v>
      </c>
      <c r="N430" s="179">
        <v>0</v>
      </c>
    </row>
    <row r="431" spans="1:14" s="156" customFormat="1" x14ac:dyDescent="0.25">
      <c r="A431" s="156" t="s">
        <v>547</v>
      </c>
      <c r="B431" s="156" t="s">
        <v>382</v>
      </c>
      <c r="C431" s="156" t="s">
        <v>597</v>
      </c>
      <c r="D431" s="156" t="s">
        <v>541</v>
      </c>
      <c r="E431" s="179">
        <v>960939000</v>
      </c>
      <c r="F431" s="179">
        <v>960939000</v>
      </c>
      <c r="G431" s="179">
        <v>960939000</v>
      </c>
      <c r="H431" s="179">
        <v>0</v>
      </c>
      <c r="I431" s="179">
        <v>891866253</v>
      </c>
      <c r="J431" s="179">
        <v>0</v>
      </c>
      <c r="K431" s="179">
        <v>69072747</v>
      </c>
      <c r="L431" s="179">
        <v>69072747</v>
      </c>
      <c r="M431" s="179">
        <v>0</v>
      </c>
      <c r="N431" s="179">
        <v>0</v>
      </c>
    </row>
    <row r="432" spans="1:14" s="156" customFormat="1" x14ac:dyDescent="0.25">
      <c r="A432" s="156" t="s">
        <v>547</v>
      </c>
      <c r="B432" s="156" t="s">
        <v>383</v>
      </c>
      <c r="C432" s="156" t="s">
        <v>583</v>
      </c>
      <c r="D432" s="156" t="s">
        <v>541</v>
      </c>
      <c r="E432" s="179">
        <v>51942000</v>
      </c>
      <c r="F432" s="179">
        <v>51942000</v>
      </c>
      <c r="G432" s="179">
        <v>51942000</v>
      </c>
      <c r="H432" s="179">
        <v>0</v>
      </c>
      <c r="I432" s="179">
        <v>48208335</v>
      </c>
      <c r="J432" s="179">
        <v>0</v>
      </c>
      <c r="K432" s="179">
        <v>3733665</v>
      </c>
      <c r="L432" s="179">
        <v>3733665</v>
      </c>
      <c r="M432" s="179">
        <v>0</v>
      </c>
      <c r="N432" s="179">
        <v>0</v>
      </c>
    </row>
    <row r="433" spans="1:14" s="156" customFormat="1" x14ac:dyDescent="0.25">
      <c r="A433" s="156" t="s">
        <v>547</v>
      </c>
      <c r="B433" s="156" t="s">
        <v>118</v>
      </c>
      <c r="C433" s="156" t="s">
        <v>119</v>
      </c>
      <c r="D433" s="156" t="s">
        <v>541</v>
      </c>
      <c r="E433" s="179">
        <v>1081566000</v>
      </c>
      <c r="F433" s="179">
        <v>1081566000</v>
      </c>
      <c r="G433" s="179">
        <v>1081566000</v>
      </c>
      <c r="H433" s="179">
        <v>0</v>
      </c>
      <c r="I433" s="179">
        <v>1008881806.22</v>
      </c>
      <c r="J433" s="179">
        <v>0</v>
      </c>
      <c r="K433" s="179">
        <v>72684193.780000001</v>
      </c>
      <c r="L433" s="179">
        <v>72684193.780000001</v>
      </c>
      <c r="M433" s="179">
        <v>0</v>
      </c>
      <c r="N433" s="179">
        <v>0</v>
      </c>
    </row>
    <row r="434" spans="1:14" s="156" customFormat="1" x14ac:dyDescent="0.25">
      <c r="A434" s="156" t="s">
        <v>547</v>
      </c>
      <c r="B434" s="156" t="s">
        <v>384</v>
      </c>
      <c r="C434" s="156" t="s">
        <v>598</v>
      </c>
      <c r="D434" s="156" t="s">
        <v>541</v>
      </c>
      <c r="E434" s="179">
        <v>527737000</v>
      </c>
      <c r="F434" s="179">
        <v>527737000</v>
      </c>
      <c r="G434" s="179">
        <v>527737000</v>
      </c>
      <c r="H434" s="179">
        <v>0</v>
      </c>
      <c r="I434" s="179">
        <v>495380564</v>
      </c>
      <c r="J434" s="179">
        <v>0</v>
      </c>
      <c r="K434" s="179">
        <v>32356436</v>
      </c>
      <c r="L434" s="179">
        <v>32356436</v>
      </c>
      <c r="M434" s="179">
        <v>0</v>
      </c>
      <c r="N434" s="179">
        <v>0</v>
      </c>
    </row>
    <row r="435" spans="1:14" s="156" customFormat="1" x14ac:dyDescent="0.25">
      <c r="A435" s="156" t="s">
        <v>547</v>
      </c>
      <c r="B435" s="156" t="s">
        <v>385</v>
      </c>
      <c r="C435" s="156" t="s">
        <v>599</v>
      </c>
      <c r="D435" s="156" t="s">
        <v>541</v>
      </c>
      <c r="E435" s="179">
        <v>155828000</v>
      </c>
      <c r="F435" s="179">
        <v>155828000</v>
      </c>
      <c r="G435" s="179">
        <v>155828000</v>
      </c>
      <c r="H435" s="179">
        <v>0</v>
      </c>
      <c r="I435" s="179">
        <v>144627015</v>
      </c>
      <c r="J435" s="179">
        <v>0</v>
      </c>
      <c r="K435" s="179">
        <v>11200985</v>
      </c>
      <c r="L435" s="179">
        <v>11200985</v>
      </c>
      <c r="M435" s="179">
        <v>0</v>
      </c>
      <c r="N435" s="179">
        <v>0</v>
      </c>
    </row>
    <row r="436" spans="1:14" s="156" customFormat="1" x14ac:dyDescent="0.25">
      <c r="A436" s="156" t="s">
        <v>547</v>
      </c>
      <c r="B436" s="156" t="s">
        <v>386</v>
      </c>
      <c r="C436" s="156" t="s">
        <v>600</v>
      </c>
      <c r="D436" s="156" t="s">
        <v>541</v>
      </c>
      <c r="E436" s="179">
        <v>311656000</v>
      </c>
      <c r="F436" s="179">
        <v>311656000</v>
      </c>
      <c r="G436" s="179">
        <v>311656000</v>
      </c>
      <c r="H436" s="179">
        <v>0</v>
      </c>
      <c r="I436" s="179">
        <v>289254035</v>
      </c>
      <c r="J436" s="179">
        <v>0</v>
      </c>
      <c r="K436" s="179">
        <v>22401965</v>
      </c>
      <c r="L436" s="179">
        <v>22401965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387</v>
      </c>
      <c r="C437" s="156" t="s">
        <v>388</v>
      </c>
      <c r="D437" s="156" t="s">
        <v>541</v>
      </c>
      <c r="E437" s="179">
        <v>86345000</v>
      </c>
      <c r="F437" s="179">
        <v>86345000</v>
      </c>
      <c r="G437" s="179">
        <v>86345000</v>
      </c>
      <c r="H437" s="179">
        <v>0</v>
      </c>
      <c r="I437" s="179">
        <v>79620192.219999999</v>
      </c>
      <c r="J437" s="179">
        <v>0</v>
      </c>
      <c r="K437" s="179">
        <v>6724807.7800000003</v>
      </c>
      <c r="L437" s="179">
        <v>6724807.7800000003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123</v>
      </c>
      <c r="C438" s="156" t="s">
        <v>124</v>
      </c>
      <c r="D438" s="156" t="s">
        <v>541</v>
      </c>
      <c r="E438" s="179">
        <v>31730334</v>
      </c>
      <c r="F438" s="179">
        <v>31730334</v>
      </c>
      <c r="G438" s="179">
        <v>0</v>
      </c>
      <c r="H438" s="179">
        <v>0</v>
      </c>
      <c r="I438" s="179">
        <v>410517</v>
      </c>
      <c r="J438" s="179">
        <v>0</v>
      </c>
      <c r="K438" s="179">
        <v>0</v>
      </c>
      <c r="L438" s="179">
        <v>0</v>
      </c>
      <c r="M438" s="179">
        <v>31319817</v>
      </c>
      <c r="N438" s="183">
        <v>-410517</v>
      </c>
    </row>
    <row r="439" spans="1:14" s="156" customFormat="1" x14ac:dyDescent="0.25">
      <c r="A439" s="156" t="s">
        <v>547</v>
      </c>
      <c r="B439" s="156" t="s">
        <v>168</v>
      </c>
      <c r="C439" s="156" t="s">
        <v>169</v>
      </c>
      <c r="D439" s="156" t="s">
        <v>541</v>
      </c>
      <c r="E439" s="179">
        <v>31730334</v>
      </c>
      <c r="F439" s="179">
        <v>31730334</v>
      </c>
      <c r="G439" s="179">
        <v>0</v>
      </c>
      <c r="H439" s="179">
        <v>0</v>
      </c>
      <c r="I439" s="179">
        <v>410517</v>
      </c>
      <c r="J439" s="179">
        <v>0</v>
      </c>
      <c r="K439" s="179">
        <v>0</v>
      </c>
      <c r="L439" s="179">
        <v>0</v>
      </c>
      <c r="M439" s="179">
        <v>31319817</v>
      </c>
      <c r="N439" s="183">
        <v>-410517</v>
      </c>
    </row>
    <row r="440" spans="1:14" s="156" customFormat="1" x14ac:dyDescent="0.25">
      <c r="A440" s="156" t="s">
        <v>547</v>
      </c>
      <c r="B440" s="156" t="s">
        <v>170</v>
      </c>
      <c r="C440" s="156" t="s">
        <v>171</v>
      </c>
      <c r="D440" s="156" t="s">
        <v>541</v>
      </c>
      <c r="E440" s="179">
        <v>31730334</v>
      </c>
      <c r="F440" s="179">
        <v>31730334</v>
      </c>
      <c r="G440" s="179">
        <v>0</v>
      </c>
      <c r="H440" s="179">
        <v>0</v>
      </c>
      <c r="I440" s="179">
        <v>410517</v>
      </c>
      <c r="J440" s="179">
        <v>0</v>
      </c>
      <c r="K440" s="179">
        <v>0</v>
      </c>
      <c r="L440" s="179">
        <v>0</v>
      </c>
      <c r="M440" s="179">
        <v>31319817</v>
      </c>
      <c r="N440" s="183">
        <v>-410517</v>
      </c>
    </row>
    <row r="441" spans="1:14" s="156" customFormat="1" x14ac:dyDescent="0.25">
      <c r="A441" s="156" t="s">
        <v>547</v>
      </c>
      <c r="B441" s="156" t="s">
        <v>251</v>
      </c>
      <c r="C441" s="156" t="s">
        <v>252</v>
      </c>
      <c r="D441" s="156" t="s">
        <v>541</v>
      </c>
      <c r="E441" s="179">
        <v>492565000</v>
      </c>
      <c r="F441" s="179">
        <v>492565000</v>
      </c>
      <c r="G441" s="179">
        <v>302205834</v>
      </c>
      <c r="H441" s="179">
        <v>0</v>
      </c>
      <c r="I441" s="179">
        <v>222619952.99000001</v>
      </c>
      <c r="J441" s="179">
        <v>0</v>
      </c>
      <c r="K441" s="179">
        <v>7954440.0099999998</v>
      </c>
      <c r="L441" s="179">
        <v>7954440.0099999998</v>
      </c>
      <c r="M441" s="179">
        <v>261990607</v>
      </c>
      <c r="N441" s="179">
        <v>71631441</v>
      </c>
    </row>
    <row r="442" spans="1:14" s="156" customFormat="1" x14ac:dyDescent="0.25">
      <c r="A442" s="156" t="s">
        <v>547</v>
      </c>
      <c r="B442" s="156" t="s">
        <v>253</v>
      </c>
      <c r="C442" s="156" t="s">
        <v>254</v>
      </c>
      <c r="D442" s="156" t="s">
        <v>541</v>
      </c>
      <c r="E442" s="179">
        <v>154788000</v>
      </c>
      <c r="F442" s="179">
        <v>154788000</v>
      </c>
      <c r="G442" s="179">
        <v>154788000</v>
      </c>
      <c r="H442" s="179">
        <v>0</v>
      </c>
      <c r="I442" s="179">
        <v>148590120.99000001</v>
      </c>
      <c r="J442" s="179">
        <v>0</v>
      </c>
      <c r="K442" s="179">
        <v>6197879.0099999998</v>
      </c>
      <c r="L442" s="179">
        <v>6197879.0099999998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389</v>
      </c>
      <c r="C443" s="156" t="s">
        <v>602</v>
      </c>
      <c r="D443" s="156" t="s">
        <v>541</v>
      </c>
      <c r="E443" s="179">
        <v>128817000</v>
      </c>
      <c r="F443" s="179">
        <v>128817000</v>
      </c>
      <c r="G443" s="179">
        <v>128817000</v>
      </c>
      <c r="H443" s="179">
        <v>0</v>
      </c>
      <c r="I443" s="179">
        <v>124485952.02</v>
      </c>
      <c r="J443" s="179">
        <v>0</v>
      </c>
      <c r="K443" s="179">
        <v>4331047.9800000004</v>
      </c>
      <c r="L443" s="179">
        <v>4331047.9800000004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390</v>
      </c>
      <c r="C444" s="156" t="s">
        <v>603</v>
      </c>
      <c r="D444" s="156" t="s">
        <v>541</v>
      </c>
      <c r="E444" s="179">
        <v>25971000</v>
      </c>
      <c r="F444" s="179">
        <v>25971000</v>
      </c>
      <c r="G444" s="179">
        <v>25971000</v>
      </c>
      <c r="H444" s="179">
        <v>0</v>
      </c>
      <c r="I444" s="179">
        <v>24104168.969999999</v>
      </c>
      <c r="J444" s="179">
        <v>0</v>
      </c>
      <c r="K444" s="179">
        <v>1866831.03</v>
      </c>
      <c r="L444" s="179">
        <v>1866831.03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261</v>
      </c>
      <c r="C445" s="156" t="s">
        <v>262</v>
      </c>
      <c r="D445" s="156" t="s">
        <v>541</v>
      </c>
      <c r="E445" s="179">
        <v>312777000</v>
      </c>
      <c r="F445" s="179">
        <v>312777000</v>
      </c>
      <c r="G445" s="179">
        <v>141167834</v>
      </c>
      <c r="H445" s="179">
        <v>0</v>
      </c>
      <c r="I445" s="179">
        <v>67779832</v>
      </c>
      <c r="J445" s="179">
        <v>0</v>
      </c>
      <c r="K445" s="179">
        <v>1756561</v>
      </c>
      <c r="L445" s="179">
        <v>1756561</v>
      </c>
      <c r="M445" s="179">
        <v>243240607</v>
      </c>
      <c r="N445" s="179">
        <v>71631441</v>
      </c>
    </row>
    <row r="446" spans="1:14" s="156" customFormat="1" x14ac:dyDescent="0.25">
      <c r="A446" s="156" t="s">
        <v>547</v>
      </c>
      <c r="B446" s="156" t="s">
        <v>263</v>
      </c>
      <c r="C446" s="156" t="s">
        <v>264</v>
      </c>
      <c r="D446" s="156" t="s">
        <v>541</v>
      </c>
      <c r="E446" s="179">
        <v>239389000</v>
      </c>
      <c r="F446" s="179">
        <v>239389000</v>
      </c>
      <c r="G446" s="179">
        <v>67779834</v>
      </c>
      <c r="H446" s="179">
        <v>0</v>
      </c>
      <c r="I446" s="179">
        <v>67779832</v>
      </c>
      <c r="J446" s="179">
        <v>0</v>
      </c>
      <c r="K446" s="179">
        <v>0</v>
      </c>
      <c r="L446" s="179">
        <v>0</v>
      </c>
      <c r="M446" s="179">
        <v>171609168</v>
      </c>
      <c r="N446" s="179">
        <v>2</v>
      </c>
    </row>
    <row r="447" spans="1:14" s="156" customFormat="1" x14ac:dyDescent="0.25">
      <c r="A447" s="156" t="s">
        <v>547</v>
      </c>
      <c r="B447" s="156" t="s">
        <v>265</v>
      </c>
      <c r="C447" s="156" t="s">
        <v>266</v>
      </c>
      <c r="D447" s="156" t="s">
        <v>541</v>
      </c>
      <c r="E447" s="179">
        <v>73388000</v>
      </c>
      <c r="F447" s="179">
        <v>73388000</v>
      </c>
      <c r="G447" s="179">
        <v>73388000</v>
      </c>
      <c r="H447" s="179">
        <v>0</v>
      </c>
      <c r="I447" s="179">
        <v>0</v>
      </c>
      <c r="J447" s="179">
        <v>0</v>
      </c>
      <c r="K447" s="179">
        <v>1756561</v>
      </c>
      <c r="L447" s="179">
        <v>1756561</v>
      </c>
      <c r="M447" s="179">
        <v>71631439</v>
      </c>
      <c r="N447" s="179">
        <v>71631439</v>
      </c>
    </row>
    <row r="448" spans="1:14" s="156" customFormat="1" x14ac:dyDescent="0.25">
      <c r="A448" s="156" t="s">
        <v>547</v>
      </c>
      <c r="B448" s="156" t="s">
        <v>267</v>
      </c>
      <c r="C448" s="156" t="s">
        <v>268</v>
      </c>
      <c r="D448" s="156" t="s">
        <v>541</v>
      </c>
      <c r="E448" s="179">
        <v>25000000</v>
      </c>
      <c r="F448" s="179">
        <v>25000000</v>
      </c>
      <c r="G448" s="179">
        <v>6250000</v>
      </c>
      <c r="H448" s="179">
        <v>0</v>
      </c>
      <c r="I448" s="179">
        <v>6250000</v>
      </c>
      <c r="J448" s="179">
        <v>0</v>
      </c>
      <c r="K448" s="179">
        <v>0</v>
      </c>
      <c r="L448" s="179">
        <v>0</v>
      </c>
      <c r="M448" s="179">
        <v>18750000</v>
      </c>
      <c r="N448" s="179">
        <v>0</v>
      </c>
    </row>
    <row r="449" spans="1:14" s="156" customFormat="1" x14ac:dyDescent="0.25">
      <c r="A449" s="156" t="s">
        <v>547</v>
      </c>
      <c r="B449" s="156" t="s">
        <v>269</v>
      </c>
      <c r="C449" s="156" t="s">
        <v>270</v>
      </c>
      <c r="D449" s="156" t="s">
        <v>541</v>
      </c>
      <c r="E449" s="179">
        <v>10000000</v>
      </c>
      <c r="F449" s="179">
        <v>10000000</v>
      </c>
      <c r="G449" s="179">
        <v>2500000</v>
      </c>
      <c r="H449" s="179">
        <v>0</v>
      </c>
      <c r="I449" s="179">
        <v>2500000</v>
      </c>
      <c r="J449" s="179">
        <v>0</v>
      </c>
      <c r="K449" s="179">
        <v>0</v>
      </c>
      <c r="L449" s="179">
        <v>0</v>
      </c>
      <c r="M449" s="179">
        <v>7500000</v>
      </c>
      <c r="N449" s="179">
        <v>0</v>
      </c>
    </row>
    <row r="450" spans="1:14" s="156" customFormat="1" x14ac:dyDescent="0.25">
      <c r="A450" s="156" t="s">
        <v>547</v>
      </c>
      <c r="B450" s="156" t="s">
        <v>271</v>
      </c>
      <c r="C450" s="156" t="s">
        <v>272</v>
      </c>
      <c r="D450" s="156" t="s">
        <v>541</v>
      </c>
      <c r="E450" s="179">
        <v>15000000</v>
      </c>
      <c r="F450" s="179">
        <v>15000000</v>
      </c>
      <c r="G450" s="179">
        <v>3750000</v>
      </c>
      <c r="H450" s="179">
        <v>0</v>
      </c>
      <c r="I450" s="179">
        <v>3750000</v>
      </c>
      <c r="J450" s="179">
        <v>0</v>
      </c>
      <c r="K450" s="179">
        <v>0</v>
      </c>
      <c r="L450" s="179">
        <v>0</v>
      </c>
      <c r="M450" s="179">
        <v>11250000</v>
      </c>
      <c r="N450" s="179">
        <v>0</v>
      </c>
    </row>
    <row r="451" spans="1:14" s="156" customFormat="1" x14ac:dyDescent="0.25">
      <c r="A451" s="180" t="s">
        <v>587</v>
      </c>
      <c r="B451" s="180" t="s">
        <v>587</v>
      </c>
      <c r="C451" s="180" t="s">
        <v>587</v>
      </c>
      <c r="D451" s="180" t="s">
        <v>587</v>
      </c>
      <c r="E451" s="181">
        <v>675435665000</v>
      </c>
      <c r="F451" s="181">
        <v>675435665000</v>
      </c>
      <c r="G451" s="181">
        <v>533960655614.25</v>
      </c>
      <c r="H451" s="181">
        <v>6148814.5</v>
      </c>
      <c r="I451" s="181">
        <v>112506863710.35001</v>
      </c>
      <c r="J451" s="181">
        <v>1675335941.25</v>
      </c>
      <c r="K451" s="181">
        <v>61464309563.849998</v>
      </c>
      <c r="L451" s="181">
        <v>59197795932.599998</v>
      </c>
      <c r="M451" s="181">
        <v>499783006970.04999</v>
      </c>
      <c r="N451" s="181">
        <v>358307997584.29999</v>
      </c>
    </row>
  </sheetData>
  <conditionalFormatting sqref="K2:K455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74EB-ADE4-46A4-89F8-6138327FBAC3}">
  <dimension ref="A1:N451"/>
  <sheetViews>
    <sheetView workbookViewId="0">
      <pane ySplit="600" activePane="bottomLeft"/>
      <selection pane="bottomLeft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135087133000</v>
      </c>
      <c r="F2" s="179">
        <v>135087133000</v>
      </c>
      <c r="G2" s="179">
        <v>106502503089.85001</v>
      </c>
      <c r="H2" s="179">
        <v>799055638.02999997</v>
      </c>
      <c r="I2" s="179">
        <v>18178435250.400002</v>
      </c>
      <c r="J2" s="179">
        <v>181889321.66</v>
      </c>
      <c r="K2" s="179">
        <v>21895676381.75</v>
      </c>
      <c r="L2" s="179">
        <v>20780694020.18</v>
      </c>
      <c r="M2" s="179">
        <v>94032076408.160004</v>
      </c>
      <c r="N2" s="179">
        <v>65447446498.010002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2519449227</v>
      </c>
      <c r="F3" s="179">
        <v>2519449227</v>
      </c>
      <c r="G3" s="179">
        <v>1697763692</v>
      </c>
      <c r="H3" s="179">
        <v>616649.75</v>
      </c>
      <c r="I3" s="179">
        <v>288716507.24000001</v>
      </c>
      <c r="J3" s="179">
        <v>0</v>
      </c>
      <c r="K3" s="182">
        <v>390163462.35000002</v>
      </c>
      <c r="L3" s="179">
        <v>381221611.68000001</v>
      </c>
      <c r="M3" s="179">
        <v>1839952607.6600001</v>
      </c>
      <c r="N3" s="179">
        <v>1018267072.66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1386097000</v>
      </c>
      <c r="F4" s="179">
        <v>1386097000</v>
      </c>
      <c r="G4" s="179">
        <v>1372097000</v>
      </c>
      <c r="H4" s="179">
        <v>0</v>
      </c>
      <c r="I4" s="179">
        <v>168891793</v>
      </c>
      <c r="J4" s="179">
        <v>0</v>
      </c>
      <c r="K4" s="179">
        <v>242028238.13999999</v>
      </c>
      <c r="L4" s="179">
        <v>242028238.13999999</v>
      </c>
      <c r="M4" s="179">
        <v>975176968.86000001</v>
      </c>
      <c r="N4" s="179">
        <v>961176968.86000001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526394000</v>
      </c>
      <c r="F5" s="179">
        <v>526394000</v>
      </c>
      <c r="G5" s="179">
        <v>526394000</v>
      </c>
      <c r="H5" s="179">
        <v>0</v>
      </c>
      <c r="I5" s="179">
        <v>0</v>
      </c>
      <c r="J5" s="179">
        <v>0</v>
      </c>
      <c r="K5" s="179">
        <v>72155177.670000002</v>
      </c>
      <c r="L5" s="179">
        <v>72155177.670000002</v>
      </c>
      <c r="M5" s="179">
        <v>454238822.32999998</v>
      </c>
      <c r="N5" s="179">
        <v>454238822.32999998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526394000</v>
      </c>
      <c r="F6" s="179">
        <v>526394000</v>
      </c>
      <c r="G6" s="179">
        <v>526394000</v>
      </c>
      <c r="H6" s="179">
        <v>0</v>
      </c>
      <c r="I6" s="179">
        <v>0</v>
      </c>
      <c r="J6" s="179">
        <v>0</v>
      </c>
      <c r="K6" s="179">
        <v>72155177.670000002</v>
      </c>
      <c r="L6" s="179">
        <v>72155177.670000002</v>
      </c>
      <c r="M6" s="179">
        <v>454238822.32999998</v>
      </c>
      <c r="N6" s="179">
        <v>454238822.32999998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649722000</v>
      </c>
      <c r="F7" s="179">
        <v>649722000</v>
      </c>
      <c r="G7" s="179">
        <v>635722000</v>
      </c>
      <c r="H7" s="179">
        <v>0</v>
      </c>
      <c r="I7" s="179">
        <v>0</v>
      </c>
      <c r="J7" s="179">
        <v>0</v>
      </c>
      <c r="K7" s="179">
        <v>128783853.47</v>
      </c>
      <c r="L7" s="179">
        <v>128783853.47</v>
      </c>
      <c r="M7" s="179">
        <v>520938146.52999997</v>
      </c>
      <c r="N7" s="179">
        <v>506938146.52999997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138872000</v>
      </c>
      <c r="F8" s="179">
        <v>138872000</v>
      </c>
      <c r="G8" s="179">
        <v>138872000</v>
      </c>
      <c r="H8" s="179">
        <v>0</v>
      </c>
      <c r="I8" s="179">
        <v>0</v>
      </c>
      <c r="J8" s="179">
        <v>0</v>
      </c>
      <c r="K8" s="179">
        <v>15012077.779999999</v>
      </c>
      <c r="L8" s="179">
        <v>15012077.779999999</v>
      </c>
      <c r="M8" s="179">
        <v>123859922.22</v>
      </c>
      <c r="N8" s="179">
        <v>123859922.22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289755000</v>
      </c>
      <c r="F9" s="179">
        <v>289755000</v>
      </c>
      <c r="G9" s="179">
        <v>275755000</v>
      </c>
      <c r="H9" s="179">
        <v>0</v>
      </c>
      <c r="I9" s="179">
        <v>0</v>
      </c>
      <c r="J9" s="179">
        <v>0</v>
      </c>
      <c r="K9" s="179">
        <v>33137377.600000001</v>
      </c>
      <c r="L9" s="179">
        <v>33137377.600000001</v>
      </c>
      <c r="M9" s="179">
        <v>256617622.40000001</v>
      </c>
      <c r="N9" s="179">
        <v>242617622.40000001</v>
      </c>
    </row>
    <row r="10" spans="1:14" s="156" customFormat="1" x14ac:dyDescent="0.25">
      <c r="A10" s="156" t="s">
        <v>542</v>
      </c>
      <c r="B10" s="156" t="s">
        <v>112</v>
      </c>
      <c r="C10" s="156" t="s">
        <v>113</v>
      </c>
      <c r="D10" s="156" t="s">
        <v>543</v>
      </c>
      <c r="E10" s="179">
        <v>89807000</v>
      </c>
      <c r="F10" s="179">
        <v>89807000</v>
      </c>
      <c r="G10" s="179">
        <v>89807000</v>
      </c>
      <c r="H10" s="179">
        <v>0</v>
      </c>
      <c r="I10" s="179">
        <v>0</v>
      </c>
      <c r="J10" s="179">
        <v>0</v>
      </c>
      <c r="K10" s="179">
        <v>0</v>
      </c>
      <c r="L10" s="179">
        <v>0</v>
      </c>
      <c r="M10" s="179">
        <v>89807000</v>
      </c>
      <c r="N10" s="179">
        <v>89807000</v>
      </c>
    </row>
    <row r="11" spans="1:14" s="156" customFormat="1" x14ac:dyDescent="0.25">
      <c r="A11" s="156" t="s">
        <v>542</v>
      </c>
      <c r="B11" s="156" t="s">
        <v>108</v>
      </c>
      <c r="C11" s="156" t="s">
        <v>109</v>
      </c>
      <c r="D11" s="156" t="s">
        <v>541</v>
      </c>
      <c r="E11" s="179">
        <v>83881000</v>
      </c>
      <c r="F11" s="179">
        <v>83881000</v>
      </c>
      <c r="G11" s="179">
        <v>83881000</v>
      </c>
      <c r="H11" s="179">
        <v>0</v>
      </c>
      <c r="I11" s="179">
        <v>0</v>
      </c>
      <c r="J11" s="179">
        <v>0</v>
      </c>
      <c r="K11" s="179">
        <v>74682002.099999994</v>
      </c>
      <c r="L11" s="179">
        <v>74682002.099999994</v>
      </c>
      <c r="M11" s="179">
        <v>9198997.9000000004</v>
      </c>
      <c r="N11" s="179">
        <v>9198997.9000000004</v>
      </c>
    </row>
    <row r="12" spans="1:14" s="156" customFormat="1" x14ac:dyDescent="0.25">
      <c r="A12" s="156" t="s">
        <v>542</v>
      </c>
      <c r="B12" s="156" t="s">
        <v>110</v>
      </c>
      <c r="C12" s="156" t="s">
        <v>111</v>
      </c>
      <c r="D12" s="156" t="s">
        <v>541</v>
      </c>
      <c r="E12" s="179">
        <v>47407000</v>
      </c>
      <c r="F12" s="179">
        <v>47407000</v>
      </c>
      <c r="G12" s="179">
        <v>47407000</v>
      </c>
      <c r="H12" s="179">
        <v>0</v>
      </c>
      <c r="I12" s="179">
        <v>0</v>
      </c>
      <c r="J12" s="179">
        <v>0</v>
      </c>
      <c r="K12" s="179">
        <v>5952395.9900000002</v>
      </c>
      <c r="L12" s="179">
        <v>5952395.9900000002</v>
      </c>
      <c r="M12" s="179">
        <v>41454604.009999998</v>
      </c>
      <c r="N12" s="179">
        <v>41454604.009999998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105914000</v>
      </c>
      <c r="F13" s="179">
        <v>105914000</v>
      </c>
      <c r="G13" s="179">
        <v>105914000</v>
      </c>
      <c r="H13" s="179">
        <v>0</v>
      </c>
      <c r="I13" s="179">
        <v>85188709</v>
      </c>
      <c r="J13" s="179">
        <v>0</v>
      </c>
      <c r="K13" s="179">
        <v>20725291</v>
      </c>
      <c r="L13" s="179">
        <v>20725291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116</v>
      </c>
      <c r="C14" s="156" t="s">
        <v>597</v>
      </c>
      <c r="D14" s="156" t="s">
        <v>541</v>
      </c>
      <c r="E14" s="179">
        <v>100483000</v>
      </c>
      <c r="F14" s="179">
        <v>100483000</v>
      </c>
      <c r="G14" s="179">
        <v>100483000</v>
      </c>
      <c r="H14" s="179">
        <v>0</v>
      </c>
      <c r="I14" s="179">
        <v>80820553</v>
      </c>
      <c r="J14" s="179">
        <v>0</v>
      </c>
      <c r="K14" s="179">
        <v>19662447</v>
      </c>
      <c r="L14" s="179">
        <v>19662447</v>
      </c>
      <c r="M14" s="179">
        <v>0</v>
      </c>
      <c r="N14" s="179">
        <v>0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5431000</v>
      </c>
      <c r="F15" s="179">
        <v>5431000</v>
      </c>
      <c r="G15" s="179">
        <v>5431000</v>
      </c>
      <c r="H15" s="179">
        <v>0</v>
      </c>
      <c r="I15" s="179">
        <v>4368156</v>
      </c>
      <c r="J15" s="179">
        <v>0</v>
      </c>
      <c r="K15" s="179">
        <v>1062844</v>
      </c>
      <c r="L15" s="179">
        <v>1062844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104067000</v>
      </c>
      <c r="F16" s="179">
        <v>104067000</v>
      </c>
      <c r="G16" s="179">
        <v>104067000</v>
      </c>
      <c r="H16" s="179">
        <v>0</v>
      </c>
      <c r="I16" s="179">
        <v>83703084</v>
      </c>
      <c r="J16" s="179">
        <v>0</v>
      </c>
      <c r="K16" s="179">
        <v>20363916</v>
      </c>
      <c r="L16" s="179">
        <v>20363916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120</v>
      </c>
      <c r="C17" s="156" t="s">
        <v>598</v>
      </c>
      <c r="D17" s="156" t="s">
        <v>541</v>
      </c>
      <c r="E17" s="179">
        <v>55184000</v>
      </c>
      <c r="F17" s="179">
        <v>55184000</v>
      </c>
      <c r="G17" s="179">
        <v>55184000</v>
      </c>
      <c r="H17" s="179">
        <v>0</v>
      </c>
      <c r="I17" s="179">
        <v>44385597</v>
      </c>
      <c r="J17" s="179">
        <v>0</v>
      </c>
      <c r="K17" s="179">
        <v>10798403</v>
      </c>
      <c r="L17" s="179">
        <v>10798403</v>
      </c>
      <c r="M17" s="179">
        <v>0</v>
      </c>
      <c r="N17" s="179">
        <v>0</v>
      </c>
    </row>
    <row r="18" spans="1:14" s="156" customFormat="1" x14ac:dyDescent="0.25">
      <c r="A18" s="156" t="s">
        <v>542</v>
      </c>
      <c r="B18" s="156" t="s">
        <v>121</v>
      </c>
      <c r="C18" s="156" t="s">
        <v>599</v>
      </c>
      <c r="D18" s="156" t="s">
        <v>541</v>
      </c>
      <c r="E18" s="179">
        <v>16294000</v>
      </c>
      <c r="F18" s="179">
        <v>16294000</v>
      </c>
      <c r="G18" s="179">
        <v>16294000</v>
      </c>
      <c r="H18" s="179">
        <v>0</v>
      </c>
      <c r="I18" s="179">
        <v>13105497</v>
      </c>
      <c r="J18" s="179">
        <v>0</v>
      </c>
      <c r="K18" s="179">
        <v>3188503</v>
      </c>
      <c r="L18" s="179">
        <v>3188503</v>
      </c>
      <c r="M18" s="179">
        <v>0</v>
      </c>
      <c r="N18" s="179">
        <v>0</v>
      </c>
    </row>
    <row r="19" spans="1:14" s="156" customFormat="1" x14ac:dyDescent="0.25">
      <c r="A19" s="156" t="s">
        <v>542</v>
      </c>
      <c r="B19" s="156" t="s">
        <v>122</v>
      </c>
      <c r="C19" s="156" t="s">
        <v>600</v>
      </c>
      <c r="D19" s="156" t="s">
        <v>541</v>
      </c>
      <c r="E19" s="179">
        <v>32589000</v>
      </c>
      <c r="F19" s="179">
        <v>32589000</v>
      </c>
      <c r="G19" s="179">
        <v>32589000</v>
      </c>
      <c r="H19" s="179">
        <v>0</v>
      </c>
      <c r="I19" s="179">
        <v>26211990</v>
      </c>
      <c r="J19" s="179">
        <v>0</v>
      </c>
      <c r="K19" s="179">
        <v>6377010</v>
      </c>
      <c r="L19" s="179">
        <v>6377010</v>
      </c>
      <c r="M19" s="179">
        <v>0</v>
      </c>
      <c r="N19" s="179">
        <v>0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342741579</v>
      </c>
      <c r="F20" s="179">
        <v>342741579</v>
      </c>
      <c r="G20" s="179">
        <v>79980780</v>
      </c>
      <c r="H20" s="179">
        <v>0</v>
      </c>
      <c r="I20" s="179">
        <v>57893545.759999998</v>
      </c>
      <c r="J20" s="179">
        <v>0</v>
      </c>
      <c r="K20" s="179">
        <v>18192990.949999999</v>
      </c>
      <c r="L20" s="179">
        <v>9710764.2799999993</v>
      </c>
      <c r="M20" s="179">
        <v>266655042.28999999</v>
      </c>
      <c r="N20" s="179">
        <v>3894243.29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125845446</v>
      </c>
      <c r="F21" s="179">
        <v>125845446</v>
      </c>
      <c r="G21" s="179">
        <v>31079538</v>
      </c>
      <c r="H21" s="179">
        <v>0</v>
      </c>
      <c r="I21" s="179">
        <v>29423661.960000001</v>
      </c>
      <c r="J21" s="179">
        <v>0</v>
      </c>
      <c r="K21" s="179">
        <v>1272258.67</v>
      </c>
      <c r="L21" s="179">
        <v>0</v>
      </c>
      <c r="M21" s="179">
        <v>95149525.370000005</v>
      </c>
      <c r="N21" s="179">
        <v>383617.37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125765446</v>
      </c>
      <c r="F22" s="179">
        <v>125765446</v>
      </c>
      <c r="G22" s="179">
        <v>30999538</v>
      </c>
      <c r="H22" s="179">
        <v>0</v>
      </c>
      <c r="I22" s="179">
        <v>29423661.960000001</v>
      </c>
      <c r="J22" s="179">
        <v>0</v>
      </c>
      <c r="K22" s="179">
        <v>1272258.67</v>
      </c>
      <c r="L22" s="179">
        <v>0</v>
      </c>
      <c r="M22" s="179">
        <v>95069525.370000005</v>
      </c>
      <c r="N22" s="179">
        <v>303617.37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80000</v>
      </c>
      <c r="G23" s="179">
        <v>80000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80000</v>
      </c>
      <c r="N23" s="179">
        <v>80000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131428353</v>
      </c>
      <c r="F24" s="179">
        <v>131428353</v>
      </c>
      <c r="G24" s="179">
        <v>30310000</v>
      </c>
      <c r="H24" s="179">
        <v>0</v>
      </c>
      <c r="I24" s="179">
        <v>15276304</v>
      </c>
      <c r="J24" s="179">
        <v>0</v>
      </c>
      <c r="K24" s="179">
        <v>13045614.800000001</v>
      </c>
      <c r="L24" s="179">
        <v>8826519.8000000007</v>
      </c>
      <c r="M24" s="179">
        <v>103106434.2</v>
      </c>
      <c r="N24" s="179">
        <v>1988081.2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4971429</v>
      </c>
      <c r="F25" s="179">
        <v>4971429</v>
      </c>
      <c r="G25" s="179">
        <v>1200000</v>
      </c>
      <c r="H25" s="179">
        <v>0</v>
      </c>
      <c r="I25" s="179">
        <v>251494</v>
      </c>
      <c r="J25" s="179">
        <v>0</v>
      </c>
      <c r="K25" s="179">
        <v>948506</v>
      </c>
      <c r="L25" s="179">
        <v>948506</v>
      </c>
      <c r="M25" s="179">
        <v>3771429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56000000</v>
      </c>
      <c r="F26" s="179">
        <v>56000000</v>
      </c>
      <c r="G26" s="179">
        <v>14000000</v>
      </c>
      <c r="H26" s="179">
        <v>0</v>
      </c>
      <c r="I26" s="179">
        <v>5594925</v>
      </c>
      <c r="J26" s="179">
        <v>0</v>
      </c>
      <c r="K26" s="179">
        <v>8405075</v>
      </c>
      <c r="L26" s="179">
        <v>4185980</v>
      </c>
      <c r="M26" s="179">
        <v>42000000</v>
      </c>
      <c r="N26" s="179">
        <v>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20000</v>
      </c>
      <c r="F27" s="179">
        <v>20000</v>
      </c>
      <c r="G27" s="179">
        <v>20000</v>
      </c>
      <c r="H27" s="179">
        <v>0</v>
      </c>
      <c r="I27" s="179">
        <v>3600</v>
      </c>
      <c r="J27" s="179">
        <v>0</v>
      </c>
      <c r="K27" s="179">
        <v>16400</v>
      </c>
      <c r="L27" s="179">
        <v>16400</v>
      </c>
      <c r="M27" s="179">
        <v>0</v>
      </c>
      <c r="N27" s="179">
        <v>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70076924</v>
      </c>
      <c r="F28" s="179">
        <v>70076924</v>
      </c>
      <c r="G28" s="179">
        <v>15000000</v>
      </c>
      <c r="H28" s="179">
        <v>0</v>
      </c>
      <c r="I28" s="179">
        <v>9336285</v>
      </c>
      <c r="J28" s="179">
        <v>0</v>
      </c>
      <c r="K28" s="179">
        <v>3675633.8</v>
      </c>
      <c r="L28" s="179">
        <v>3675633.8</v>
      </c>
      <c r="M28" s="179">
        <v>57065005.200000003</v>
      </c>
      <c r="N28" s="179">
        <v>1988081.2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360000</v>
      </c>
      <c r="F29" s="179">
        <v>360000</v>
      </c>
      <c r="G29" s="179">
        <v>90000</v>
      </c>
      <c r="H29" s="179">
        <v>0</v>
      </c>
      <c r="I29" s="179">
        <v>90000</v>
      </c>
      <c r="J29" s="179">
        <v>0</v>
      </c>
      <c r="K29" s="179">
        <v>0</v>
      </c>
      <c r="L29" s="179">
        <v>0</v>
      </c>
      <c r="M29" s="179">
        <v>270000</v>
      </c>
      <c r="N29" s="179">
        <v>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8700000</v>
      </c>
      <c r="F30" s="179">
        <v>8700000</v>
      </c>
      <c r="G30" s="179">
        <v>2218500</v>
      </c>
      <c r="H30" s="179">
        <v>0</v>
      </c>
      <c r="I30" s="179">
        <v>2200431</v>
      </c>
      <c r="J30" s="179">
        <v>0</v>
      </c>
      <c r="K30" s="179">
        <v>11830</v>
      </c>
      <c r="L30" s="179">
        <v>11830</v>
      </c>
      <c r="M30" s="179">
        <v>6487739</v>
      </c>
      <c r="N30" s="179">
        <v>6239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7000000</v>
      </c>
      <c r="F31" s="179">
        <v>7000000</v>
      </c>
      <c r="G31" s="179">
        <v>1750000</v>
      </c>
      <c r="H31" s="179">
        <v>0</v>
      </c>
      <c r="I31" s="179">
        <v>1737931</v>
      </c>
      <c r="J31" s="179">
        <v>0</v>
      </c>
      <c r="K31" s="179">
        <v>11830</v>
      </c>
      <c r="L31" s="179">
        <v>11830</v>
      </c>
      <c r="M31" s="179">
        <v>5250239</v>
      </c>
      <c r="N31" s="179">
        <v>239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1650000</v>
      </c>
      <c r="F32" s="179">
        <v>1650000</v>
      </c>
      <c r="G32" s="179">
        <v>418500</v>
      </c>
      <c r="H32" s="179">
        <v>0</v>
      </c>
      <c r="I32" s="179">
        <v>412500</v>
      </c>
      <c r="J32" s="179">
        <v>0</v>
      </c>
      <c r="K32" s="179">
        <v>0</v>
      </c>
      <c r="L32" s="179">
        <v>0</v>
      </c>
      <c r="M32" s="179">
        <v>1237500</v>
      </c>
      <c r="N32" s="179">
        <v>6000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50000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</row>
    <row r="34" spans="1:14" s="156" customFormat="1" x14ac:dyDescent="0.25">
      <c r="A34" s="156" t="s">
        <v>542</v>
      </c>
      <c r="B34" s="156" t="s">
        <v>151</v>
      </c>
      <c r="C34" s="156" t="s">
        <v>152</v>
      </c>
      <c r="D34" s="156" t="s">
        <v>541</v>
      </c>
      <c r="E34" s="179">
        <v>5851429</v>
      </c>
      <c r="F34" s="179">
        <v>5851429</v>
      </c>
      <c r="G34" s="179">
        <v>2048036</v>
      </c>
      <c r="H34" s="179">
        <v>0</v>
      </c>
      <c r="I34" s="179">
        <v>1702086</v>
      </c>
      <c r="J34" s="179">
        <v>0</v>
      </c>
      <c r="K34" s="179">
        <v>0</v>
      </c>
      <c r="L34" s="179">
        <v>0</v>
      </c>
      <c r="M34" s="179">
        <v>4149343</v>
      </c>
      <c r="N34" s="179">
        <v>345950</v>
      </c>
    </row>
    <row r="35" spans="1:14" s="156" customFormat="1" x14ac:dyDescent="0.25">
      <c r="A35" s="156" t="s">
        <v>542</v>
      </c>
      <c r="B35" s="156" t="s">
        <v>154</v>
      </c>
      <c r="C35" s="156" t="s">
        <v>155</v>
      </c>
      <c r="D35" s="156" t="s">
        <v>541</v>
      </c>
      <c r="E35" s="179">
        <v>3080000</v>
      </c>
      <c r="F35" s="179">
        <v>3080000</v>
      </c>
      <c r="G35" s="179">
        <v>220000</v>
      </c>
      <c r="H35" s="179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3080000</v>
      </c>
      <c r="N35" s="179">
        <v>220000</v>
      </c>
    </row>
    <row r="36" spans="1:14" s="156" customFormat="1" x14ac:dyDescent="0.25">
      <c r="A36" s="156" t="s">
        <v>542</v>
      </c>
      <c r="B36" s="156" t="s">
        <v>156</v>
      </c>
      <c r="C36" s="156" t="s">
        <v>157</v>
      </c>
      <c r="D36" s="156" t="s">
        <v>541</v>
      </c>
      <c r="E36" s="179">
        <v>2771429</v>
      </c>
      <c r="F36" s="179">
        <v>2771429</v>
      </c>
      <c r="G36" s="179">
        <v>1828036</v>
      </c>
      <c r="H36" s="179">
        <v>0</v>
      </c>
      <c r="I36" s="179">
        <v>1702086</v>
      </c>
      <c r="J36" s="179">
        <v>0</v>
      </c>
      <c r="K36" s="179">
        <v>0</v>
      </c>
      <c r="L36" s="179">
        <v>0</v>
      </c>
      <c r="M36" s="179">
        <v>1069343</v>
      </c>
      <c r="N36" s="179">
        <v>125950</v>
      </c>
    </row>
    <row r="37" spans="1:14" s="156" customFormat="1" x14ac:dyDescent="0.25">
      <c r="A37" s="156" t="s">
        <v>542</v>
      </c>
      <c r="B37" s="156" t="s">
        <v>158</v>
      </c>
      <c r="C37" s="156" t="s">
        <v>159</v>
      </c>
      <c r="D37" s="156" t="s">
        <v>541</v>
      </c>
      <c r="E37" s="179">
        <v>17774865</v>
      </c>
      <c r="F37" s="179">
        <v>17774865</v>
      </c>
      <c r="G37" s="179">
        <v>4200000</v>
      </c>
      <c r="H37" s="179">
        <v>0</v>
      </c>
      <c r="I37" s="179">
        <v>2359350</v>
      </c>
      <c r="J37" s="179">
        <v>0</v>
      </c>
      <c r="K37" s="179">
        <v>872414.48</v>
      </c>
      <c r="L37" s="179">
        <v>872414.48</v>
      </c>
      <c r="M37" s="179">
        <v>14543100.52</v>
      </c>
      <c r="N37" s="179">
        <v>968235.52000000002</v>
      </c>
    </row>
    <row r="38" spans="1:14" s="156" customFormat="1" x14ac:dyDescent="0.25">
      <c r="A38" s="156" t="s">
        <v>542</v>
      </c>
      <c r="B38" s="156" t="s">
        <v>160</v>
      </c>
      <c r="C38" s="156" t="s">
        <v>161</v>
      </c>
      <c r="D38" s="156" t="s">
        <v>541</v>
      </c>
      <c r="E38" s="179">
        <v>100000</v>
      </c>
      <c r="F38" s="179">
        <v>100000</v>
      </c>
      <c r="G38" s="179">
        <v>100000</v>
      </c>
      <c r="H38" s="179">
        <v>0</v>
      </c>
      <c r="I38" s="179">
        <v>0</v>
      </c>
      <c r="J38" s="179">
        <v>0</v>
      </c>
      <c r="K38" s="179">
        <v>0</v>
      </c>
      <c r="L38" s="179">
        <v>0</v>
      </c>
      <c r="M38" s="179">
        <v>100000</v>
      </c>
      <c r="N38" s="179">
        <v>100000</v>
      </c>
    </row>
    <row r="39" spans="1:14" s="156" customFormat="1" x14ac:dyDescent="0.25">
      <c r="A39" s="156" t="s">
        <v>542</v>
      </c>
      <c r="B39" s="156" t="s">
        <v>162</v>
      </c>
      <c r="C39" s="156" t="s">
        <v>163</v>
      </c>
      <c r="D39" s="156" t="s">
        <v>541</v>
      </c>
      <c r="E39" s="179">
        <v>6685715</v>
      </c>
      <c r="F39" s="179">
        <v>6685715</v>
      </c>
      <c r="G39" s="179">
        <v>1700000</v>
      </c>
      <c r="H39" s="179">
        <v>0</v>
      </c>
      <c r="I39" s="179">
        <v>481850</v>
      </c>
      <c r="J39" s="179">
        <v>0</v>
      </c>
      <c r="K39" s="179">
        <v>784850</v>
      </c>
      <c r="L39" s="179">
        <v>784850</v>
      </c>
      <c r="M39" s="179">
        <v>5419015</v>
      </c>
      <c r="N39" s="179">
        <v>433300</v>
      </c>
    </row>
    <row r="40" spans="1:14" s="156" customFormat="1" x14ac:dyDescent="0.25">
      <c r="A40" s="156" t="s">
        <v>542</v>
      </c>
      <c r="B40" s="156" t="s">
        <v>164</v>
      </c>
      <c r="C40" s="156" t="s">
        <v>165</v>
      </c>
      <c r="D40" s="156" t="s">
        <v>541</v>
      </c>
      <c r="E40" s="179">
        <v>5170968</v>
      </c>
      <c r="F40" s="179">
        <v>5170968</v>
      </c>
      <c r="G40" s="179">
        <v>1200000</v>
      </c>
      <c r="H40" s="179">
        <v>0</v>
      </c>
      <c r="I40" s="179">
        <v>877500</v>
      </c>
      <c r="J40" s="179">
        <v>0</v>
      </c>
      <c r="K40" s="179">
        <v>87564.479999999996</v>
      </c>
      <c r="L40" s="179">
        <v>87564.479999999996</v>
      </c>
      <c r="M40" s="179">
        <v>4205903.5199999996</v>
      </c>
      <c r="N40" s="179">
        <v>234935.52</v>
      </c>
    </row>
    <row r="41" spans="1:14" s="156" customFormat="1" x14ac:dyDescent="0.25">
      <c r="A41" s="156" t="s">
        <v>542</v>
      </c>
      <c r="B41" s="156" t="s">
        <v>166</v>
      </c>
      <c r="C41" s="156" t="s">
        <v>167</v>
      </c>
      <c r="D41" s="156" t="s">
        <v>541</v>
      </c>
      <c r="E41" s="179">
        <v>5818182</v>
      </c>
      <c r="F41" s="179">
        <v>5818182</v>
      </c>
      <c r="G41" s="179">
        <v>1200000</v>
      </c>
      <c r="H41" s="179">
        <v>0</v>
      </c>
      <c r="I41" s="179">
        <v>1000000</v>
      </c>
      <c r="J41" s="179">
        <v>0</v>
      </c>
      <c r="K41" s="179">
        <v>0</v>
      </c>
      <c r="L41" s="179">
        <v>0</v>
      </c>
      <c r="M41" s="179">
        <v>4818182</v>
      </c>
      <c r="N41" s="179">
        <v>200000</v>
      </c>
    </row>
    <row r="42" spans="1:14" s="156" customFormat="1" x14ac:dyDescent="0.25">
      <c r="A42" s="156" t="s">
        <v>542</v>
      </c>
      <c r="B42" s="156" t="s">
        <v>168</v>
      </c>
      <c r="C42" s="156" t="s">
        <v>169</v>
      </c>
      <c r="D42" s="156" t="s">
        <v>541</v>
      </c>
      <c r="E42" s="179">
        <v>32290000</v>
      </c>
      <c r="F42" s="179">
        <v>32290000</v>
      </c>
      <c r="G42" s="179">
        <v>4851506</v>
      </c>
      <c r="H42" s="179">
        <v>0</v>
      </c>
      <c r="I42" s="179">
        <v>612040</v>
      </c>
      <c r="J42" s="179">
        <v>0</v>
      </c>
      <c r="K42" s="179">
        <v>2990873</v>
      </c>
      <c r="L42" s="179">
        <v>0</v>
      </c>
      <c r="M42" s="179">
        <v>28687087</v>
      </c>
      <c r="N42" s="179">
        <v>1248593</v>
      </c>
    </row>
    <row r="43" spans="1:14" s="156" customFormat="1" x14ac:dyDescent="0.25">
      <c r="A43" s="156" t="s">
        <v>542</v>
      </c>
      <c r="B43" s="156" t="s">
        <v>170</v>
      </c>
      <c r="C43" s="156" t="s">
        <v>171</v>
      </c>
      <c r="D43" s="156" t="s">
        <v>541</v>
      </c>
      <c r="E43" s="179">
        <v>32290000</v>
      </c>
      <c r="F43" s="179">
        <v>32290000</v>
      </c>
      <c r="G43" s="179">
        <v>4851506</v>
      </c>
      <c r="H43" s="179">
        <v>0</v>
      </c>
      <c r="I43" s="179">
        <v>612040</v>
      </c>
      <c r="J43" s="179">
        <v>0</v>
      </c>
      <c r="K43" s="179">
        <v>2990873</v>
      </c>
      <c r="L43" s="179">
        <v>0</v>
      </c>
      <c r="M43" s="179">
        <v>28687087</v>
      </c>
      <c r="N43" s="179">
        <v>1248593</v>
      </c>
    </row>
    <row r="44" spans="1:14" s="156" customFormat="1" x14ac:dyDescent="0.25">
      <c r="A44" s="156" t="s">
        <v>542</v>
      </c>
      <c r="B44" s="156" t="s">
        <v>172</v>
      </c>
      <c r="C44" s="156" t="s">
        <v>173</v>
      </c>
      <c r="D44" s="156" t="s">
        <v>541</v>
      </c>
      <c r="E44" s="179">
        <v>2150000</v>
      </c>
      <c r="F44" s="179">
        <v>2150000</v>
      </c>
      <c r="G44" s="179">
        <v>600000</v>
      </c>
      <c r="H44" s="179">
        <v>0</v>
      </c>
      <c r="I44" s="179">
        <v>500000</v>
      </c>
      <c r="J44" s="179">
        <v>0</v>
      </c>
      <c r="K44" s="179">
        <v>0</v>
      </c>
      <c r="L44" s="179">
        <v>0</v>
      </c>
      <c r="M44" s="179">
        <v>1650000</v>
      </c>
      <c r="N44" s="179">
        <v>100000</v>
      </c>
    </row>
    <row r="45" spans="1:14" s="156" customFormat="1" x14ac:dyDescent="0.25">
      <c r="A45" s="156" t="s">
        <v>542</v>
      </c>
      <c r="B45" s="156" t="s">
        <v>309</v>
      </c>
      <c r="C45" s="156" t="s">
        <v>310</v>
      </c>
      <c r="D45" s="156" t="s">
        <v>541</v>
      </c>
      <c r="E45" s="179">
        <v>0</v>
      </c>
      <c r="F45" s="179">
        <v>0</v>
      </c>
      <c r="G45" s="179">
        <v>0</v>
      </c>
      <c r="H45" s="179">
        <v>0</v>
      </c>
      <c r="I45" s="179">
        <v>0</v>
      </c>
      <c r="J45" s="179">
        <v>0</v>
      </c>
      <c r="K45" s="179">
        <v>0</v>
      </c>
      <c r="L45" s="179">
        <v>0</v>
      </c>
      <c r="M45" s="179">
        <v>0</v>
      </c>
      <c r="N45" s="179">
        <v>0</v>
      </c>
    </row>
    <row r="46" spans="1:14" s="156" customFormat="1" x14ac:dyDescent="0.25">
      <c r="A46" s="156" t="s">
        <v>542</v>
      </c>
      <c r="B46" s="156" t="s">
        <v>174</v>
      </c>
      <c r="C46" s="156" t="s">
        <v>175</v>
      </c>
      <c r="D46" s="156" t="s">
        <v>541</v>
      </c>
      <c r="E46" s="179">
        <v>1550000</v>
      </c>
      <c r="F46" s="179">
        <v>1550000</v>
      </c>
      <c r="G46" s="179">
        <v>0</v>
      </c>
      <c r="H46" s="179">
        <v>0</v>
      </c>
      <c r="I46" s="179">
        <v>0</v>
      </c>
      <c r="J46" s="179">
        <v>0</v>
      </c>
      <c r="K46" s="179">
        <v>0</v>
      </c>
      <c r="L46" s="179">
        <v>0</v>
      </c>
      <c r="M46" s="179">
        <v>1550000</v>
      </c>
      <c r="N46" s="179">
        <v>0</v>
      </c>
    </row>
    <row r="47" spans="1:14" s="156" customFormat="1" x14ac:dyDescent="0.25">
      <c r="A47" s="156" t="s">
        <v>542</v>
      </c>
      <c r="B47" s="156" t="s">
        <v>176</v>
      </c>
      <c r="C47" s="156" t="s">
        <v>177</v>
      </c>
      <c r="D47" s="156" t="s">
        <v>541</v>
      </c>
      <c r="E47" s="179">
        <v>600000</v>
      </c>
      <c r="F47" s="179">
        <v>600000</v>
      </c>
      <c r="G47" s="179">
        <v>600000</v>
      </c>
      <c r="H47" s="179">
        <v>0</v>
      </c>
      <c r="I47" s="179">
        <v>500000</v>
      </c>
      <c r="J47" s="179">
        <v>0</v>
      </c>
      <c r="K47" s="179">
        <v>0</v>
      </c>
      <c r="L47" s="179">
        <v>0</v>
      </c>
      <c r="M47" s="179">
        <v>100000</v>
      </c>
      <c r="N47" s="179">
        <v>100000</v>
      </c>
    </row>
    <row r="48" spans="1:14" s="156" customFormat="1" x14ac:dyDescent="0.25">
      <c r="A48" s="156" t="s">
        <v>542</v>
      </c>
      <c r="B48" s="156" t="s">
        <v>178</v>
      </c>
      <c r="C48" s="156" t="s">
        <v>179</v>
      </c>
      <c r="D48" s="156" t="s">
        <v>541</v>
      </c>
      <c r="E48" s="179">
        <v>17019667</v>
      </c>
      <c r="F48" s="179">
        <v>17019667</v>
      </c>
      <c r="G48" s="179">
        <v>4673200</v>
      </c>
      <c r="H48" s="179">
        <v>0</v>
      </c>
      <c r="I48" s="179">
        <v>3768988.8</v>
      </c>
      <c r="J48" s="179">
        <v>0</v>
      </c>
      <c r="K48" s="179">
        <v>0</v>
      </c>
      <c r="L48" s="179">
        <v>0</v>
      </c>
      <c r="M48" s="179">
        <v>13250678.199999999</v>
      </c>
      <c r="N48" s="179">
        <v>904211.2</v>
      </c>
    </row>
    <row r="49" spans="1:14" s="156" customFormat="1" x14ac:dyDescent="0.25">
      <c r="A49" s="156" t="s">
        <v>542</v>
      </c>
      <c r="B49" s="156" t="s">
        <v>332</v>
      </c>
      <c r="C49" s="156" t="s">
        <v>333</v>
      </c>
      <c r="D49" s="156" t="s">
        <v>541</v>
      </c>
      <c r="E49" s="179">
        <v>300000</v>
      </c>
      <c r="F49" s="179">
        <v>300000</v>
      </c>
      <c r="G49" s="179">
        <v>0</v>
      </c>
      <c r="H49" s="179">
        <v>0</v>
      </c>
      <c r="I49" s="179">
        <v>0</v>
      </c>
      <c r="J49" s="179">
        <v>0</v>
      </c>
      <c r="K49" s="179">
        <v>0</v>
      </c>
      <c r="L49" s="179">
        <v>0</v>
      </c>
      <c r="M49" s="179">
        <v>300000</v>
      </c>
      <c r="N49" s="179">
        <v>0</v>
      </c>
    </row>
    <row r="50" spans="1:14" s="156" customFormat="1" x14ac:dyDescent="0.25">
      <c r="A50" s="156" t="s">
        <v>542</v>
      </c>
      <c r="B50" s="156" t="s">
        <v>182</v>
      </c>
      <c r="C50" s="156" t="s">
        <v>183</v>
      </c>
      <c r="D50" s="156" t="s">
        <v>541</v>
      </c>
      <c r="E50" s="179">
        <v>9066667</v>
      </c>
      <c r="F50" s="179">
        <v>9066667</v>
      </c>
      <c r="G50" s="179">
        <v>2500000</v>
      </c>
      <c r="H50" s="179">
        <v>0</v>
      </c>
      <c r="I50" s="179">
        <v>1600000</v>
      </c>
      <c r="J50" s="179">
        <v>0</v>
      </c>
      <c r="K50" s="179">
        <v>0</v>
      </c>
      <c r="L50" s="179">
        <v>0</v>
      </c>
      <c r="M50" s="179">
        <v>7466667</v>
      </c>
      <c r="N50" s="179">
        <v>900000</v>
      </c>
    </row>
    <row r="51" spans="1:14" s="156" customFormat="1" x14ac:dyDescent="0.25">
      <c r="A51" s="156" t="s">
        <v>542</v>
      </c>
      <c r="B51" s="156" t="s">
        <v>186</v>
      </c>
      <c r="C51" s="156" t="s">
        <v>187</v>
      </c>
      <c r="D51" s="156" t="s">
        <v>541</v>
      </c>
      <c r="E51" s="179">
        <v>2900000</v>
      </c>
      <c r="F51" s="179">
        <v>2900000</v>
      </c>
      <c r="G51" s="179">
        <v>1641200</v>
      </c>
      <c r="H51" s="179">
        <v>0</v>
      </c>
      <c r="I51" s="179">
        <v>1641200</v>
      </c>
      <c r="J51" s="179">
        <v>0</v>
      </c>
      <c r="K51" s="179">
        <v>0</v>
      </c>
      <c r="L51" s="179">
        <v>0</v>
      </c>
      <c r="M51" s="179">
        <v>1258800</v>
      </c>
      <c r="N51" s="179">
        <v>0</v>
      </c>
    </row>
    <row r="52" spans="1:14" s="156" customFormat="1" x14ac:dyDescent="0.25">
      <c r="A52" s="156" t="s">
        <v>542</v>
      </c>
      <c r="B52" s="156" t="s">
        <v>188</v>
      </c>
      <c r="C52" s="156" t="s">
        <v>189</v>
      </c>
      <c r="D52" s="156" t="s">
        <v>541</v>
      </c>
      <c r="E52" s="179">
        <v>393000</v>
      </c>
      <c r="F52" s="179">
        <v>393000</v>
      </c>
      <c r="G52" s="179">
        <v>0</v>
      </c>
      <c r="H52" s="179">
        <v>0</v>
      </c>
      <c r="I52" s="179">
        <v>0</v>
      </c>
      <c r="J52" s="179">
        <v>0</v>
      </c>
      <c r="K52" s="179">
        <v>0</v>
      </c>
      <c r="L52" s="179">
        <v>0</v>
      </c>
      <c r="M52" s="179">
        <v>393000</v>
      </c>
      <c r="N52" s="179">
        <v>0</v>
      </c>
    </row>
    <row r="53" spans="1:14" s="156" customFormat="1" x14ac:dyDescent="0.25">
      <c r="A53" s="156" t="s">
        <v>542</v>
      </c>
      <c r="B53" s="156" t="s">
        <v>190</v>
      </c>
      <c r="C53" s="156" t="s">
        <v>191</v>
      </c>
      <c r="D53" s="156" t="s">
        <v>541</v>
      </c>
      <c r="E53" s="179">
        <v>4360000</v>
      </c>
      <c r="F53" s="179">
        <v>4360000</v>
      </c>
      <c r="G53" s="179">
        <v>532000</v>
      </c>
      <c r="H53" s="179">
        <v>0</v>
      </c>
      <c r="I53" s="179">
        <v>527788.80000000005</v>
      </c>
      <c r="J53" s="179">
        <v>0</v>
      </c>
      <c r="K53" s="179">
        <v>0</v>
      </c>
      <c r="L53" s="179">
        <v>0</v>
      </c>
      <c r="M53" s="179">
        <v>3832211.2</v>
      </c>
      <c r="N53" s="179">
        <v>4211.2</v>
      </c>
    </row>
    <row r="54" spans="1:14" s="156" customFormat="1" x14ac:dyDescent="0.25">
      <c r="A54" s="156" t="s">
        <v>542</v>
      </c>
      <c r="B54" s="156" t="s">
        <v>192</v>
      </c>
      <c r="C54" s="156" t="s">
        <v>193</v>
      </c>
      <c r="D54" s="156" t="s">
        <v>541</v>
      </c>
      <c r="E54" s="179">
        <v>681819</v>
      </c>
      <c r="F54" s="179">
        <v>681819</v>
      </c>
      <c r="G54" s="179">
        <v>0</v>
      </c>
      <c r="H54" s="179">
        <v>0</v>
      </c>
      <c r="I54" s="179">
        <v>1250684</v>
      </c>
      <c r="J54" s="179">
        <v>0</v>
      </c>
      <c r="K54" s="179">
        <v>0</v>
      </c>
      <c r="L54" s="179">
        <v>0</v>
      </c>
      <c r="M54" s="183">
        <v>-568865</v>
      </c>
      <c r="N54" s="183">
        <v>-1250684</v>
      </c>
    </row>
    <row r="55" spans="1:14" s="156" customFormat="1" x14ac:dyDescent="0.25">
      <c r="A55" s="156" t="s">
        <v>542</v>
      </c>
      <c r="B55" s="156" t="s">
        <v>194</v>
      </c>
      <c r="C55" s="156" t="s">
        <v>195</v>
      </c>
      <c r="D55" s="156" t="s">
        <v>541</v>
      </c>
      <c r="E55" s="179">
        <v>681819</v>
      </c>
      <c r="F55" s="179">
        <v>681819</v>
      </c>
      <c r="G55" s="179">
        <v>0</v>
      </c>
      <c r="H55" s="179">
        <v>0</v>
      </c>
      <c r="I55" s="179">
        <v>1250684</v>
      </c>
      <c r="J55" s="179">
        <v>0</v>
      </c>
      <c r="K55" s="179">
        <v>0</v>
      </c>
      <c r="L55" s="179">
        <v>0</v>
      </c>
      <c r="M55" s="183">
        <v>-568865</v>
      </c>
      <c r="N55" s="183">
        <v>-1250684</v>
      </c>
    </row>
    <row r="56" spans="1:14" s="156" customFormat="1" x14ac:dyDescent="0.25">
      <c r="A56" s="156" t="s">
        <v>542</v>
      </c>
      <c r="B56" s="156" t="s">
        <v>196</v>
      </c>
      <c r="C56" s="156" t="s">
        <v>197</v>
      </c>
      <c r="D56" s="156" t="s">
        <v>541</v>
      </c>
      <c r="E56" s="179">
        <v>1000000</v>
      </c>
      <c r="F56" s="179">
        <v>1000000</v>
      </c>
      <c r="G56" s="179">
        <v>0</v>
      </c>
      <c r="H56" s="179">
        <v>0</v>
      </c>
      <c r="I56" s="179">
        <v>800000</v>
      </c>
      <c r="J56" s="179">
        <v>0</v>
      </c>
      <c r="K56" s="179">
        <v>0</v>
      </c>
      <c r="L56" s="179">
        <v>0</v>
      </c>
      <c r="M56" s="179">
        <v>200000</v>
      </c>
      <c r="N56" s="183">
        <v>-800000</v>
      </c>
    </row>
    <row r="57" spans="1:14" s="156" customFormat="1" x14ac:dyDescent="0.25">
      <c r="A57" s="156" t="s">
        <v>542</v>
      </c>
      <c r="B57" s="156" t="s">
        <v>198</v>
      </c>
      <c r="C57" s="156" t="s">
        <v>199</v>
      </c>
      <c r="D57" s="156" t="s">
        <v>541</v>
      </c>
      <c r="E57" s="179">
        <v>1000000</v>
      </c>
      <c r="F57" s="179">
        <v>1000000</v>
      </c>
      <c r="G57" s="179">
        <v>0</v>
      </c>
      <c r="H57" s="179">
        <v>0</v>
      </c>
      <c r="I57" s="179">
        <v>800000</v>
      </c>
      <c r="J57" s="179">
        <v>0</v>
      </c>
      <c r="K57" s="179">
        <v>0</v>
      </c>
      <c r="L57" s="179">
        <v>0</v>
      </c>
      <c r="M57" s="179">
        <v>200000</v>
      </c>
      <c r="N57" s="183">
        <v>-800000</v>
      </c>
    </row>
    <row r="58" spans="1:14" s="156" customFormat="1" x14ac:dyDescent="0.25">
      <c r="A58" s="156" t="s">
        <v>542</v>
      </c>
      <c r="B58" s="156" t="s">
        <v>200</v>
      </c>
      <c r="C58" s="156" t="s">
        <v>201</v>
      </c>
      <c r="D58" s="156" t="s">
        <v>541</v>
      </c>
      <c r="E58" s="179">
        <v>42229000</v>
      </c>
      <c r="F58" s="179">
        <v>42229000</v>
      </c>
      <c r="G58" s="179">
        <v>26634000</v>
      </c>
      <c r="H58" s="179">
        <v>616649.75</v>
      </c>
      <c r="I58" s="179">
        <v>3810156.74</v>
      </c>
      <c r="J58" s="179">
        <v>0</v>
      </c>
      <c r="K58" s="179">
        <v>1178882</v>
      </c>
      <c r="L58" s="179">
        <v>719258</v>
      </c>
      <c r="M58" s="179">
        <v>36623311.509999998</v>
      </c>
      <c r="N58" s="179">
        <v>21028311.510000002</v>
      </c>
    </row>
    <row r="59" spans="1:14" s="156" customFormat="1" x14ac:dyDescent="0.25">
      <c r="A59" s="156" t="s">
        <v>542</v>
      </c>
      <c r="B59" s="156" t="s">
        <v>202</v>
      </c>
      <c r="C59" s="156" t="s">
        <v>203</v>
      </c>
      <c r="D59" s="156" t="s">
        <v>541</v>
      </c>
      <c r="E59" s="179">
        <v>17137000</v>
      </c>
      <c r="F59" s="179">
        <v>17137000</v>
      </c>
      <c r="G59" s="179">
        <v>2019000</v>
      </c>
      <c r="H59" s="179">
        <v>0</v>
      </c>
      <c r="I59" s="179">
        <v>1004140</v>
      </c>
      <c r="J59" s="179">
        <v>0</v>
      </c>
      <c r="K59" s="179">
        <v>719258</v>
      </c>
      <c r="L59" s="179">
        <v>719258</v>
      </c>
      <c r="M59" s="179">
        <v>15413602</v>
      </c>
      <c r="N59" s="179">
        <v>295602</v>
      </c>
    </row>
    <row r="60" spans="1:14" s="156" customFormat="1" x14ac:dyDescent="0.25">
      <c r="A60" s="156" t="s">
        <v>542</v>
      </c>
      <c r="B60" s="156" t="s">
        <v>204</v>
      </c>
      <c r="C60" s="156" t="s">
        <v>205</v>
      </c>
      <c r="D60" s="156" t="s">
        <v>541</v>
      </c>
      <c r="E60" s="179">
        <v>11100000</v>
      </c>
      <c r="F60" s="179">
        <v>11100000</v>
      </c>
      <c r="G60" s="179">
        <v>1900000</v>
      </c>
      <c r="H60" s="179">
        <v>0</v>
      </c>
      <c r="I60" s="179">
        <v>956140</v>
      </c>
      <c r="J60" s="179">
        <v>0</v>
      </c>
      <c r="K60" s="179">
        <v>719258</v>
      </c>
      <c r="L60" s="179">
        <v>719258</v>
      </c>
      <c r="M60" s="179">
        <v>9424602</v>
      </c>
      <c r="N60" s="179">
        <v>224602</v>
      </c>
    </row>
    <row r="61" spans="1:14" s="156" customFormat="1" x14ac:dyDescent="0.25">
      <c r="A61" s="156" t="s">
        <v>542</v>
      </c>
      <c r="B61" s="156" t="s">
        <v>206</v>
      </c>
      <c r="C61" s="156" t="s">
        <v>207</v>
      </c>
      <c r="D61" s="156" t="s">
        <v>541</v>
      </c>
      <c r="E61" s="179">
        <v>5000000</v>
      </c>
      <c r="F61" s="179">
        <v>5000000</v>
      </c>
      <c r="G61" s="179">
        <v>0</v>
      </c>
      <c r="H61" s="179">
        <v>0</v>
      </c>
      <c r="I61" s="179">
        <v>0</v>
      </c>
      <c r="J61" s="179">
        <v>0</v>
      </c>
      <c r="K61" s="179">
        <v>0</v>
      </c>
      <c r="L61" s="179">
        <v>0</v>
      </c>
      <c r="M61" s="179">
        <v>5000000</v>
      </c>
      <c r="N61" s="179">
        <v>0</v>
      </c>
    </row>
    <row r="62" spans="1:14" s="156" customFormat="1" x14ac:dyDescent="0.25">
      <c r="A62" s="156" t="s">
        <v>542</v>
      </c>
      <c r="B62" s="156" t="s">
        <v>208</v>
      </c>
      <c r="C62" s="156" t="s">
        <v>209</v>
      </c>
      <c r="D62" s="156" t="s">
        <v>541</v>
      </c>
      <c r="E62" s="179">
        <v>126000</v>
      </c>
      <c r="F62" s="179">
        <v>126000</v>
      </c>
      <c r="G62" s="179">
        <v>119000</v>
      </c>
      <c r="H62" s="179">
        <v>0</v>
      </c>
      <c r="I62" s="179">
        <v>48000</v>
      </c>
      <c r="J62" s="179">
        <v>0</v>
      </c>
      <c r="K62" s="179">
        <v>0</v>
      </c>
      <c r="L62" s="179">
        <v>0</v>
      </c>
      <c r="M62" s="179">
        <v>78000</v>
      </c>
      <c r="N62" s="179">
        <v>71000</v>
      </c>
    </row>
    <row r="63" spans="1:14" s="156" customFormat="1" x14ac:dyDescent="0.25">
      <c r="A63" s="156" t="s">
        <v>542</v>
      </c>
      <c r="B63" s="156" t="s">
        <v>210</v>
      </c>
      <c r="C63" s="156" t="s">
        <v>211</v>
      </c>
      <c r="D63" s="156" t="s">
        <v>541</v>
      </c>
      <c r="E63" s="179">
        <v>911000</v>
      </c>
      <c r="F63" s="179">
        <v>911000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911000</v>
      </c>
      <c r="N63" s="179">
        <v>0</v>
      </c>
    </row>
    <row r="64" spans="1:14" s="156" customFormat="1" x14ac:dyDescent="0.25">
      <c r="A64" s="156" t="s">
        <v>542</v>
      </c>
      <c r="B64" s="156" t="s">
        <v>212</v>
      </c>
      <c r="C64" s="156" t="s">
        <v>213</v>
      </c>
      <c r="D64" s="156" t="s">
        <v>541</v>
      </c>
      <c r="E64" s="179">
        <v>3000000</v>
      </c>
      <c r="F64" s="179">
        <v>3000000</v>
      </c>
      <c r="G64" s="179">
        <v>3000000</v>
      </c>
      <c r="H64" s="179">
        <v>0</v>
      </c>
      <c r="I64" s="179">
        <v>749918</v>
      </c>
      <c r="J64" s="179">
        <v>0</v>
      </c>
      <c r="K64" s="179">
        <v>0</v>
      </c>
      <c r="L64" s="179">
        <v>0</v>
      </c>
      <c r="M64" s="179">
        <v>2250082</v>
      </c>
      <c r="N64" s="179">
        <v>2250082</v>
      </c>
    </row>
    <row r="65" spans="1:14" s="156" customFormat="1" x14ac:dyDescent="0.25">
      <c r="A65" s="156" t="s">
        <v>542</v>
      </c>
      <c r="B65" s="156" t="s">
        <v>214</v>
      </c>
      <c r="C65" s="156" t="s">
        <v>215</v>
      </c>
      <c r="D65" s="156" t="s">
        <v>541</v>
      </c>
      <c r="E65" s="179">
        <v>3000000</v>
      </c>
      <c r="F65" s="179">
        <v>3000000</v>
      </c>
      <c r="G65" s="179">
        <v>3000000</v>
      </c>
      <c r="H65" s="179">
        <v>0</v>
      </c>
      <c r="I65" s="179">
        <v>749918</v>
      </c>
      <c r="J65" s="179">
        <v>0</v>
      </c>
      <c r="K65" s="179">
        <v>0</v>
      </c>
      <c r="L65" s="179">
        <v>0</v>
      </c>
      <c r="M65" s="179">
        <v>2250082</v>
      </c>
      <c r="N65" s="179">
        <v>2250082</v>
      </c>
    </row>
    <row r="66" spans="1:14" s="156" customFormat="1" x14ac:dyDescent="0.25">
      <c r="A66" s="156" t="s">
        <v>542</v>
      </c>
      <c r="B66" s="156" t="s">
        <v>216</v>
      </c>
      <c r="C66" s="156" t="s">
        <v>217</v>
      </c>
      <c r="D66" s="156" t="s">
        <v>541</v>
      </c>
      <c r="E66" s="179">
        <v>936000</v>
      </c>
      <c r="F66" s="179">
        <v>936000</v>
      </c>
      <c r="G66" s="179">
        <v>771000</v>
      </c>
      <c r="H66" s="179">
        <v>0</v>
      </c>
      <c r="I66" s="179">
        <v>0</v>
      </c>
      <c r="J66" s="179">
        <v>0</v>
      </c>
      <c r="K66" s="179">
        <v>0</v>
      </c>
      <c r="L66" s="179">
        <v>0</v>
      </c>
      <c r="M66" s="179">
        <v>936000</v>
      </c>
      <c r="N66" s="179">
        <v>771000</v>
      </c>
    </row>
    <row r="67" spans="1:14" s="156" customFormat="1" x14ac:dyDescent="0.25">
      <c r="A67" s="156" t="s">
        <v>542</v>
      </c>
      <c r="B67" s="156" t="s">
        <v>220</v>
      </c>
      <c r="C67" s="156" t="s">
        <v>221</v>
      </c>
      <c r="D67" s="156" t="s">
        <v>541</v>
      </c>
      <c r="E67" s="179">
        <v>771000</v>
      </c>
      <c r="F67" s="179">
        <v>771000</v>
      </c>
      <c r="G67" s="179">
        <v>771000</v>
      </c>
      <c r="H67" s="179">
        <v>0</v>
      </c>
      <c r="I67" s="179">
        <v>0</v>
      </c>
      <c r="J67" s="179">
        <v>0</v>
      </c>
      <c r="K67" s="179">
        <v>0</v>
      </c>
      <c r="L67" s="179">
        <v>0</v>
      </c>
      <c r="M67" s="179">
        <v>771000</v>
      </c>
      <c r="N67" s="179">
        <v>771000</v>
      </c>
    </row>
    <row r="68" spans="1:14" s="156" customFormat="1" x14ac:dyDescent="0.25">
      <c r="A68" s="156" t="s">
        <v>542</v>
      </c>
      <c r="B68" s="156" t="s">
        <v>224</v>
      </c>
      <c r="C68" s="156" t="s">
        <v>225</v>
      </c>
      <c r="D68" s="156" t="s">
        <v>541</v>
      </c>
      <c r="E68" s="179">
        <v>165000</v>
      </c>
      <c r="F68" s="179">
        <v>165000</v>
      </c>
      <c r="G68" s="179">
        <v>0</v>
      </c>
      <c r="H68" s="179">
        <v>0</v>
      </c>
      <c r="I68" s="179">
        <v>0</v>
      </c>
      <c r="J68" s="179">
        <v>0</v>
      </c>
      <c r="K68" s="179">
        <v>0</v>
      </c>
      <c r="L68" s="179">
        <v>0</v>
      </c>
      <c r="M68" s="179">
        <v>165000</v>
      </c>
      <c r="N68" s="179">
        <v>0</v>
      </c>
    </row>
    <row r="69" spans="1:14" s="156" customFormat="1" x14ac:dyDescent="0.25">
      <c r="A69" s="156" t="s">
        <v>542</v>
      </c>
      <c r="B69" s="156" t="s">
        <v>228</v>
      </c>
      <c r="C69" s="156" t="s">
        <v>229</v>
      </c>
      <c r="D69" s="156" t="s">
        <v>541</v>
      </c>
      <c r="E69" s="179">
        <v>312000</v>
      </c>
      <c r="F69" s="179">
        <v>312000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312000</v>
      </c>
      <c r="N69" s="179">
        <v>0</v>
      </c>
    </row>
    <row r="70" spans="1:14" s="156" customFormat="1" x14ac:dyDescent="0.25">
      <c r="A70" s="156" t="s">
        <v>542</v>
      </c>
      <c r="B70" s="156" t="s">
        <v>230</v>
      </c>
      <c r="C70" s="156" t="s">
        <v>231</v>
      </c>
      <c r="D70" s="156" t="s">
        <v>541</v>
      </c>
      <c r="E70" s="179">
        <v>206000</v>
      </c>
      <c r="F70" s="179">
        <v>206000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206000</v>
      </c>
      <c r="N70" s="179">
        <v>0</v>
      </c>
    </row>
    <row r="71" spans="1:14" s="156" customFormat="1" x14ac:dyDescent="0.25">
      <c r="A71" s="156" t="s">
        <v>542</v>
      </c>
      <c r="B71" s="156" t="s">
        <v>232</v>
      </c>
      <c r="C71" s="156" t="s">
        <v>233</v>
      </c>
      <c r="D71" s="156" t="s">
        <v>541</v>
      </c>
      <c r="E71" s="179">
        <v>106000</v>
      </c>
      <c r="F71" s="179">
        <v>106000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106000</v>
      </c>
      <c r="N71" s="179">
        <v>0</v>
      </c>
    </row>
    <row r="72" spans="1:14" s="156" customFormat="1" x14ac:dyDescent="0.25">
      <c r="A72" s="156" t="s">
        <v>542</v>
      </c>
      <c r="B72" s="156" t="s">
        <v>234</v>
      </c>
      <c r="C72" s="156" t="s">
        <v>601</v>
      </c>
      <c r="D72" s="156" t="s">
        <v>541</v>
      </c>
      <c r="E72" s="179">
        <v>20844000</v>
      </c>
      <c r="F72" s="179">
        <v>20844000</v>
      </c>
      <c r="G72" s="179">
        <v>20844000</v>
      </c>
      <c r="H72" s="179">
        <v>616649.75</v>
      </c>
      <c r="I72" s="179">
        <v>2056098.74</v>
      </c>
      <c r="J72" s="179">
        <v>0</v>
      </c>
      <c r="K72" s="179">
        <v>459624</v>
      </c>
      <c r="L72" s="179">
        <v>0</v>
      </c>
      <c r="M72" s="179">
        <v>17711627.510000002</v>
      </c>
      <c r="N72" s="179">
        <v>17711627.510000002</v>
      </c>
    </row>
    <row r="73" spans="1:14" s="156" customFormat="1" x14ac:dyDescent="0.25">
      <c r="A73" s="156" t="s">
        <v>542</v>
      </c>
      <c r="B73" s="156" t="s">
        <v>235</v>
      </c>
      <c r="C73" s="156" t="s">
        <v>236</v>
      </c>
      <c r="D73" s="156" t="s">
        <v>541</v>
      </c>
      <c r="E73" s="179">
        <v>3000000</v>
      </c>
      <c r="F73" s="179">
        <v>3000000</v>
      </c>
      <c r="G73" s="179">
        <v>3000000</v>
      </c>
      <c r="H73" s="179">
        <v>0</v>
      </c>
      <c r="I73" s="179">
        <v>0</v>
      </c>
      <c r="J73" s="179">
        <v>0</v>
      </c>
      <c r="K73" s="179">
        <v>84624</v>
      </c>
      <c r="L73" s="179">
        <v>0</v>
      </c>
      <c r="M73" s="179">
        <v>2915376</v>
      </c>
      <c r="N73" s="179">
        <v>2915376</v>
      </c>
    </row>
    <row r="74" spans="1:14" s="156" customFormat="1" x14ac:dyDescent="0.25">
      <c r="A74" s="156" t="s">
        <v>542</v>
      </c>
      <c r="B74" s="156" t="s">
        <v>237</v>
      </c>
      <c r="C74" s="156" t="s">
        <v>238</v>
      </c>
      <c r="D74" s="156" t="s">
        <v>541</v>
      </c>
      <c r="E74" s="179">
        <v>271000</v>
      </c>
      <c r="F74" s="179">
        <v>271000</v>
      </c>
      <c r="G74" s="179">
        <v>271000</v>
      </c>
      <c r="H74" s="179">
        <v>0</v>
      </c>
      <c r="I74" s="179">
        <v>0</v>
      </c>
      <c r="J74" s="179">
        <v>0</v>
      </c>
      <c r="K74" s="179">
        <v>0</v>
      </c>
      <c r="L74" s="179">
        <v>0</v>
      </c>
      <c r="M74" s="179">
        <v>271000</v>
      </c>
      <c r="N74" s="179">
        <v>271000</v>
      </c>
    </row>
    <row r="75" spans="1:14" s="156" customFormat="1" x14ac:dyDescent="0.25">
      <c r="A75" s="156" t="s">
        <v>542</v>
      </c>
      <c r="B75" s="156" t="s">
        <v>239</v>
      </c>
      <c r="C75" s="156" t="s">
        <v>240</v>
      </c>
      <c r="D75" s="156" t="s">
        <v>541</v>
      </c>
      <c r="E75" s="179">
        <v>12000000</v>
      </c>
      <c r="F75" s="179">
        <v>12000000</v>
      </c>
      <c r="G75" s="179">
        <v>12000000</v>
      </c>
      <c r="H75" s="179">
        <v>616649.75</v>
      </c>
      <c r="I75" s="179">
        <v>1947079.24</v>
      </c>
      <c r="J75" s="179">
        <v>0</v>
      </c>
      <c r="K75" s="179">
        <v>375000</v>
      </c>
      <c r="L75" s="179">
        <v>0</v>
      </c>
      <c r="M75" s="179">
        <v>9061271.0099999998</v>
      </c>
      <c r="N75" s="179">
        <v>9061271.0099999998</v>
      </c>
    </row>
    <row r="76" spans="1:14" s="156" customFormat="1" x14ac:dyDescent="0.25">
      <c r="A76" s="156" t="s">
        <v>542</v>
      </c>
      <c r="B76" s="156" t="s">
        <v>241</v>
      </c>
      <c r="C76" s="156" t="s">
        <v>242</v>
      </c>
      <c r="D76" s="156" t="s">
        <v>541</v>
      </c>
      <c r="E76" s="179">
        <v>1445000</v>
      </c>
      <c r="F76" s="179">
        <v>1445000</v>
      </c>
      <c r="G76" s="179">
        <v>1445000</v>
      </c>
      <c r="H76" s="179">
        <v>0</v>
      </c>
      <c r="I76" s="179">
        <v>0</v>
      </c>
      <c r="J76" s="179">
        <v>0</v>
      </c>
      <c r="K76" s="179">
        <v>0</v>
      </c>
      <c r="L76" s="179">
        <v>0</v>
      </c>
      <c r="M76" s="179">
        <v>1445000</v>
      </c>
      <c r="N76" s="179">
        <v>1445000</v>
      </c>
    </row>
    <row r="77" spans="1:14" s="156" customFormat="1" x14ac:dyDescent="0.25">
      <c r="A77" s="156" t="s">
        <v>542</v>
      </c>
      <c r="B77" s="156" t="s">
        <v>243</v>
      </c>
      <c r="C77" s="156" t="s">
        <v>244</v>
      </c>
      <c r="D77" s="156" t="s">
        <v>541</v>
      </c>
      <c r="E77" s="179">
        <v>2500000</v>
      </c>
      <c r="F77" s="179">
        <v>2500000</v>
      </c>
      <c r="G77" s="179">
        <v>2500000</v>
      </c>
      <c r="H77" s="179">
        <v>0</v>
      </c>
      <c r="I77" s="179">
        <v>0</v>
      </c>
      <c r="J77" s="179">
        <v>0</v>
      </c>
      <c r="K77" s="179">
        <v>0</v>
      </c>
      <c r="L77" s="179">
        <v>0</v>
      </c>
      <c r="M77" s="179">
        <v>2500000</v>
      </c>
      <c r="N77" s="179">
        <v>2500000</v>
      </c>
    </row>
    <row r="78" spans="1:14" s="156" customFormat="1" x14ac:dyDescent="0.25">
      <c r="A78" s="156" t="s">
        <v>542</v>
      </c>
      <c r="B78" s="156" t="s">
        <v>245</v>
      </c>
      <c r="C78" s="156" t="s">
        <v>246</v>
      </c>
      <c r="D78" s="156" t="s">
        <v>541</v>
      </c>
      <c r="E78" s="179">
        <v>66000</v>
      </c>
      <c r="F78" s="179">
        <v>66000</v>
      </c>
      <c r="G78" s="179">
        <v>66000</v>
      </c>
      <c r="H78" s="179">
        <v>0</v>
      </c>
      <c r="I78" s="179">
        <v>0</v>
      </c>
      <c r="J78" s="179">
        <v>0</v>
      </c>
      <c r="K78" s="179">
        <v>0</v>
      </c>
      <c r="L78" s="179">
        <v>0</v>
      </c>
      <c r="M78" s="179">
        <v>66000</v>
      </c>
      <c r="N78" s="179">
        <v>66000</v>
      </c>
    </row>
    <row r="79" spans="1:14" s="156" customFormat="1" x14ac:dyDescent="0.25">
      <c r="A79" s="156" t="s">
        <v>542</v>
      </c>
      <c r="B79" s="156" t="s">
        <v>247</v>
      </c>
      <c r="C79" s="156" t="s">
        <v>248</v>
      </c>
      <c r="D79" s="156" t="s">
        <v>541</v>
      </c>
      <c r="E79" s="179">
        <v>562000</v>
      </c>
      <c r="F79" s="179">
        <v>562000</v>
      </c>
      <c r="G79" s="179">
        <v>562000</v>
      </c>
      <c r="H79" s="179">
        <v>0</v>
      </c>
      <c r="I79" s="179">
        <v>0</v>
      </c>
      <c r="J79" s="179">
        <v>0</v>
      </c>
      <c r="K79" s="179">
        <v>0</v>
      </c>
      <c r="L79" s="179">
        <v>0</v>
      </c>
      <c r="M79" s="179">
        <v>562000</v>
      </c>
      <c r="N79" s="179">
        <v>562000</v>
      </c>
    </row>
    <row r="80" spans="1:14" s="156" customFormat="1" x14ac:dyDescent="0.25">
      <c r="A80" s="156" t="s">
        <v>542</v>
      </c>
      <c r="B80" s="156" t="s">
        <v>249</v>
      </c>
      <c r="C80" s="156" t="s">
        <v>250</v>
      </c>
      <c r="D80" s="156" t="s">
        <v>541</v>
      </c>
      <c r="E80" s="179">
        <v>1000000</v>
      </c>
      <c r="F80" s="179">
        <v>1000000</v>
      </c>
      <c r="G80" s="179">
        <v>1000000</v>
      </c>
      <c r="H80" s="179">
        <v>0</v>
      </c>
      <c r="I80" s="179">
        <v>109019.5</v>
      </c>
      <c r="J80" s="179">
        <v>0</v>
      </c>
      <c r="K80" s="179">
        <v>0</v>
      </c>
      <c r="L80" s="179">
        <v>0</v>
      </c>
      <c r="M80" s="179">
        <v>890980.5</v>
      </c>
      <c r="N80" s="179">
        <v>890980.5</v>
      </c>
    </row>
    <row r="81" spans="1:14" s="156" customFormat="1" x14ac:dyDescent="0.25">
      <c r="A81" s="156" t="s">
        <v>542</v>
      </c>
      <c r="B81" s="156" t="s">
        <v>279</v>
      </c>
      <c r="C81" s="156" t="s">
        <v>280</v>
      </c>
      <c r="D81" s="156" t="s">
        <v>543</v>
      </c>
      <c r="E81" s="179">
        <v>17098648</v>
      </c>
      <c r="F81" s="179">
        <v>17098648</v>
      </c>
      <c r="G81" s="179">
        <v>4274662</v>
      </c>
      <c r="H81" s="179">
        <v>0</v>
      </c>
      <c r="I81" s="179">
        <v>0</v>
      </c>
      <c r="J81" s="179">
        <v>0</v>
      </c>
      <c r="K81" s="179">
        <v>0</v>
      </c>
      <c r="L81" s="179">
        <v>0</v>
      </c>
      <c r="M81" s="179">
        <v>17098648</v>
      </c>
      <c r="N81" s="179">
        <v>4274662</v>
      </c>
    </row>
    <row r="82" spans="1:14" s="156" customFormat="1" x14ac:dyDescent="0.25">
      <c r="A82" s="156" t="s">
        <v>542</v>
      </c>
      <c r="B82" s="156" t="s">
        <v>281</v>
      </c>
      <c r="C82" s="156" t="s">
        <v>282</v>
      </c>
      <c r="D82" s="156" t="s">
        <v>543</v>
      </c>
      <c r="E82" s="179">
        <v>16598648</v>
      </c>
      <c r="F82" s="179">
        <v>16598648</v>
      </c>
      <c r="G82" s="179">
        <v>3774662</v>
      </c>
      <c r="H82" s="179">
        <v>0</v>
      </c>
      <c r="I82" s="179">
        <v>0</v>
      </c>
      <c r="J82" s="179">
        <v>0</v>
      </c>
      <c r="K82" s="179">
        <v>0</v>
      </c>
      <c r="L82" s="179">
        <v>0</v>
      </c>
      <c r="M82" s="179">
        <v>16598648</v>
      </c>
      <c r="N82" s="179">
        <v>3774662</v>
      </c>
    </row>
    <row r="83" spans="1:14" s="156" customFormat="1" x14ac:dyDescent="0.25">
      <c r="A83" s="156" t="s">
        <v>542</v>
      </c>
      <c r="B83" s="156" t="s">
        <v>283</v>
      </c>
      <c r="C83" s="156" t="s">
        <v>284</v>
      </c>
      <c r="D83" s="156" t="s">
        <v>543</v>
      </c>
      <c r="E83" s="179">
        <v>3000000</v>
      </c>
      <c r="F83" s="179">
        <v>3000000</v>
      </c>
      <c r="G83" s="179">
        <v>513662</v>
      </c>
      <c r="H83" s="179">
        <v>0</v>
      </c>
      <c r="I83" s="179">
        <v>0</v>
      </c>
      <c r="J83" s="179">
        <v>0</v>
      </c>
      <c r="K83" s="179">
        <v>0</v>
      </c>
      <c r="L83" s="179">
        <v>0</v>
      </c>
      <c r="M83" s="179">
        <v>3000000</v>
      </c>
      <c r="N83" s="179">
        <v>513662</v>
      </c>
    </row>
    <row r="84" spans="1:14" s="156" customFormat="1" x14ac:dyDescent="0.25">
      <c r="A84" s="156" t="s">
        <v>542</v>
      </c>
      <c r="B84" s="156" t="s">
        <v>285</v>
      </c>
      <c r="C84" s="156" t="s">
        <v>286</v>
      </c>
      <c r="D84" s="156" t="s">
        <v>543</v>
      </c>
      <c r="E84" s="179">
        <v>4000000</v>
      </c>
      <c r="F84" s="179">
        <v>4000000</v>
      </c>
      <c r="G84" s="179">
        <v>0</v>
      </c>
      <c r="H84" s="179">
        <v>0</v>
      </c>
      <c r="I84" s="179">
        <v>0</v>
      </c>
      <c r="J84" s="179">
        <v>0</v>
      </c>
      <c r="K84" s="179">
        <v>0</v>
      </c>
      <c r="L84" s="179">
        <v>0</v>
      </c>
      <c r="M84" s="179">
        <v>4000000</v>
      </c>
      <c r="N84" s="179">
        <v>0</v>
      </c>
    </row>
    <row r="85" spans="1:14" s="156" customFormat="1" x14ac:dyDescent="0.25">
      <c r="A85" s="156" t="s">
        <v>542</v>
      </c>
      <c r="B85" s="156" t="s">
        <v>287</v>
      </c>
      <c r="C85" s="156" t="s">
        <v>288</v>
      </c>
      <c r="D85" s="156" t="s">
        <v>543</v>
      </c>
      <c r="E85" s="179">
        <v>6337648</v>
      </c>
      <c r="F85" s="179">
        <v>6337648</v>
      </c>
      <c r="G85" s="179">
        <v>0</v>
      </c>
      <c r="H85" s="179">
        <v>0</v>
      </c>
      <c r="I85" s="179">
        <v>0</v>
      </c>
      <c r="J85" s="179">
        <v>0</v>
      </c>
      <c r="K85" s="179">
        <v>0</v>
      </c>
      <c r="L85" s="179">
        <v>0</v>
      </c>
      <c r="M85" s="179">
        <v>6337648</v>
      </c>
      <c r="N85" s="179">
        <v>0</v>
      </c>
    </row>
    <row r="86" spans="1:14" s="156" customFormat="1" x14ac:dyDescent="0.25">
      <c r="A86" s="156" t="s">
        <v>542</v>
      </c>
      <c r="B86" s="156" t="s">
        <v>293</v>
      </c>
      <c r="C86" s="156" t="s">
        <v>294</v>
      </c>
      <c r="D86" s="156" t="s">
        <v>543</v>
      </c>
      <c r="E86" s="179">
        <v>2261000</v>
      </c>
      <c r="F86" s="179">
        <v>2261000</v>
      </c>
      <c r="G86" s="179">
        <v>2261000</v>
      </c>
      <c r="H86" s="179">
        <v>0</v>
      </c>
      <c r="I86" s="179">
        <v>0</v>
      </c>
      <c r="J86" s="179">
        <v>0</v>
      </c>
      <c r="K86" s="179">
        <v>0</v>
      </c>
      <c r="L86" s="179">
        <v>0</v>
      </c>
      <c r="M86" s="179">
        <v>2261000</v>
      </c>
      <c r="N86" s="179">
        <v>2261000</v>
      </c>
    </row>
    <row r="87" spans="1:14" s="156" customFormat="1" x14ac:dyDescent="0.25">
      <c r="A87" s="156" t="s">
        <v>542</v>
      </c>
      <c r="B87" s="156" t="s">
        <v>295</v>
      </c>
      <c r="C87" s="156" t="s">
        <v>296</v>
      </c>
      <c r="D87" s="156" t="s">
        <v>543</v>
      </c>
      <c r="E87" s="179">
        <v>1000000</v>
      </c>
      <c r="F87" s="179">
        <v>1000000</v>
      </c>
      <c r="G87" s="179">
        <v>1000000</v>
      </c>
      <c r="H87" s="179">
        <v>0</v>
      </c>
      <c r="I87" s="179">
        <v>0</v>
      </c>
      <c r="J87" s="179">
        <v>0</v>
      </c>
      <c r="K87" s="179">
        <v>0</v>
      </c>
      <c r="L87" s="179">
        <v>0</v>
      </c>
      <c r="M87" s="179">
        <v>1000000</v>
      </c>
      <c r="N87" s="179">
        <v>1000000</v>
      </c>
    </row>
    <row r="88" spans="1:14" s="156" customFormat="1" x14ac:dyDescent="0.25">
      <c r="A88" s="156" t="s">
        <v>542</v>
      </c>
      <c r="B88" s="156" t="s">
        <v>340</v>
      </c>
      <c r="C88" s="156" t="s">
        <v>341</v>
      </c>
      <c r="D88" s="156" t="s">
        <v>543</v>
      </c>
      <c r="E88" s="179">
        <v>500000</v>
      </c>
      <c r="F88" s="179">
        <v>500000</v>
      </c>
      <c r="G88" s="179">
        <v>500000</v>
      </c>
      <c r="H88" s="179">
        <v>0</v>
      </c>
      <c r="I88" s="179">
        <v>0</v>
      </c>
      <c r="J88" s="179">
        <v>0</v>
      </c>
      <c r="K88" s="179">
        <v>0</v>
      </c>
      <c r="L88" s="179">
        <v>0</v>
      </c>
      <c r="M88" s="179">
        <v>500000</v>
      </c>
      <c r="N88" s="179">
        <v>500000</v>
      </c>
    </row>
    <row r="89" spans="1:14" s="156" customFormat="1" x14ac:dyDescent="0.25">
      <c r="A89" s="156" t="s">
        <v>542</v>
      </c>
      <c r="B89" s="156" t="s">
        <v>342</v>
      </c>
      <c r="C89" s="156" t="s">
        <v>343</v>
      </c>
      <c r="D89" s="156" t="s">
        <v>543</v>
      </c>
      <c r="E89" s="179">
        <v>500000</v>
      </c>
      <c r="F89" s="179">
        <v>500000</v>
      </c>
      <c r="G89" s="179">
        <v>500000</v>
      </c>
      <c r="H89" s="179">
        <v>0</v>
      </c>
      <c r="I89" s="179">
        <v>0</v>
      </c>
      <c r="J89" s="179">
        <v>0</v>
      </c>
      <c r="K89" s="179">
        <v>0</v>
      </c>
      <c r="L89" s="179">
        <v>0</v>
      </c>
      <c r="M89" s="179">
        <v>500000</v>
      </c>
      <c r="N89" s="179">
        <v>500000</v>
      </c>
    </row>
    <row r="90" spans="1:14" s="156" customFormat="1" x14ac:dyDescent="0.25">
      <c r="A90" s="156" t="s">
        <v>542</v>
      </c>
      <c r="B90" s="156" t="s">
        <v>251</v>
      </c>
      <c r="C90" s="156" t="s">
        <v>252</v>
      </c>
      <c r="D90" s="156" t="s">
        <v>541</v>
      </c>
      <c r="E90" s="179">
        <v>731283000</v>
      </c>
      <c r="F90" s="179">
        <v>731283000</v>
      </c>
      <c r="G90" s="179">
        <v>214777250</v>
      </c>
      <c r="H90" s="179">
        <v>0</v>
      </c>
      <c r="I90" s="179">
        <v>58121011.740000002</v>
      </c>
      <c r="J90" s="179">
        <v>0</v>
      </c>
      <c r="K90" s="179">
        <v>128763351.26000001</v>
      </c>
      <c r="L90" s="179">
        <v>128763351.26000001</v>
      </c>
      <c r="M90" s="179">
        <v>544398637</v>
      </c>
      <c r="N90" s="179">
        <v>27892887</v>
      </c>
    </row>
    <row r="91" spans="1:14" s="156" customFormat="1" x14ac:dyDescent="0.25">
      <c r="A91" s="156" t="s">
        <v>542</v>
      </c>
      <c r="B91" s="156" t="s">
        <v>253</v>
      </c>
      <c r="C91" s="156" t="s">
        <v>254</v>
      </c>
      <c r="D91" s="156" t="s">
        <v>541</v>
      </c>
      <c r="E91" s="179">
        <v>268185000</v>
      </c>
      <c r="F91" s="179">
        <v>268185000</v>
      </c>
      <c r="G91" s="179">
        <v>79185000</v>
      </c>
      <c r="H91" s="179">
        <v>0</v>
      </c>
      <c r="I91" s="179">
        <v>13017751</v>
      </c>
      <c r="J91" s="179">
        <v>0</v>
      </c>
      <c r="K91" s="179">
        <v>54970384.299999997</v>
      </c>
      <c r="L91" s="179">
        <v>54970384.299999997</v>
      </c>
      <c r="M91" s="179">
        <v>200196864.69999999</v>
      </c>
      <c r="N91" s="179">
        <v>11196864.699999999</v>
      </c>
    </row>
    <row r="92" spans="1:14" s="156" customFormat="1" x14ac:dyDescent="0.25">
      <c r="A92" s="156" t="s">
        <v>542</v>
      </c>
      <c r="B92" s="156" t="s">
        <v>255</v>
      </c>
      <c r="C92" s="156" t="s">
        <v>256</v>
      </c>
      <c r="D92" s="156" t="s">
        <v>541</v>
      </c>
      <c r="E92" s="179">
        <v>2000000</v>
      </c>
      <c r="F92" s="179">
        <v>2000000</v>
      </c>
      <c r="G92" s="179">
        <v>2000000</v>
      </c>
      <c r="H92" s="179">
        <v>0</v>
      </c>
      <c r="I92" s="179">
        <v>0</v>
      </c>
      <c r="J92" s="179">
        <v>0</v>
      </c>
      <c r="K92" s="179">
        <v>2000000</v>
      </c>
      <c r="L92" s="179">
        <v>2000000</v>
      </c>
      <c r="M92" s="179">
        <v>0</v>
      </c>
      <c r="N92" s="179">
        <v>0</v>
      </c>
    </row>
    <row r="93" spans="1:14" s="156" customFormat="1" x14ac:dyDescent="0.25">
      <c r="A93" s="156" t="s">
        <v>542</v>
      </c>
      <c r="B93" s="156" t="s">
        <v>257</v>
      </c>
      <c r="C93" s="156" t="s">
        <v>258</v>
      </c>
      <c r="D93" s="156" t="s">
        <v>541</v>
      </c>
      <c r="E93" s="179">
        <v>250000000</v>
      </c>
      <c r="F93" s="179">
        <v>250000000</v>
      </c>
      <c r="G93" s="179">
        <v>61000000</v>
      </c>
      <c r="H93" s="179">
        <v>0</v>
      </c>
      <c r="I93" s="179">
        <v>0</v>
      </c>
      <c r="J93" s="179">
        <v>0</v>
      </c>
      <c r="K93" s="179">
        <v>49803135.299999997</v>
      </c>
      <c r="L93" s="179">
        <v>49803135.299999997</v>
      </c>
      <c r="M93" s="179">
        <v>200196864.69999999</v>
      </c>
      <c r="N93" s="179">
        <v>11196864.699999999</v>
      </c>
    </row>
    <row r="94" spans="1:14" s="156" customFormat="1" x14ac:dyDescent="0.25">
      <c r="A94" s="156" t="s">
        <v>542</v>
      </c>
      <c r="B94" s="156" t="s">
        <v>259</v>
      </c>
      <c r="C94" s="156" t="s">
        <v>602</v>
      </c>
      <c r="D94" s="156" t="s">
        <v>541</v>
      </c>
      <c r="E94" s="179">
        <v>13470000</v>
      </c>
      <c r="F94" s="179">
        <v>13470000</v>
      </c>
      <c r="G94" s="179">
        <v>13470000</v>
      </c>
      <c r="H94" s="179">
        <v>0</v>
      </c>
      <c r="I94" s="179">
        <v>10834169</v>
      </c>
      <c r="J94" s="179">
        <v>0</v>
      </c>
      <c r="K94" s="179">
        <v>2635831</v>
      </c>
      <c r="L94" s="179">
        <v>2635831</v>
      </c>
      <c r="M94" s="179">
        <v>0</v>
      </c>
      <c r="N94" s="179">
        <v>0</v>
      </c>
    </row>
    <row r="95" spans="1:14" s="156" customFormat="1" x14ac:dyDescent="0.25">
      <c r="A95" s="156" t="s">
        <v>542</v>
      </c>
      <c r="B95" s="156" t="s">
        <v>260</v>
      </c>
      <c r="C95" s="156" t="s">
        <v>603</v>
      </c>
      <c r="D95" s="156" t="s">
        <v>541</v>
      </c>
      <c r="E95" s="179">
        <v>2715000</v>
      </c>
      <c r="F95" s="179">
        <v>2715000</v>
      </c>
      <c r="G95" s="179">
        <v>2715000</v>
      </c>
      <c r="H95" s="179">
        <v>0</v>
      </c>
      <c r="I95" s="179">
        <v>2183582</v>
      </c>
      <c r="J95" s="179">
        <v>0</v>
      </c>
      <c r="K95" s="179">
        <v>531418</v>
      </c>
      <c r="L95" s="179">
        <v>531418</v>
      </c>
      <c r="M95" s="179">
        <v>0</v>
      </c>
      <c r="N95" s="179">
        <v>0</v>
      </c>
    </row>
    <row r="96" spans="1:14" s="156" customFormat="1" x14ac:dyDescent="0.25">
      <c r="A96" s="156" t="s">
        <v>542</v>
      </c>
      <c r="B96" s="156" t="s">
        <v>261</v>
      </c>
      <c r="C96" s="156" t="s">
        <v>262</v>
      </c>
      <c r="D96" s="156" t="s">
        <v>541</v>
      </c>
      <c r="E96" s="179">
        <v>39757000</v>
      </c>
      <c r="F96" s="179">
        <v>39757000</v>
      </c>
      <c r="G96" s="179">
        <v>29757000</v>
      </c>
      <c r="H96" s="179">
        <v>0</v>
      </c>
      <c r="I96" s="179">
        <v>2767291.24</v>
      </c>
      <c r="J96" s="179">
        <v>0</v>
      </c>
      <c r="K96" s="179">
        <v>10293686.460000001</v>
      </c>
      <c r="L96" s="179">
        <v>10293686.460000001</v>
      </c>
      <c r="M96" s="179">
        <v>26696022.300000001</v>
      </c>
      <c r="N96" s="179">
        <v>16696022.300000001</v>
      </c>
    </row>
    <row r="97" spans="1:14" s="156" customFormat="1" x14ac:dyDescent="0.25">
      <c r="A97" s="156" t="s">
        <v>542</v>
      </c>
      <c r="B97" s="156" t="s">
        <v>263</v>
      </c>
      <c r="C97" s="156" t="s">
        <v>264</v>
      </c>
      <c r="D97" s="156" t="s">
        <v>541</v>
      </c>
      <c r="E97" s="179">
        <v>30000000</v>
      </c>
      <c r="F97" s="179">
        <v>30000000</v>
      </c>
      <c r="G97" s="179">
        <v>20000000</v>
      </c>
      <c r="H97" s="179">
        <v>0</v>
      </c>
      <c r="I97" s="179">
        <v>2767291.24</v>
      </c>
      <c r="J97" s="179">
        <v>0</v>
      </c>
      <c r="K97" s="179">
        <v>10078305.460000001</v>
      </c>
      <c r="L97" s="179">
        <v>10078305.460000001</v>
      </c>
      <c r="M97" s="179">
        <v>17154403.300000001</v>
      </c>
      <c r="N97" s="179">
        <v>7154403.2999999998</v>
      </c>
    </row>
    <row r="98" spans="1:14" s="156" customFormat="1" x14ac:dyDescent="0.25">
      <c r="A98" s="156" t="s">
        <v>542</v>
      </c>
      <c r="B98" s="156" t="s">
        <v>265</v>
      </c>
      <c r="C98" s="156" t="s">
        <v>266</v>
      </c>
      <c r="D98" s="156" t="s">
        <v>541</v>
      </c>
      <c r="E98" s="179">
        <v>9757000</v>
      </c>
      <c r="F98" s="179">
        <v>9757000</v>
      </c>
      <c r="G98" s="179">
        <v>9757000</v>
      </c>
      <c r="H98" s="179">
        <v>0</v>
      </c>
      <c r="I98" s="179">
        <v>0</v>
      </c>
      <c r="J98" s="179">
        <v>0</v>
      </c>
      <c r="K98" s="179">
        <v>215381</v>
      </c>
      <c r="L98" s="179">
        <v>215381</v>
      </c>
      <c r="M98" s="179">
        <v>9541619</v>
      </c>
      <c r="N98" s="179">
        <v>9541619</v>
      </c>
    </row>
    <row r="99" spans="1:14" s="156" customFormat="1" x14ac:dyDescent="0.25">
      <c r="A99" s="156" t="s">
        <v>542</v>
      </c>
      <c r="B99" s="156" t="s">
        <v>273</v>
      </c>
      <c r="C99" s="156" t="s">
        <v>274</v>
      </c>
      <c r="D99" s="156" t="s">
        <v>541</v>
      </c>
      <c r="E99" s="179">
        <v>423341000</v>
      </c>
      <c r="F99" s="179">
        <v>423341000</v>
      </c>
      <c r="G99" s="179">
        <v>105835250</v>
      </c>
      <c r="H99" s="179">
        <v>0</v>
      </c>
      <c r="I99" s="179">
        <v>42335969.5</v>
      </c>
      <c r="J99" s="179">
        <v>0</v>
      </c>
      <c r="K99" s="179">
        <v>63499280.5</v>
      </c>
      <c r="L99" s="179">
        <v>63499280.5</v>
      </c>
      <c r="M99" s="179">
        <v>317505750</v>
      </c>
      <c r="N99" s="179">
        <v>0</v>
      </c>
    </row>
    <row r="100" spans="1:14" s="156" customFormat="1" x14ac:dyDescent="0.25">
      <c r="A100" s="156" t="s">
        <v>542</v>
      </c>
      <c r="B100" s="156" t="s">
        <v>275</v>
      </c>
      <c r="C100" s="156" t="s">
        <v>276</v>
      </c>
      <c r="D100" s="156" t="s">
        <v>541</v>
      </c>
      <c r="E100" s="179">
        <v>406300000</v>
      </c>
      <c r="F100" s="179">
        <v>406300000</v>
      </c>
      <c r="G100" s="179">
        <v>88794250</v>
      </c>
      <c r="H100" s="179">
        <v>0</v>
      </c>
      <c r="I100" s="179">
        <v>28794250</v>
      </c>
      <c r="J100" s="179">
        <v>0</v>
      </c>
      <c r="K100" s="179">
        <v>60000000</v>
      </c>
      <c r="L100" s="179">
        <v>60000000</v>
      </c>
      <c r="M100" s="179">
        <v>317505750</v>
      </c>
      <c r="N100" s="179">
        <v>0</v>
      </c>
    </row>
    <row r="101" spans="1:14" s="156" customFormat="1" x14ac:dyDescent="0.25">
      <c r="A101" s="156" t="s">
        <v>542</v>
      </c>
      <c r="B101" s="156" t="s">
        <v>561</v>
      </c>
      <c r="C101" s="156" t="s">
        <v>584</v>
      </c>
      <c r="D101" s="156" t="s">
        <v>541</v>
      </c>
      <c r="E101" s="179">
        <v>13364000</v>
      </c>
      <c r="F101" s="179">
        <v>13364000</v>
      </c>
      <c r="G101" s="179">
        <v>13364000</v>
      </c>
      <c r="H101" s="179">
        <v>0</v>
      </c>
      <c r="I101" s="179">
        <v>13364000</v>
      </c>
      <c r="J101" s="179">
        <v>0</v>
      </c>
      <c r="K101" s="179">
        <v>0</v>
      </c>
      <c r="L101" s="179">
        <v>0</v>
      </c>
      <c r="M101" s="179">
        <v>0</v>
      </c>
      <c r="N101" s="179">
        <v>0</v>
      </c>
    </row>
    <row r="102" spans="1:14" s="156" customFormat="1" x14ac:dyDescent="0.25">
      <c r="A102" s="156" t="s">
        <v>542</v>
      </c>
      <c r="B102" s="156" t="s">
        <v>277</v>
      </c>
      <c r="C102" s="156" t="s">
        <v>278</v>
      </c>
      <c r="D102" s="156" t="s">
        <v>541</v>
      </c>
      <c r="E102" s="179">
        <v>3677000</v>
      </c>
      <c r="F102" s="179">
        <v>3677000</v>
      </c>
      <c r="G102" s="179">
        <v>3677000</v>
      </c>
      <c r="H102" s="179">
        <v>0</v>
      </c>
      <c r="I102" s="179">
        <v>177719.5</v>
      </c>
      <c r="J102" s="179">
        <v>0</v>
      </c>
      <c r="K102" s="179">
        <v>3499280.5</v>
      </c>
      <c r="L102" s="179">
        <v>3499280.5</v>
      </c>
      <c r="M102" s="179">
        <v>0</v>
      </c>
      <c r="N102" s="179">
        <v>0</v>
      </c>
    </row>
    <row r="103" spans="1:14" s="156" customFormat="1" x14ac:dyDescent="0.25">
      <c r="A103" s="156">
        <v>214780</v>
      </c>
      <c r="B103" s="156" t="s">
        <v>587</v>
      </c>
      <c r="C103" s="156" t="s">
        <v>587</v>
      </c>
      <c r="D103" s="156" t="s">
        <v>541</v>
      </c>
      <c r="E103" s="179">
        <v>1241247489</v>
      </c>
      <c r="F103" s="179">
        <v>1241247489</v>
      </c>
      <c r="G103" s="179">
        <v>1033128481.85</v>
      </c>
      <c r="H103" s="179">
        <v>8103642.4800000004</v>
      </c>
      <c r="I103" s="179">
        <v>152846545.09</v>
      </c>
      <c r="J103" s="179">
        <v>371426</v>
      </c>
      <c r="K103" s="182">
        <v>189962074.90000001</v>
      </c>
      <c r="L103" s="179">
        <v>181652548.06</v>
      </c>
      <c r="M103" s="179">
        <v>889963800.52999997</v>
      </c>
      <c r="N103" s="179">
        <v>681844793.38</v>
      </c>
    </row>
    <row r="104" spans="1:14" s="156" customFormat="1" x14ac:dyDescent="0.25">
      <c r="A104" s="156" t="s">
        <v>544</v>
      </c>
      <c r="B104" s="156" t="s">
        <v>92</v>
      </c>
      <c r="C104" s="156" t="s">
        <v>93</v>
      </c>
      <c r="D104" s="156" t="s">
        <v>541</v>
      </c>
      <c r="E104" s="179">
        <v>953910000</v>
      </c>
      <c r="F104" s="179">
        <v>953910000</v>
      </c>
      <c r="G104" s="179">
        <v>953560000</v>
      </c>
      <c r="H104" s="179">
        <v>0</v>
      </c>
      <c r="I104" s="179">
        <v>116910335</v>
      </c>
      <c r="J104" s="179">
        <v>0</v>
      </c>
      <c r="K104" s="179">
        <v>167861602.88</v>
      </c>
      <c r="L104" s="179">
        <v>167861602.88</v>
      </c>
      <c r="M104" s="179">
        <v>669138062.12</v>
      </c>
      <c r="N104" s="179">
        <v>668788062.12</v>
      </c>
    </row>
    <row r="105" spans="1:14" s="156" customFormat="1" x14ac:dyDescent="0.25">
      <c r="A105" s="156" t="s">
        <v>544</v>
      </c>
      <c r="B105" s="156" t="s">
        <v>94</v>
      </c>
      <c r="C105" s="156" t="s">
        <v>95</v>
      </c>
      <c r="D105" s="156" t="s">
        <v>541</v>
      </c>
      <c r="E105" s="179">
        <v>383841000</v>
      </c>
      <c r="F105" s="179">
        <v>383841000</v>
      </c>
      <c r="G105" s="179">
        <v>383841000</v>
      </c>
      <c r="H105" s="179">
        <v>0</v>
      </c>
      <c r="I105" s="179">
        <v>0</v>
      </c>
      <c r="J105" s="179">
        <v>0</v>
      </c>
      <c r="K105" s="179">
        <v>53762987.310000002</v>
      </c>
      <c r="L105" s="179">
        <v>53762987.310000002</v>
      </c>
      <c r="M105" s="179">
        <v>330078012.69</v>
      </c>
      <c r="N105" s="179">
        <v>330078012.69</v>
      </c>
    </row>
    <row r="106" spans="1:14" s="156" customFormat="1" x14ac:dyDescent="0.25">
      <c r="A106" s="156" t="s">
        <v>544</v>
      </c>
      <c r="B106" s="156" t="s">
        <v>96</v>
      </c>
      <c r="C106" s="156" t="s">
        <v>97</v>
      </c>
      <c r="D106" s="156" t="s">
        <v>541</v>
      </c>
      <c r="E106" s="179">
        <v>383841000</v>
      </c>
      <c r="F106" s="179">
        <v>383841000</v>
      </c>
      <c r="G106" s="179">
        <v>383841000</v>
      </c>
      <c r="H106" s="179">
        <v>0</v>
      </c>
      <c r="I106" s="179">
        <v>0</v>
      </c>
      <c r="J106" s="179">
        <v>0</v>
      </c>
      <c r="K106" s="179">
        <v>53762987.310000002</v>
      </c>
      <c r="L106" s="179">
        <v>53762987.310000002</v>
      </c>
      <c r="M106" s="179">
        <v>330078012.69</v>
      </c>
      <c r="N106" s="179">
        <v>330078012.69</v>
      </c>
    </row>
    <row r="107" spans="1:14" s="156" customFormat="1" x14ac:dyDescent="0.25">
      <c r="A107" s="156" t="s">
        <v>544</v>
      </c>
      <c r="B107" s="156" t="s">
        <v>102</v>
      </c>
      <c r="C107" s="156" t="s">
        <v>103</v>
      </c>
      <c r="D107" s="156" t="s">
        <v>541</v>
      </c>
      <c r="E107" s="179">
        <v>425514000</v>
      </c>
      <c r="F107" s="179">
        <v>425514000</v>
      </c>
      <c r="G107" s="179">
        <v>425164000</v>
      </c>
      <c r="H107" s="179">
        <v>0</v>
      </c>
      <c r="I107" s="179">
        <v>0</v>
      </c>
      <c r="J107" s="179">
        <v>0</v>
      </c>
      <c r="K107" s="179">
        <v>86453950.569999993</v>
      </c>
      <c r="L107" s="179">
        <v>86453950.569999993</v>
      </c>
      <c r="M107" s="179">
        <v>339060049.43000001</v>
      </c>
      <c r="N107" s="179">
        <v>338710049.43000001</v>
      </c>
    </row>
    <row r="108" spans="1:14" s="156" customFormat="1" x14ac:dyDescent="0.25">
      <c r="A108" s="156" t="s">
        <v>544</v>
      </c>
      <c r="B108" s="156" t="s">
        <v>104</v>
      </c>
      <c r="C108" s="156" t="s">
        <v>105</v>
      </c>
      <c r="D108" s="156" t="s">
        <v>541</v>
      </c>
      <c r="E108" s="179">
        <v>70660000</v>
      </c>
      <c r="F108" s="179">
        <v>70660000</v>
      </c>
      <c r="G108" s="179">
        <v>70660000</v>
      </c>
      <c r="H108" s="179">
        <v>0</v>
      </c>
      <c r="I108" s="179">
        <v>0</v>
      </c>
      <c r="J108" s="179">
        <v>0</v>
      </c>
      <c r="K108" s="179">
        <v>9469408.5800000001</v>
      </c>
      <c r="L108" s="179">
        <v>9469408.5800000001</v>
      </c>
      <c r="M108" s="179">
        <v>61190591.420000002</v>
      </c>
      <c r="N108" s="179">
        <v>61190591.420000002</v>
      </c>
    </row>
    <row r="109" spans="1:14" s="156" customFormat="1" x14ac:dyDescent="0.25">
      <c r="A109" s="156" t="s">
        <v>544</v>
      </c>
      <c r="B109" s="156" t="s">
        <v>106</v>
      </c>
      <c r="C109" s="156" t="s">
        <v>107</v>
      </c>
      <c r="D109" s="156" t="s">
        <v>541</v>
      </c>
      <c r="E109" s="179">
        <v>211191000</v>
      </c>
      <c r="F109" s="179">
        <v>211191000</v>
      </c>
      <c r="G109" s="179">
        <v>211191000</v>
      </c>
      <c r="H109" s="179">
        <v>0</v>
      </c>
      <c r="I109" s="179">
        <v>0</v>
      </c>
      <c r="J109" s="179">
        <v>0</v>
      </c>
      <c r="K109" s="179">
        <v>27303976.559999999</v>
      </c>
      <c r="L109" s="179">
        <v>27303976.559999999</v>
      </c>
      <c r="M109" s="179">
        <v>183887023.44</v>
      </c>
      <c r="N109" s="179">
        <v>183887023.44</v>
      </c>
    </row>
    <row r="110" spans="1:14" s="156" customFormat="1" x14ac:dyDescent="0.25">
      <c r="A110" s="156" t="s">
        <v>544</v>
      </c>
      <c r="B110" s="156" t="s">
        <v>112</v>
      </c>
      <c r="C110" s="156" t="s">
        <v>113</v>
      </c>
      <c r="D110" s="156" t="s">
        <v>543</v>
      </c>
      <c r="E110" s="179">
        <v>61518000</v>
      </c>
      <c r="F110" s="179">
        <v>61518000</v>
      </c>
      <c r="G110" s="179">
        <v>61518000</v>
      </c>
      <c r="H110" s="179">
        <v>0</v>
      </c>
      <c r="I110" s="179">
        <v>0</v>
      </c>
      <c r="J110" s="179">
        <v>0</v>
      </c>
      <c r="K110" s="179">
        <v>0</v>
      </c>
      <c r="L110" s="179">
        <v>0</v>
      </c>
      <c r="M110" s="179">
        <v>61518000</v>
      </c>
      <c r="N110" s="179">
        <v>61518000</v>
      </c>
    </row>
    <row r="111" spans="1:14" s="156" customFormat="1" x14ac:dyDescent="0.25">
      <c r="A111" s="156" t="s">
        <v>544</v>
      </c>
      <c r="B111" s="156" t="s">
        <v>108</v>
      </c>
      <c r="C111" s="156" t="s">
        <v>109</v>
      </c>
      <c r="D111" s="156" t="s">
        <v>541</v>
      </c>
      <c r="E111" s="179">
        <v>46480000</v>
      </c>
      <c r="F111" s="179">
        <v>46480000</v>
      </c>
      <c r="G111" s="179">
        <v>46480000</v>
      </c>
      <c r="H111" s="179">
        <v>0</v>
      </c>
      <c r="I111" s="179">
        <v>0</v>
      </c>
      <c r="J111" s="179">
        <v>0</v>
      </c>
      <c r="K111" s="179">
        <v>44448031.07</v>
      </c>
      <c r="L111" s="179">
        <v>44448031.07</v>
      </c>
      <c r="M111" s="179">
        <v>2031968.93</v>
      </c>
      <c r="N111" s="179">
        <v>2031968.93</v>
      </c>
    </row>
    <row r="112" spans="1:14" s="156" customFormat="1" x14ac:dyDescent="0.25">
      <c r="A112" s="156" t="s">
        <v>544</v>
      </c>
      <c r="B112" s="156" t="s">
        <v>110</v>
      </c>
      <c r="C112" s="156" t="s">
        <v>111</v>
      </c>
      <c r="D112" s="156" t="s">
        <v>541</v>
      </c>
      <c r="E112" s="179">
        <v>35665000</v>
      </c>
      <c r="F112" s="179">
        <v>35665000</v>
      </c>
      <c r="G112" s="179">
        <v>35315000</v>
      </c>
      <c r="H112" s="179">
        <v>0</v>
      </c>
      <c r="I112" s="179">
        <v>0</v>
      </c>
      <c r="J112" s="179">
        <v>0</v>
      </c>
      <c r="K112" s="179">
        <v>5232534.3600000003</v>
      </c>
      <c r="L112" s="179">
        <v>5232534.3600000003</v>
      </c>
      <c r="M112" s="179">
        <v>30432465.640000001</v>
      </c>
      <c r="N112" s="179">
        <v>30082465.640000001</v>
      </c>
    </row>
    <row r="113" spans="1:14" s="156" customFormat="1" x14ac:dyDescent="0.25">
      <c r="A113" s="156" t="s">
        <v>544</v>
      </c>
      <c r="B113" s="156" t="s">
        <v>114</v>
      </c>
      <c r="C113" s="156" t="s">
        <v>115</v>
      </c>
      <c r="D113" s="156" t="s">
        <v>541</v>
      </c>
      <c r="E113" s="179">
        <v>72913000</v>
      </c>
      <c r="F113" s="179">
        <v>72913000</v>
      </c>
      <c r="G113" s="179">
        <v>72913000</v>
      </c>
      <c r="H113" s="179">
        <v>0</v>
      </c>
      <c r="I113" s="179">
        <v>58967541</v>
      </c>
      <c r="J113" s="179">
        <v>0</v>
      </c>
      <c r="K113" s="179">
        <v>13945459</v>
      </c>
      <c r="L113" s="179">
        <v>13945459</v>
      </c>
      <c r="M113" s="179">
        <v>0</v>
      </c>
      <c r="N113" s="179">
        <v>0</v>
      </c>
    </row>
    <row r="114" spans="1:14" s="156" customFormat="1" x14ac:dyDescent="0.25">
      <c r="A114" s="156" t="s">
        <v>544</v>
      </c>
      <c r="B114" s="156" t="s">
        <v>301</v>
      </c>
      <c r="C114" s="156" t="s">
        <v>597</v>
      </c>
      <c r="D114" s="156" t="s">
        <v>541</v>
      </c>
      <c r="E114" s="179">
        <v>69174000</v>
      </c>
      <c r="F114" s="179">
        <v>69174000</v>
      </c>
      <c r="G114" s="179">
        <v>69174000</v>
      </c>
      <c r="H114" s="179">
        <v>0</v>
      </c>
      <c r="I114" s="179">
        <v>55943446</v>
      </c>
      <c r="J114" s="179">
        <v>0</v>
      </c>
      <c r="K114" s="179">
        <v>13230554</v>
      </c>
      <c r="L114" s="179">
        <v>13230554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302</v>
      </c>
      <c r="C115" s="156" t="s">
        <v>583</v>
      </c>
      <c r="D115" s="156" t="s">
        <v>541</v>
      </c>
      <c r="E115" s="179">
        <v>3739000</v>
      </c>
      <c r="F115" s="179">
        <v>3739000</v>
      </c>
      <c r="G115" s="179">
        <v>3739000</v>
      </c>
      <c r="H115" s="179">
        <v>0</v>
      </c>
      <c r="I115" s="179">
        <v>3024095</v>
      </c>
      <c r="J115" s="179">
        <v>0</v>
      </c>
      <c r="K115" s="179">
        <v>714905</v>
      </c>
      <c r="L115" s="179">
        <v>714905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118</v>
      </c>
      <c r="C116" s="156" t="s">
        <v>119</v>
      </c>
      <c r="D116" s="156" t="s">
        <v>541</v>
      </c>
      <c r="E116" s="179">
        <v>71642000</v>
      </c>
      <c r="F116" s="179">
        <v>71642000</v>
      </c>
      <c r="G116" s="179">
        <v>71642000</v>
      </c>
      <c r="H116" s="179">
        <v>0</v>
      </c>
      <c r="I116" s="179">
        <v>57942794</v>
      </c>
      <c r="J116" s="179">
        <v>0</v>
      </c>
      <c r="K116" s="179">
        <v>13699206</v>
      </c>
      <c r="L116" s="179">
        <v>13699206</v>
      </c>
      <c r="M116" s="179">
        <v>0</v>
      </c>
      <c r="N116" s="179">
        <v>0</v>
      </c>
    </row>
    <row r="117" spans="1:14" s="156" customFormat="1" x14ac:dyDescent="0.25">
      <c r="A117" s="156" t="s">
        <v>544</v>
      </c>
      <c r="B117" s="156" t="s">
        <v>303</v>
      </c>
      <c r="C117" s="156" t="s">
        <v>598</v>
      </c>
      <c r="D117" s="156" t="s">
        <v>541</v>
      </c>
      <c r="E117" s="179">
        <v>37990000</v>
      </c>
      <c r="F117" s="179">
        <v>37990000</v>
      </c>
      <c r="G117" s="179">
        <v>37990000</v>
      </c>
      <c r="H117" s="179">
        <v>0</v>
      </c>
      <c r="I117" s="179">
        <v>30724908</v>
      </c>
      <c r="J117" s="179">
        <v>0</v>
      </c>
      <c r="K117" s="179">
        <v>7265092</v>
      </c>
      <c r="L117" s="179">
        <v>7265092</v>
      </c>
      <c r="M117" s="179">
        <v>0</v>
      </c>
      <c r="N117" s="179">
        <v>0</v>
      </c>
    </row>
    <row r="118" spans="1:14" s="156" customFormat="1" x14ac:dyDescent="0.25">
      <c r="A118" s="156" t="s">
        <v>544</v>
      </c>
      <c r="B118" s="156" t="s">
        <v>304</v>
      </c>
      <c r="C118" s="156" t="s">
        <v>599</v>
      </c>
      <c r="D118" s="156" t="s">
        <v>541</v>
      </c>
      <c r="E118" s="179">
        <v>11217000</v>
      </c>
      <c r="F118" s="179">
        <v>11217000</v>
      </c>
      <c r="G118" s="179">
        <v>11217000</v>
      </c>
      <c r="H118" s="179">
        <v>0</v>
      </c>
      <c r="I118" s="179">
        <v>9072294</v>
      </c>
      <c r="J118" s="179">
        <v>0</v>
      </c>
      <c r="K118" s="179">
        <v>2144706</v>
      </c>
      <c r="L118" s="179">
        <v>2144706</v>
      </c>
      <c r="M118" s="179">
        <v>0</v>
      </c>
      <c r="N118" s="179">
        <v>0</v>
      </c>
    </row>
    <row r="119" spans="1:14" s="156" customFormat="1" x14ac:dyDescent="0.25">
      <c r="A119" s="156" t="s">
        <v>544</v>
      </c>
      <c r="B119" s="156" t="s">
        <v>305</v>
      </c>
      <c r="C119" s="156" t="s">
        <v>600</v>
      </c>
      <c r="D119" s="156" t="s">
        <v>541</v>
      </c>
      <c r="E119" s="179">
        <v>22435000</v>
      </c>
      <c r="F119" s="179">
        <v>22435000</v>
      </c>
      <c r="G119" s="179">
        <v>22435000</v>
      </c>
      <c r="H119" s="179">
        <v>0</v>
      </c>
      <c r="I119" s="179">
        <v>18145592</v>
      </c>
      <c r="J119" s="179">
        <v>0</v>
      </c>
      <c r="K119" s="179">
        <v>4289408</v>
      </c>
      <c r="L119" s="179">
        <v>4289408</v>
      </c>
      <c r="M119" s="179">
        <v>0</v>
      </c>
      <c r="N119" s="179">
        <v>0</v>
      </c>
    </row>
    <row r="120" spans="1:14" s="156" customFormat="1" x14ac:dyDescent="0.25">
      <c r="A120" s="156" t="s">
        <v>544</v>
      </c>
      <c r="B120" s="156" t="s">
        <v>123</v>
      </c>
      <c r="C120" s="156" t="s">
        <v>124</v>
      </c>
      <c r="D120" s="156" t="s">
        <v>541</v>
      </c>
      <c r="E120" s="179">
        <v>155922650</v>
      </c>
      <c r="F120" s="179">
        <v>155922650</v>
      </c>
      <c r="G120" s="179">
        <v>37413771.850000001</v>
      </c>
      <c r="H120" s="179">
        <v>0</v>
      </c>
      <c r="I120" s="179">
        <v>18572338.289999999</v>
      </c>
      <c r="J120" s="179">
        <v>0</v>
      </c>
      <c r="K120" s="179">
        <v>16618598.220000001</v>
      </c>
      <c r="L120" s="179">
        <v>9194921.2100000009</v>
      </c>
      <c r="M120" s="179">
        <v>120731713.48999999</v>
      </c>
      <c r="N120" s="179">
        <v>2222835.34</v>
      </c>
    </row>
    <row r="121" spans="1:14" s="156" customFormat="1" x14ac:dyDescent="0.25">
      <c r="A121" s="156" t="s">
        <v>544</v>
      </c>
      <c r="B121" s="156" t="s">
        <v>125</v>
      </c>
      <c r="C121" s="156" t="s">
        <v>126</v>
      </c>
      <c r="D121" s="156" t="s">
        <v>541</v>
      </c>
      <c r="E121" s="179">
        <v>78966646</v>
      </c>
      <c r="F121" s="179">
        <v>78966646</v>
      </c>
      <c r="G121" s="179">
        <v>19740909</v>
      </c>
      <c r="H121" s="179">
        <v>0</v>
      </c>
      <c r="I121" s="179">
        <v>7585012.3899999997</v>
      </c>
      <c r="J121" s="179">
        <v>0</v>
      </c>
      <c r="K121" s="179">
        <v>11838226.59</v>
      </c>
      <c r="L121" s="179">
        <v>5824141.3499999996</v>
      </c>
      <c r="M121" s="179">
        <v>59543407.020000003</v>
      </c>
      <c r="N121" s="179">
        <v>317670.02</v>
      </c>
    </row>
    <row r="122" spans="1:14" s="156" customFormat="1" x14ac:dyDescent="0.25">
      <c r="A122" s="156" t="s">
        <v>544</v>
      </c>
      <c r="B122" s="156" t="s">
        <v>306</v>
      </c>
      <c r="C122" s="156" t="s">
        <v>307</v>
      </c>
      <c r="D122" s="156" t="s">
        <v>541</v>
      </c>
      <c r="E122" s="179">
        <v>67899341</v>
      </c>
      <c r="F122" s="179">
        <v>67899341</v>
      </c>
      <c r="G122" s="179">
        <v>16974082</v>
      </c>
      <c r="H122" s="179">
        <v>0</v>
      </c>
      <c r="I122" s="179">
        <v>5477513.3200000003</v>
      </c>
      <c r="J122" s="179">
        <v>0</v>
      </c>
      <c r="K122" s="179">
        <v>11496568.68</v>
      </c>
      <c r="L122" s="179">
        <v>5746308.3700000001</v>
      </c>
      <c r="M122" s="179">
        <v>50925259</v>
      </c>
      <c r="N122" s="179">
        <v>0</v>
      </c>
    </row>
    <row r="123" spans="1:14" s="156" customFormat="1" x14ac:dyDescent="0.25">
      <c r="A123" s="156" t="s">
        <v>544</v>
      </c>
      <c r="B123" s="156" t="s">
        <v>127</v>
      </c>
      <c r="C123" s="156" t="s">
        <v>128</v>
      </c>
      <c r="D123" s="156" t="s">
        <v>541</v>
      </c>
      <c r="E123" s="179">
        <v>11067305</v>
      </c>
      <c r="F123" s="179">
        <v>11067305</v>
      </c>
      <c r="G123" s="179">
        <v>2766827</v>
      </c>
      <c r="H123" s="179">
        <v>0</v>
      </c>
      <c r="I123" s="179">
        <v>2107499.0699999998</v>
      </c>
      <c r="J123" s="179">
        <v>0</v>
      </c>
      <c r="K123" s="179">
        <v>341657.91</v>
      </c>
      <c r="L123" s="179">
        <v>77832.98</v>
      </c>
      <c r="M123" s="179">
        <v>8618148.0199999996</v>
      </c>
      <c r="N123" s="179">
        <v>317670.02</v>
      </c>
    </row>
    <row r="124" spans="1:14" s="156" customFormat="1" x14ac:dyDescent="0.25">
      <c r="A124" s="156" t="s">
        <v>544</v>
      </c>
      <c r="B124" s="156" t="s">
        <v>131</v>
      </c>
      <c r="C124" s="156" t="s">
        <v>132</v>
      </c>
      <c r="D124" s="156" t="s">
        <v>541</v>
      </c>
      <c r="E124" s="179">
        <v>14518657</v>
      </c>
      <c r="F124" s="179">
        <v>14518657</v>
      </c>
      <c r="G124" s="179">
        <v>4623775</v>
      </c>
      <c r="H124" s="179">
        <v>0</v>
      </c>
      <c r="I124" s="179">
        <v>1803933.9</v>
      </c>
      <c r="J124" s="179">
        <v>0</v>
      </c>
      <c r="K124" s="179">
        <v>1864783.63</v>
      </c>
      <c r="L124" s="179">
        <v>1424939.86</v>
      </c>
      <c r="M124" s="179">
        <v>10849939.470000001</v>
      </c>
      <c r="N124" s="179">
        <v>955057.47</v>
      </c>
    </row>
    <row r="125" spans="1:14" s="156" customFormat="1" x14ac:dyDescent="0.25">
      <c r="A125" s="156" t="s">
        <v>544</v>
      </c>
      <c r="B125" s="156" t="s">
        <v>133</v>
      </c>
      <c r="C125" s="156" t="s">
        <v>134</v>
      </c>
      <c r="D125" s="156" t="s">
        <v>541</v>
      </c>
      <c r="E125" s="179">
        <v>1280000</v>
      </c>
      <c r="F125" s="179">
        <v>1280000</v>
      </c>
      <c r="G125" s="179">
        <v>284110</v>
      </c>
      <c r="H125" s="179">
        <v>0</v>
      </c>
      <c r="I125" s="179">
        <v>104559</v>
      </c>
      <c r="J125" s="179">
        <v>0</v>
      </c>
      <c r="K125" s="179">
        <v>155021</v>
      </c>
      <c r="L125" s="179">
        <v>155021</v>
      </c>
      <c r="M125" s="179">
        <v>1020420</v>
      </c>
      <c r="N125" s="179">
        <v>24530</v>
      </c>
    </row>
    <row r="126" spans="1:14" s="156" customFormat="1" x14ac:dyDescent="0.25">
      <c r="A126" s="156" t="s">
        <v>544</v>
      </c>
      <c r="B126" s="156" t="s">
        <v>135</v>
      </c>
      <c r="C126" s="156" t="s">
        <v>136</v>
      </c>
      <c r="D126" s="156" t="s">
        <v>541</v>
      </c>
      <c r="E126" s="179">
        <v>3685715</v>
      </c>
      <c r="F126" s="179">
        <v>3685715</v>
      </c>
      <c r="G126" s="179">
        <v>921429</v>
      </c>
      <c r="H126" s="179">
        <v>0</v>
      </c>
      <c r="I126" s="179">
        <v>641287</v>
      </c>
      <c r="J126" s="179">
        <v>0</v>
      </c>
      <c r="K126" s="179">
        <v>280042</v>
      </c>
      <c r="L126" s="179">
        <v>270329</v>
      </c>
      <c r="M126" s="179">
        <v>2764386</v>
      </c>
      <c r="N126" s="179">
        <v>100</v>
      </c>
    </row>
    <row r="127" spans="1:14" s="156" customFormat="1" x14ac:dyDescent="0.25">
      <c r="A127" s="156" t="s">
        <v>544</v>
      </c>
      <c r="B127" s="156" t="s">
        <v>139</v>
      </c>
      <c r="C127" s="156" t="s">
        <v>140</v>
      </c>
      <c r="D127" s="156" t="s">
        <v>541</v>
      </c>
      <c r="E127" s="179">
        <v>9552942</v>
      </c>
      <c r="F127" s="179">
        <v>9552942</v>
      </c>
      <c r="G127" s="179">
        <v>3418236</v>
      </c>
      <c r="H127" s="179">
        <v>0</v>
      </c>
      <c r="I127" s="179">
        <v>1058087.8999999999</v>
      </c>
      <c r="J127" s="179">
        <v>0</v>
      </c>
      <c r="K127" s="179">
        <v>1429720.63</v>
      </c>
      <c r="L127" s="179">
        <v>999589.86</v>
      </c>
      <c r="M127" s="179">
        <v>7065133.4699999997</v>
      </c>
      <c r="N127" s="179">
        <v>930427.47</v>
      </c>
    </row>
    <row r="128" spans="1:14" s="156" customFormat="1" x14ac:dyDescent="0.25">
      <c r="A128" s="156" t="s">
        <v>544</v>
      </c>
      <c r="B128" s="156" t="s">
        <v>143</v>
      </c>
      <c r="C128" s="156" t="s">
        <v>144</v>
      </c>
      <c r="D128" s="156" t="s">
        <v>541</v>
      </c>
      <c r="E128" s="179">
        <v>16719000</v>
      </c>
      <c r="F128" s="179">
        <v>16719000</v>
      </c>
      <c r="G128" s="179">
        <v>2968000</v>
      </c>
      <c r="H128" s="179">
        <v>0</v>
      </c>
      <c r="I128" s="179">
        <v>2100000</v>
      </c>
      <c r="J128" s="179">
        <v>0</v>
      </c>
      <c r="K128" s="179">
        <v>0</v>
      </c>
      <c r="L128" s="179">
        <v>0</v>
      </c>
      <c r="M128" s="179">
        <v>14619000</v>
      </c>
      <c r="N128" s="179">
        <v>868000</v>
      </c>
    </row>
    <row r="129" spans="1:14" s="156" customFormat="1" x14ac:dyDescent="0.25">
      <c r="A129" s="156" t="s">
        <v>544</v>
      </c>
      <c r="B129" s="156" t="s">
        <v>145</v>
      </c>
      <c r="C129" s="156" t="s">
        <v>146</v>
      </c>
      <c r="D129" s="156" t="s">
        <v>541</v>
      </c>
      <c r="E129" s="179">
        <v>719000</v>
      </c>
      <c r="F129" s="179">
        <v>719000</v>
      </c>
      <c r="G129" s="179">
        <v>80000</v>
      </c>
      <c r="H129" s="179">
        <v>0</v>
      </c>
      <c r="I129" s="179">
        <v>80000</v>
      </c>
      <c r="J129" s="179">
        <v>0</v>
      </c>
      <c r="K129" s="179">
        <v>0</v>
      </c>
      <c r="L129" s="179">
        <v>0</v>
      </c>
      <c r="M129" s="179">
        <v>639000</v>
      </c>
      <c r="N129" s="179">
        <v>0</v>
      </c>
    </row>
    <row r="130" spans="1:14" s="156" customFormat="1" x14ac:dyDescent="0.25">
      <c r="A130" s="156" t="s">
        <v>544</v>
      </c>
      <c r="B130" s="156" t="s">
        <v>147</v>
      </c>
      <c r="C130" s="156" t="s">
        <v>148</v>
      </c>
      <c r="D130" s="156" t="s">
        <v>541</v>
      </c>
      <c r="E130" s="179">
        <v>16000000</v>
      </c>
      <c r="F130" s="179">
        <v>16000000</v>
      </c>
      <c r="G130" s="179">
        <v>2888000</v>
      </c>
      <c r="H130" s="179">
        <v>0</v>
      </c>
      <c r="I130" s="179">
        <v>2020000</v>
      </c>
      <c r="J130" s="179">
        <v>0</v>
      </c>
      <c r="K130" s="179">
        <v>0</v>
      </c>
      <c r="L130" s="179">
        <v>0</v>
      </c>
      <c r="M130" s="179">
        <v>13980000</v>
      </c>
      <c r="N130" s="179">
        <v>868000</v>
      </c>
    </row>
    <row r="131" spans="1:14" s="156" customFormat="1" x14ac:dyDescent="0.25">
      <c r="A131" s="156" t="s">
        <v>544</v>
      </c>
      <c r="B131" s="156" t="s">
        <v>151</v>
      </c>
      <c r="C131" s="156" t="s">
        <v>152</v>
      </c>
      <c r="D131" s="156" t="s">
        <v>541</v>
      </c>
      <c r="E131" s="179">
        <v>2200000</v>
      </c>
      <c r="F131" s="179">
        <v>2200000</v>
      </c>
      <c r="G131" s="179">
        <v>1267240</v>
      </c>
      <c r="H131" s="179">
        <v>0</v>
      </c>
      <c r="I131" s="179">
        <v>199900</v>
      </c>
      <c r="J131" s="179">
        <v>0</v>
      </c>
      <c r="K131" s="179">
        <v>1067240</v>
      </c>
      <c r="L131" s="179">
        <v>1017240</v>
      </c>
      <c r="M131" s="179">
        <v>932860</v>
      </c>
      <c r="N131" s="179">
        <v>100</v>
      </c>
    </row>
    <row r="132" spans="1:14" s="156" customFormat="1" x14ac:dyDescent="0.25">
      <c r="A132" s="156" t="s">
        <v>544</v>
      </c>
      <c r="B132" s="156" t="s">
        <v>154</v>
      </c>
      <c r="C132" s="156" t="s">
        <v>155</v>
      </c>
      <c r="D132" s="156" t="s">
        <v>541</v>
      </c>
      <c r="E132" s="179">
        <v>1200000</v>
      </c>
      <c r="F132" s="179">
        <v>1200000</v>
      </c>
      <c r="G132" s="179">
        <v>1017240</v>
      </c>
      <c r="H132" s="179">
        <v>0</v>
      </c>
      <c r="I132" s="179">
        <v>0</v>
      </c>
      <c r="J132" s="179">
        <v>0</v>
      </c>
      <c r="K132" s="179">
        <v>1017240</v>
      </c>
      <c r="L132" s="179">
        <v>1017240</v>
      </c>
      <c r="M132" s="179">
        <v>182760</v>
      </c>
      <c r="N132" s="179">
        <v>0</v>
      </c>
    </row>
    <row r="133" spans="1:14" s="156" customFormat="1" x14ac:dyDescent="0.25">
      <c r="A133" s="156" t="s">
        <v>544</v>
      </c>
      <c r="B133" s="156" t="s">
        <v>156</v>
      </c>
      <c r="C133" s="156" t="s">
        <v>157</v>
      </c>
      <c r="D133" s="156" t="s">
        <v>541</v>
      </c>
      <c r="E133" s="179">
        <v>1000000</v>
      </c>
      <c r="F133" s="179">
        <v>1000000</v>
      </c>
      <c r="G133" s="179">
        <v>250000</v>
      </c>
      <c r="H133" s="179">
        <v>0</v>
      </c>
      <c r="I133" s="179">
        <v>199900</v>
      </c>
      <c r="J133" s="179">
        <v>0</v>
      </c>
      <c r="K133" s="179">
        <v>50000</v>
      </c>
      <c r="L133" s="179">
        <v>0</v>
      </c>
      <c r="M133" s="179">
        <v>750100</v>
      </c>
      <c r="N133" s="179">
        <v>100</v>
      </c>
    </row>
    <row r="134" spans="1:14" s="156" customFormat="1" x14ac:dyDescent="0.25">
      <c r="A134" s="156" t="s">
        <v>544</v>
      </c>
      <c r="B134" s="156" t="s">
        <v>158</v>
      </c>
      <c r="C134" s="156" t="s">
        <v>159</v>
      </c>
      <c r="D134" s="156" t="s">
        <v>541</v>
      </c>
      <c r="E134" s="179">
        <v>6813730</v>
      </c>
      <c r="F134" s="179">
        <v>6813730</v>
      </c>
      <c r="G134" s="179">
        <v>1703433</v>
      </c>
      <c r="H134" s="179">
        <v>0</v>
      </c>
      <c r="I134" s="179">
        <v>859540</v>
      </c>
      <c r="J134" s="179">
        <v>0</v>
      </c>
      <c r="K134" s="179">
        <v>958800</v>
      </c>
      <c r="L134" s="179">
        <v>928600</v>
      </c>
      <c r="M134" s="179">
        <v>4995390</v>
      </c>
      <c r="N134" s="183">
        <v>-114907</v>
      </c>
    </row>
    <row r="135" spans="1:14" s="156" customFormat="1" x14ac:dyDescent="0.25">
      <c r="A135" s="156" t="s">
        <v>544</v>
      </c>
      <c r="B135" s="156" t="s">
        <v>160</v>
      </c>
      <c r="C135" s="156" t="s">
        <v>161</v>
      </c>
      <c r="D135" s="156" t="s">
        <v>541</v>
      </c>
      <c r="E135" s="179">
        <v>250000</v>
      </c>
      <c r="F135" s="179">
        <v>250000</v>
      </c>
      <c r="G135" s="179">
        <v>62500</v>
      </c>
      <c r="H135" s="179">
        <v>0</v>
      </c>
      <c r="I135" s="179">
        <v>285890</v>
      </c>
      <c r="J135" s="179">
        <v>0</v>
      </c>
      <c r="K135" s="179">
        <v>0</v>
      </c>
      <c r="L135" s="179">
        <v>0</v>
      </c>
      <c r="M135" s="183">
        <v>-35890</v>
      </c>
      <c r="N135" s="183">
        <v>-223390</v>
      </c>
    </row>
    <row r="136" spans="1:14" s="156" customFormat="1" x14ac:dyDescent="0.25">
      <c r="A136" s="156" t="s">
        <v>544</v>
      </c>
      <c r="B136" s="156" t="s">
        <v>162</v>
      </c>
      <c r="C136" s="156" t="s">
        <v>163</v>
      </c>
      <c r="D136" s="156" t="s">
        <v>541</v>
      </c>
      <c r="E136" s="179">
        <v>6563730</v>
      </c>
      <c r="F136" s="179">
        <v>6563730</v>
      </c>
      <c r="G136" s="179">
        <v>1640933</v>
      </c>
      <c r="H136" s="179">
        <v>0</v>
      </c>
      <c r="I136" s="179">
        <v>573650</v>
      </c>
      <c r="J136" s="179">
        <v>0</v>
      </c>
      <c r="K136" s="179">
        <v>958800</v>
      </c>
      <c r="L136" s="179">
        <v>928600</v>
      </c>
      <c r="M136" s="179">
        <v>5031280</v>
      </c>
      <c r="N136" s="179">
        <v>108483</v>
      </c>
    </row>
    <row r="137" spans="1:14" s="156" customFormat="1" x14ac:dyDescent="0.25">
      <c r="A137" s="156" t="s">
        <v>544</v>
      </c>
      <c r="B137" s="156" t="s">
        <v>168</v>
      </c>
      <c r="C137" s="156" t="s">
        <v>169</v>
      </c>
      <c r="D137" s="156" t="s">
        <v>541</v>
      </c>
      <c r="E137" s="179">
        <v>4277392</v>
      </c>
      <c r="F137" s="179">
        <v>4277392</v>
      </c>
      <c r="G137" s="179">
        <v>1069348</v>
      </c>
      <c r="H137" s="179">
        <v>0</v>
      </c>
      <c r="I137" s="179">
        <v>100452</v>
      </c>
      <c r="J137" s="179">
        <v>0</v>
      </c>
      <c r="K137" s="179">
        <v>889548</v>
      </c>
      <c r="L137" s="179">
        <v>0</v>
      </c>
      <c r="M137" s="179">
        <v>3287392</v>
      </c>
      <c r="N137" s="179">
        <v>79348</v>
      </c>
    </row>
    <row r="138" spans="1:14" s="156" customFormat="1" x14ac:dyDescent="0.25">
      <c r="A138" s="156" t="s">
        <v>544</v>
      </c>
      <c r="B138" s="156" t="s">
        <v>170</v>
      </c>
      <c r="C138" s="156" t="s">
        <v>171</v>
      </c>
      <c r="D138" s="156" t="s">
        <v>541</v>
      </c>
      <c r="E138" s="179">
        <v>4277392</v>
      </c>
      <c r="F138" s="179">
        <v>4277392</v>
      </c>
      <c r="G138" s="179">
        <v>1069348</v>
      </c>
      <c r="H138" s="179">
        <v>0</v>
      </c>
      <c r="I138" s="179">
        <v>100452</v>
      </c>
      <c r="J138" s="179">
        <v>0</v>
      </c>
      <c r="K138" s="179">
        <v>889548</v>
      </c>
      <c r="L138" s="179">
        <v>0</v>
      </c>
      <c r="M138" s="179">
        <v>3287392</v>
      </c>
      <c r="N138" s="179">
        <v>79348</v>
      </c>
    </row>
    <row r="139" spans="1:14" s="156" customFormat="1" x14ac:dyDescent="0.25">
      <c r="A139" s="156" t="s">
        <v>544</v>
      </c>
      <c r="B139" s="156" t="s">
        <v>172</v>
      </c>
      <c r="C139" s="156" t="s">
        <v>173</v>
      </c>
      <c r="D139" s="156" t="s">
        <v>541</v>
      </c>
      <c r="E139" s="179">
        <v>12267225</v>
      </c>
      <c r="F139" s="179">
        <v>12267225</v>
      </c>
      <c r="G139" s="179">
        <v>3066807</v>
      </c>
      <c r="H139" s="179">
        <v>0</v>
      </c>
      <c r="I139" s="179">
        <v>3000000</v>
      </c>
      <c r="J139" s="179">
        <v>0</v>
      </c>
      <c r="K139" s="179">
        <v>0</v>
      </c>
      <c r="L139" s="179">
        <v>0</v>
      </c>
      <c r="M139" s="179">
        <v>9267225</v>
      </c>
      <c r="N139" s="179">
        <v>66807</v>
      </c>
    </row>
    <row r="140" spans="1:14" s="156" customFormat="1" x14ac:dyDescent="0.25">
      <c r="A140" s="156" t="s">
        <v>544</v>
      </c>
      <c r="B140" s="156" t="s">
        <v>309</v>
      </c>
      <c r="C140" s="156" t="s">
        <v>310</v>
      </c>
      <c r="D140" s="156" t="s">
        <v>541</v>
      </c>
      <c r="E140" s="179">
        <v>12267225</v>
      </c>
      <c r="F140" s="179">
        <v>12267225</v>
      </c>
      <c r="G140" s="179">
        <v>3066807</v>
      </c>
      <c r="H140" s="179">
        <v>0</v>
      </c>
      <c r="I140" s="179">
        <v>3000000</v>
      </c>
      <c r="J140" s="179">
        <v>0</v>
      </c>
      <c r="K140" s="179">
        <v>0</v>
      </c>
      <c r="L140" s="179">
        <v>0</v>
      </c>
      <c r="M140" s="179">
        <v>9267225</v>
      </c>
      <c r="N140" s="179">
        <v>66807</v>
      </c>
    </row>
    <row r="141" spans="1:14" s="156" customFormat="1" x14ac:dyDescent="0.25">
      <c r="A141" s="156" t="s">
        <v>544</v>
      </c>
      <c r="B141" s="156" t="s">
        <v>178</v>
      </c>
      <c r="C141" s="156" t="s">
        <v>179</v>
      </c>
      <c r="D141" s="156" t="s">
        <v>541</v>
      </c>
      <c r="E141" s="179">
        <v>17894000</v>
      </c>
      <c r="F141" s="179">
        <v>17894000</v>
      </c>
      <c r="G141" s="179">
        <v>2874260</v>
      </c>
      <c r="H141" s="179">
        <v>0</v>
      </c>
      <c r="I141" s="179">
        <v>2873500</v>
      </c>
      <c r="J141" s="179">
        <v>0</v>
      </c>
      <c r="K141" s="179">
        <v>0</v>
      </c>
      <c r="L141" s="179">
        <v>0</v>
      </c>
      <c r="M141" s="179">
        <v>15020500</v>
      </c>
      <c r="N141" s="179">
        <v>760</v>
      </c>
    </row>
    <row r="142" spans="1:14" s="156" customFormat="1" x14ac:dyDescent="0.25">
      <c r="A142" s="156" t="s">
        <v>544</v>
      </c>
      <c r="B142" s="156" t="s">
        <v>182</v>
      </c>
      <c r="C142" s="156" t="s">
        <v>183</v>
      </c>
      <c r="D142" s="156" t="s">
        <v>541</v>
      </c>
      <c r="E142" s="179">
        <v>7000000</v>
      </c>
      <c r="F142" s="179">
        <v>7000000</v>
      </c>
      <c r="G142" s="179">
        <v>1750000</v>
      </c>
      <c r="H142" s="179">
        <v>0</v>
      </c>
      <c r="I142" s="179">
        <v>1750000</v>
      </c>
      <c r="J142" s="179">
        <v>0</v>
      </c>
      <c r="K142" s="179">
        <v>0</v>
      </c>
      <c r="L142" s="179">
        <v>0</v>
      </c>
      <c r="M142" s="179">
        <v>5250000</v>
      </c>
      <c r="N142" s="179">
        <v>0</v>
      </c>
    </row>
    <row r="143" spans="1:14" s="156" customFormat="1" x14ac:dyDescent="0.25">
      <c r="A143" s="156" t="s">
        <v>544</v>
      </c>
      <c r="B143" s="156" t="s">
        <v>186</v>
      </c>
      <c r="C143" s="156" t="s">
        <v>187</v>
      </c>
      <c r="D143" s="156" t="s">
        <v>541</v>
      </c>
      <c r="E143" s="179">
        <v>3000000</v>
      </c>
      <c r="F143" s="179">
        <v>3000000</v>
      </c>
      <c r="G143" s="179">
        <v>760</v>
      </c>
      <c r="H143" s="179">
        <v>0</v>
      </c>
      <c r="I143" s="179">
        <v>0</v>
      </c>
      <c r="J143" s="179">
        <v>0</v>
      </c>
      <c r="K143" s="179">
        <v>0</v>
      </c>
      <c r="L143" s="179">
        <v>0</v>
      </c>
      <c r="M143" s="179">
        <v>3000000</v>
      </c>
      <c r="N143" s="179">
        <v>760</v>
      </c>
    </row>
    <row r="144" spans="1:14" s="156" customFormat="1" x14ac:dyDescent="0.25">
      <c r="A144" s="156" t="s">
        <v>544</v>
      </c>
      <c r="B144" s="156" t="s">
        <v>188</v>
      </c>
      <c r="C144" s="156" t="s">
        <v>189</v>
      </c>
      <c r="D144" s="156" t="s">
        <v>541</v>
      </c>
      <c r="E144" s="179">
        <v>4494000</v>
      </c>
      <c r="F144" s="179">
        <v>4494000</v>
      </c>
      <c r="G144" s="179">
        <v>1123500</v>
      </c>
      <c r="H144" s="179">
        <v>0</v>
      </c>
      <c r="I144" s="179">
        <v>1123500</v>
      </c>
      <c r="J144" s="179">
        <v>0</v>
      </c>
      <c r="K144" s="179">
        <v>0</v>
      </c>
      <c r="L144" s="179">
        <v>0</v>
      </c>
      <c r="M144" s="179">
        <v>3370500</v>
      </c>
      <c r="N144" s="179">
        <v>0</v>
      </c>
    </row>
    <row r="145" spans="1:14" s="156" customFormat="1" x14ac:dyDescent="0.25">
      <c r="A145" s="156" t="s">
        <v>544</v>
      </c>
      <c r="B145" s="156" t="s">
        <v>190</v>
      </c>
      <c r="C145" s="156" t="s">
        <v>191</v>
      </c>
      <c r="D145" s="156" t="s">
        <v>541</v>
      </c>
      <c r="E145" s="179">
        <v>3400000</v>
      </c>
      <c r="F145" s="179">
        <v>3400000</v>
      </c>
      <c r="G145" s="179">
        <v>0</v>
      </c>
      <c r="H145" s="179">
        <v>0</v>
      </c>
      <c r="I145" s="179">
        <v>0</v>
      </c>
      <c r="J145" s="179">
        <v>0</v>
      </c>
      <c r="K145" s="179">
        <v>0</v>
      </c>
      <c r="L145" s="179">
        <v>0</v>
      </c>
      <c r="M145" s="179">
        <v>3400000</v>
      </c>
      <c r="N145" s="179">
        <v>0</v>
      </c>
    </row>
    <row r="146" spans="1:14" s="156" customFormat="1" x14ac:dyDescent="0.25">
      <c r="A146" s="156" t="s">
        <v>544</v>
      </c>
      <c r="B146" s="156" t="s">
        <v>192</v>
      </c>
      <c r="C146" s="156" t="s">
        <v>193</v>
      </c>
      <c r="D146" s="156" t="s">
        <v>541</v>
      </c>
      <c r="E146" s="179">
        <v>466000</v>
      </c>
      <c r="F146" s="179">
        <v>466000</v>
      </c>
      <c r="G146" s="179">
        <v>50000</v>
      </c>
      <c r="H146" s="179">
        <v>0</v>
      </c>
      <c r="I146" s="179">
        <v>50000</v>
      </c>
      <c r="J146" s="179">
        <v>0</v>
      </c>
      <c r="K146" s="179">
        <v>0</v>
      </c>
      <c r="L146" s="179">
        <v>0</v>
      </c>
      <c r="M146" s="179">
        <v>416000</v>
      </c>
      <c r="N146" s="179">
        <v>0</v>
      </c>
    </row>
    <row r="147" spans="1:14" s="156" customFormat="1" x14ac:dyDescent="0.25">
      <c r="A147" s="156" t="s">
        <v>544</v>
      </c>
      <c r="B147" s="156" t="s">
        <v>194</v>
      </c>
      <c r="C147" s="156" t="s">
        <v>195</v>
      </c>
      <c r="D147" s="156" t="s">
        <v>541</v>
      </c>
      <c r="E147" s="179">
        <v>466000</v>
      </c>
      <c r="F147" s="179">
        <v>466000</v>
      </c>
      <c r="G147" s="179">
        <v>50000</v>
      </c>
      <c r="H147" s="179">
        <v>0</v>
      </c>
      <c r="I147" s="179">
        <v>50000</v>
      </c>
      <c r="J147" s="179">
        <v>0</v>
      </c>
      <c r="K147" s="179">
        <v>0</v>
      </c>
      <c r="L147" s="179">
        <v>0</v>
      </c>
      <c r="M147" s="179">
        <v>416000</v>
      </c>
      <c r="N147" s="179">
        <v>0</v>
      </c>
    </row>
    <row r="148" spans="1:14" s="156" customFormat="1" x14ac:dyDescent="0.25">
      <c r="A148" s="156" t="s">
        <v>544</v>
      </c>
      <c r="B148" s="156" t="s">
        <v>196</v>
      </c>
      <c r="C148" s="156" t="s">
        <v>197</v>
      </c>
      <c r="D148" s="156" t="s">
        <v>541</v>
      </c>
      <c r="E148" s="179">
        <v>1800000</v>
      </c>
      <c r="F148" s="179">
        <v>1800000</v>
      </c>
      <c r="G148" s="179">
        <v>49999.85</v>
      </c>
      <c r="H148" s="179">
        <v>0</v>
      </c>
      <c r="I148" s="179">
        <v>0</v>
      </c>
      <c r="J148" s="179">
        <v>0</v>
      </c>
      <c r="K148" s="179">
        <v>0</v>
      </c>
      <c r="L148" s="179">
        <v>0</v>
      </c>
      <c r="M148" s="179">
        <v>1800000</v>
      </c>
      <c r="N148" s="179">
        <v>49999.85</v>
      </c>
    </row>
    <row r="149" spans="1:14" s="156" customFormat="1" x14ac:dyDescent="0.25">
      <c r="A149" s="156" t="s">
        <v>544</v>
      </c>
      <c r="B149" s="156" t="s">
        <v>198</v>
      </c>
      <c r="C149" s="156" t="s">
        <v>199</v>
      </c>
      <c r="D149" s="156" t="s">
        <v>541</v>
      </c>
      <c r="E149" s="179">
        <v>1800000</v>
      </c>
      <c r="F149" s="179">
        <v>1800000</v>
      </c>
      <c r="G149" s="179">
        <v>49999.85</v>
      </c>
      <c r="H149" s="179">
        <v>0</v>
      </c>
      <c r="I149" s="179">
        <v>0</v>
      </c>
      <c r="J149" s="179">
        <v>0</v>
      </c>
      <c r="K149" s="179">
        <v>0</v>
      </c>
      <c r="L149" s="179">
        <v>0</v>
      </c>
      <c r="M149" s="179">
        <v>1800000</v>
      </c>
      <c r="N149" s="179">
        <v>49999.85</v>
      </c>
    </row>
    <row r="150" spans="1:14" s="156" customFormat="1" x14ac:dyDescent="0.25">
      <c r="A150" s="156" t="s">
        <v>544</v>
      </c>
      <c r="B150" s="156" t="s">
        <v>200</v>
      </c>
      <c r="C150" s="156" t="s">
        <v>201</v>
      </c>
      <c r="D150" s="156" t="s">
        <v>541</v>
      </c>
      <c r="E150" s="179">
        <v>57954839</v>
      </c>
      <c r="F150" s="179">
        <v>57954839</v>
      </c>
      <c r="G150" s="179">
        <v>12819710</v>
      </c>
      <c r="H150" s="179">
        <v>3568642.48</v>
      </c>
      <c r="I150" s="179">
        <v>4627851.7699999996</v>
      </c>
      <c r="J150" s="179">
        <v>325070</v>
      </c>
      <c r="K150" s="179">
        <v>1808817.83</v>
      </c>
      <c r="L150" s="179">
        <v>922968</v>
      </c>
      <c r="M150" s="179">
        <v>47624456.920000002</v>
      </c>
      <c r="N150" s="179">
        <v>2489327.92</v>
      </c>
    </row>
    <row r="151" spans="1:14" s="156" customFormat="1" x14ac:dyDescent="0.25">
      <c r="A151" s="156" t="s">
        <v>544</v>
      </c>
      <c r="B151" s="156" t="s">
        <v>202</v>
      </c>
      <c r="C151" s="156" t="s">
        <v>203</v>
      </c>
      <c r="D151" s="156" t="s">
        <v>541</v>
      </c>
      <c r="E151" s="179">
        <v>17854839</v>
      </c>
      <c r="F151" s="179">
        <v>17854839</v>
      </c>
      <c r="G151" s="179">
        <v>4463710</v>
      </c>
      <c r="H151" s="179">
        <v>1116500</v>
      </c>
      <c r="I151" s="179">
        <v>2110967</v>
      </c>
      <c r="J151" s="179">
        <v>0</v>
      </c>
      <c r="K151" s="179">
        <v>288968</v>
      </c>
      <c r="L151" s="179">
        <v>288968</v>
      </c>
      <c r="M151" s="179">
        <v>14338404</v>
      </c>
      <c r="N151" s="179">
        <v>947275</v>
      </c>
    </row>
    <row r="152" spans="1:14" s="156" customFormat="1" x14ac:dyDescent="0.25">
      <c r="A152" s="156" t="s">
        <v>544</v>
      </c>
      <c r="B152" s="156" t="s">
        <v>204</v>
      </c>
      <c r="C152" s="156" t="s">
        <v>205</v>
      </c>
      <c r="D152" s="156" t="s">
        <v>541</v>
      </c>
      <c r="E152" s="179">
        <v>9354839</v>
      </c>
      <c r="F152" s="179">
        <v>9354839</v>
      </c>
      <c r="G152" s="179">
        <v>2338710</v>
      </c>
      <c r="H152" s="179">
        <v>0</v>
      </c>
      <c r="I152" s="179">
        <v>1490237</v>
      </c>
      <c r="J152" s="179">
        <v>0</v>
      </c>
      <c r="K152" s="179">
        <v>288968</v>
      </c>
      <c r="L152" s="179">
        <v>288968</v>
      </c>
      <c r="M152" s="179">
        <v>7575634</v>
      </c>
      <c r="N152" s="179">
        <v>559505</v>
      </c>
    </row>
    <row r="153" spans="1:14" s="156" customFormat="1" x14ac:dyDescent="0.25">
      <c r="A153" s="156" t="s">
        <v>544</v>
      </c>
      <c r="B153" s="156" t="s">
        <v>208</v>
      </c>
      <c r="C153" s="156" t="s">
        <v>209</v>
      </c>
      <c r="D153" s="156" t="s">
        <v>541</v>
      </c>
      <c r="E153" s="179">
        <v>8500000</v>
      </c>
      <c r="F153" s="179">
        <v>8500000</v>
      </c>
      <c r="G153" s="179">
        <v>2125000</v>
      </c>
      <c r="H153" s="179">
        <v>1116500</v>
      </c>
      <c r="I153" s="179">
        <v>620730</v>
      </c>
      <c r="J153" s="179">
        <v>0</v>
      </c>
      <c r="K153" s="179">
        <v>0</v>
      </c>
      <c r="L153" s="179">
        <v>0</v>
      </c>
      <c r="M153" s="179">
        <v>6762770</v>
      </c>
      <c r="N153" s="179">
        <v>387770</v>
      </c>
    </row>
    <row r="154" spans="1:14" s="156" customFormat="1" x14ac:dyDescent="0.25">
      <c r="A154" s="156" t="s">
        <v>544</v>
      </c>
      <c r="B154" s="156" t="s">
        <v>212</v>
      </c>
      <c r="C154" s="156" t="s">
        <v>213</v>
      </c>
      <c r="D154" s="156" t="s">
        <v>541</v>
      </c>
      <c r="E154" s="179">
        <v>2460000</v>
      </c>
      <c r="F154" s="179">
        <v>2460000</v>
      </c>
      <c r="G154" s="179">
        <v>615000</v>
      </c>
      <c r="H154" s="179">
        <v>0</v>
      </c>
      <c r="I154" s="179">
        <v>449702</v>
      </c>
      <c r="J154" s="179">
        <v>0</v>
      </c>
      <c r="K154" s="179">
        <v>0</v>
      </c>
      <c r="L154" s="179">
        <v>0</v>
      </c>
      <c r="M154" s="179">
        <v>2010298</v>
      </c>
      <c r="N154" s="179">
        <v>165298</v>
      </c>
    </row>
    <row r="155" spans="1:14" s="156" customFormat="1" x14ac:dyDescent="0.25">
      <c r="A155" s="156" t="s">
        <v>544</v>
      </c>
      <c r="B155" s="156" t="s">
        <v>214</v>
      </c>
      <c r="C155" s="156" t="s">
        <v>215</v>
      </c>
      <c r="D155" s="156" t="s">
        <v>541</v>
      </c>
      <c r="E155" s="179">
        <v>2460000</v>
      </c>
      <c r="F155" s="179">
        <v>2460000</v>
      </c>
      <c r="G155" s="179">
        <v>615000</v>
      </c>
      <c r="H155" s="179">
        <v>0</v>
      </c>
      <c r="I155" s="179">
        <v>449702</v>
      </c>
      <c r="J155" s="179">
        <v>0</v>
      </c>
      <c r="K155" s="179">
        <v>0</v>
      </c>
      <c r="L155" s="179">
        <v>0</v>
      </c>
      <c r="M155" s="179">
        <v>2010298</v>
      </c>
      <c r="N155" s="179">
        <v>165298</v>
      </c>
    </row>
    <row r="156" spans="1:14" s="156" customFormat="1" x14ac:dyDescent="0.25">
      <c r="A156" s="156" t="s">
        <v>544</v>
      </c>
      <c r="B156" s="156" t="s">
        <v>216</v>
      </c>
      <c r="C156" s="156" t="s">
        <v>217</v>
      </c>
      <c r="D156" s="156" t="s">
        <v>541</v>
      </c>
      <c r="E156" s="179">
        <v>2000000</v>
      </c>
      <c r="F156" s="179">
        <v>2000000</v>
      </c>
      <c r="G156" s="179">
        <v>502000</v>
      </c>
      <c r="H156" s="179">
        <v>56000</v>
      </c>
      <c r="I156" s="179">
        <v>105430</v>
      </c>
      <c r="J156" s="179">
        <v>0</v>
      </c>
      <c r="K156" s="179">
        <v>310571.18</v>
      </c>
      <c r="L156" s="179">
        <v>0</v>
      </c>
      <c r="M156" s="179">
        <v>1527998.82</v>
      </c>
      <c r="N156" s="179">
        <v>29998.82</v>
      </c>
    </row>
    <row r="157" spans="1:14" s="156" customFormat="1" x14ac:dyDescent="0.25">
      <c r="A157" s="156" t="s">
        <v>544</v>
      </c>
      <c r="B157" s="156" t="s">
        <v>220</v>
      </c>
      <c r="C157" s="156" t="s">
        <v>221</v>
      </c>
      <c r="D157" s="156" t="s">
        <v>541</v>
      </c>
      <c r="E157" s="179">
        <v>2000000</v>
      </c>
      <c r="F157" s="179">
        <v>2000000</v>
      </c>
      <c r="G157" s="179">
        <v>502000</v>
      </c>
      <c r="H157" s="179">
        <v>56000</v>
      </c>
      <c r="I157" s="179">
        <v>105430</v>
      </c>
      <c r="J157" s="179">
        <v>0</v>
      </c>
      <c r="K157" s="179">
        <v>310571.18</v>
      </c>
      <c r="L157" s="179">
        <v>0</v>
      </c>
      <c r="M157" s="179">
        <v>1527998.82</v>
      </c>
      <c r="N157" s="179">
        <v>29998.82</v>
      </c>
    </row>
    <row r="158" spans="1:14" s="156" customFormat="1" x14ac:dyDescent="0.25">
      <c r="A158" s="156" t="s">
        <v>544</v>
      </c>
      <c r="B158" s="156" t="s">
        <v>228</v>
      </c>
      <c r="C158" s="156" t="s">
        <v>229</v>
      </c>
      <c r="D158" s="156" t="s">
        <v>541</v>
      </c>
      <c r="E158" s="179">
        <v>6710000</v>
      </c>
      <c r="F158" s="179">
        <v>6710000</v>
      </c>
      <c r="G158" s="179">
        <v>6500</v>
      </c>
      <c r="H158" s="179">
        <v>0</v>
      </c>
      <c r="I158" s="179">
        <v>0</v>
      </c>
      <c r="J158" s="179">
        <v>0</v>
      </c>
      <c r="K158" s="179">
        <v>0</v>
      </c>
      <c r="L158" s="179">
        <v>0</v>
      </c>
      <c r="M158" s="179">
        <v>6710000</v>
      </c>
      <c r="N158" s="179">
        <v>6500</v>
      </c>
    </row>
    <row r="159" spans="1:14" s="156" customFormat="1" x14ac:dyDescent="0.25">
      <c r="A159" s="156" t="s">
        <v>544</v>
      </c>
      <c r="B159" s="156" t="s">
        <v>230</v>
      </c>
      <c r="C159" s="156" t="s">
        <v>231</v>
      </c>
      <c r="D159" s="156" t="s">
        <v>541</v>
      </c>
      <c r="E159" s="179">
        <v>3710000</v>
      </c>
      <c r="F159" s="179">
        <v>3710000</v>
      </c>
      <c r="G159" s="179">
        <v>6500</v>
      </c>
      <c r="H159" s="179">
        <v>0</v>
      </c>
      <c r="I159" s="179">
        <v>0</v>
      </c>
      <c r="J159" s="179">
        <v>0</v>
      </c>
      <c r="K159" s="179">
        <v>0</v>
      </c>
      <c r="L159" s="179">
        <v>0</v>
      </c>
      <c r="M159" s="179">
        <v>3710000</v>
      </c>
      <c r="N159" s="179">
        <v>6500</v>
      </c>
    </row>
    <row r="160" spans="1:14" s="156" customFormat="1" x14ac:dyDescent="0.25">
      <c r="A160" s="156" t="s">
        <v>544</v>
      </c>
      <c r="B160" s="156" t="s">
        <v>232</v>
      </c>
      <c r="C160" s="156" t="s">
        <v>233</v>
      </c>
      <c r="D160" s="156" t="s">
        <v>541</v>
      </c>
      <c r="E160" s="179">
        <v>3000000</v>
      </c>
      <c r="F160" s="179">
        <v>3000000</v>
      </c>
      <c r="G160" s="179">
        <v>0</v>
      </c>
      <c r="H160" s="179">
        <v>0</v>
      </c>
      <c r="I160" s="179">
        <v>0</v>
      </c>
      <c r="J160" s="179">
        <v>0</v>
      </c>
      <c r="K160" s="179">
        <v>0</v>
      </c>
      <c r="L160" s="179">
        <v>0</v>
      </c>
      <c r="M160" s="179">
        <v>3000000</v>
      </c>
      <c r="N160" s="179">
        <v>0</v>
      </c>
    </row>
    <row r="161" spans="1:14" s="156" customFormat="1" x14ac:dyDescent="0.25">
      <c r="A161" s="156" t="s">
        <v>544</v>
      </c>
      <c r="B161" s="156" t="s">
        <v>234</v>
      </c>
      <c r="C161" s="156" t="s">
        <v>601</v>
      </c>
      <c r="D161" s="156" t="s">
        <v>541</v>
      </c>
      <c r="E161" s="179">
        <v>28930000</v>
      </c>
      <c r="F161" s="179">
        <v>28930000</v>
      </c>
      <c r="G161" s="179">
        <v>7232500</v>
      </c>
      <c r="H161" s="179">
        <v>2396142.48</v>
      </c>
      <c r="I161" s="179">
        <v>1961752.77</v>
      </c>
      <c r="J161" s="179">
        <v>325070</v>
      </c>
      <c r="K161" s="179">
        <v>1209278.6499999999</v>
      </c>
      <c r="L161" s="179">
        <v>634000</v>
      </c>
      <c r="M161" s="179">
        <v>23037756.100000001</v>
      </c>
      <c r="N161" s="179">
        <v>1340256.1000000001</v>
      </c>
    </row>
    <row r="162" spans="1:14" s="156" customFormat="1" x14ac:dyDescent="0.25">
      <c r="A162" s="156" t="s">
        <v>544</v>
      </c>
      <c r="B162" s="156" t="s">
        <v>235</v>
      </c>
      <c r="C162" s="156" t="s">
        <v>236</v>
      </c>
      <c r="D162" s="156" t="s">
        <v>541</v>
      </c>
      <c r="E162" s="179">
        <v>8000000</v>
      </c>
      <c r="F162" s="179">
        <v>8000000</v>
      </c>
      <c r="G162" s="179">
        <v>2000000</v>
      </c>
      <c r="H162" s="179">
        <v>406142.48</v>
      </c>
      <c r="I162" s="179">
        <v>1591410.77</v>
      </c>
      <c r="J162" s="179">
        <v>0</v>
      </c>
      <c r="K162" s="179">
        <v>0</v>
      </c>
      <c r="L162" s="179">
        <v>0</v>
      </c>
      <c r="M162" s="179">
        <v>6002446.75</v>
      </c>
      <c r="N162" s="179">
        <v>2446.75</v>
      </c>
    </row>
    <row r="163" spans="1:14" s="156" customFormat="1" x14ac:dyDescent="0.25">
      <c r="A163" s="156" t="s">
        <v>544</v>
      </c>
      <c r="B163" s="156" t="s">
        <v>239</v>
      </c>
      <c r="C163" s="156" t="s">
        <v>240</v>
      </c>
      <c r="D163" s="156" t="s">
        <v>541</v>
      </c>
      <c r="E163" s="179">
        <v>8000000</v>
      </c>
      <c r="F163" s="179">
        <v>8000000</v>
      </c>
      <c r="G163" s="179">
        <v>2000000</v>
      </c>
      <c r="H163" s="179">
        <v>0</v>
      </c>
      <c r="I163" s="179">
        <v>125100</v>
      </c>
      <c r="J163" s="179">
        <v>325070</v>
      </c>
      <c r="K163" s="179">
        <v>1209278.6499999999</v>
      </c>
      <c r="L163" s="179">
        <v>634000</v>
      </c>
      <c r="M163" s="179">
        <v>6340551.3499999996</v>
      </c>
      <c r="N163" s="179">
        <v>340551.35</v>
      </c>
    </row>
    <row r="164" spans="1:14" s="156" customFormat="1" x14ac:dyDescent="0.25">
      <c r="A164" s="156" t="s">
        <v>544</v>
      </c>
      <c r="B164" s="156" t="s">
        <v>243</v>
      </c>
      <c r="C164" s="156" t="s">
        <v>244</v>
      </c>
      <c r="D164" s="156" t="s">
        <v>541</v>
      </c>
      <c r="E164" s="179">
        <v>4930000</v>
      </c>
      <c r="F164" s="179">
        <v>4930000</v>
      </c>
      <c r="G164" s="179">
        <v>1232500</v>
      </c>
      <c r="H164" s="179">
        <v>0</v>
      </c>
      <c r="I164" s="179">
        <v>245242</v>
      </c>
      <c r="J164" s="179">
        <v>0</v>
      </c>
      <c r="K164" s="179">
        <v>0</v>
      </c>
      <c r="L164" s="179">
        <v>0</v>
      </c>
      <c r="M164" s="179">
        <v>4684758</v>
      </c>
      <c r="N164" s="179">
        <v>987258</v>
      </c>
    </row>
    <row r="165" spans="1:14" s="156" customFormat="1" x14ac:dyDescent="0.25">
      <c r="A165" s="156" t="s">
        <v>544</v>
      </c>
      <c r="B165" s="156" t="s">
        <v>249</v>
      </c>
      <c r="C165" s="156" t="s">
        <v>250</v>
      </c>
      <c r="D165" s="156" t="s">
        <v>541</v>
      </c>
      <c r="E165" s="179">
        <v>8000000</v>
      </c>
      <c r="F165" s="179">
        <v>8000000</v>
      </c>
      <c r="G165" s="179">
        <v>2000000</v>
      </c>
      <c r="H165" s="179">
        <v>1990000</v>
      </c>
      <c r="I165" s="179">
        <v>0</v>
      </c>
      <c r="J165" s="179">
        <v>0</v>
      </c>
      <c r="K165" s="179">
        <v>0</v>
      </c>
      <c r="L165" s="179">
        <v>0</v>
      </c>
      <c r="M165" s="179">
        <v>6010000</v>
      </c>
      <c r="N165" s="179">
        <v>10000</v>
      </c>
    </row>
    <row r="166" spans="1:14" s="156" customFormat="1" x14ac:dyDescent="0.25">
      <c r="A166" s="156" t="s">
        <v>544</v>
      </c>
      <c r="B166" s="156" t="s">
        <v>279</v>
      </c>
      <c r="C166" s="156" t="s">
        <v>280</v>
      </c>
      <c r="D166" s="156" t="s">
        <v>543</v>
      </c>
      <c r="E166" s="179">
        <v>29500000</v>
      </c>
      <c r="F166" s="179">
        <v>29500000</v>
      </c>
      <c r="G166" s="179">
        <v>6125000</v>
      </c>
      <c r="H166" s="179">
        <v>4535000</v>
      </c>
      <c r="I166" s="179">
        <v>356665</v>
      </c>
      <c r="J166" s="179">
        <v>46356</v>
      </c>
      <c r="K166" s="179">
        <v>0</v>
      </c>
      <c r="L166" s="179">
        <v>0</v>
      </c>
      <c r="M166" s="179">
        <v>24561979</v>
      </c>
      <c r="N166" s="179">
        <v>1186979</v>
      </c>
    </row>
    <row r="167" spans="1:14" s="156" customFormat="1" x14ac:dyDescent="0.25">
      <c r="A167" s="156" t="s">
        <v>544</v>
      </c>
      <c r="B167" s="156" t="s">
        <v>281</v>
      </c>
      <c r="C167" s="156" t="s">
        <v>282</v>
      </c>
      <c r="D167" s="156" t="s">
        <v>543</v>
      </c>
      <c r="E167" s="179">
        <v>29500000</v>
      </c>
      <c r="F167" s="179">
        <v>29500000</v>
      </c>
      <c r="G167" s="179">
        <v>6125000</v>
      </c>
      <c r="H167" s="179">
        <v>4535000</v>
      </c>
      <c r="I167" s="179">
        <v>356665</v>
      </c>
      <c r="J167" s="179">
        <v>46356</v>
      </c>
      <c r="K167" s="179">
        <v>0</v>
      </c>
      <c r="L167" s="179">
        <v>0</v>
      </c>
      <c r="M167" s="179">
        <v>24561979</v>
      </c>
      <c r="N167" s="179">
        <v>1186979</v>
      </c>
    </row>
    <row r="168" spans="1:14" s="156" customFormat="1" x14ac:dyDescent="0.25">
      <c r="A168" s="156" t="s">
        <v>544</v>
      </c>
      <c r="B168" s="156" t="s">
        <v>285</v>
      </c>
      <c r="C168" s="156" t="s">
        <v>286</v>
      </c>
      <c r="D168" s="156" t="s">
        <v>543</v>
      </c>
      <c r="E168" s="179">
        <v>4700000</v>
      </c>
      <c r="F168" s="179">
        <v>4700000</v>
      </c>
      <c r="G168" s="179">
        <v>1175000</v>
      </c>
      <c r="H168" s="179">
        <v>0</v>
      </c>
      <c r="I168" s="179">
        <v>0</v>
      </c>
      <c r="J168" s="179">
        <v>0</v>
      </c>
      <c r="K168" s="179">
        <v>0</v>
      </c>
      <c r="L168" s="179">
        <v>0</v>
      </c>
      <c r="M168" s="179">
        <v>4700000</v>
      </c>
      <c r="N168" s="179">
        <v>1175000</v>
      </c>
    </row>
    <row r="169" spans="1:14" s="156" customFormat="1" x14ac:dyDescent="0.25">
      <c r="A169" s="156" t="s">
        <v>544</v>
      </c>
      <c r="B169" s="156" t="s">
        <v>287</v>
      </c>
      <c r="C169" s="156" t="s">
        <v>288</v>
      </c>
      <c r="D169" s="156" t="s">
        <v>543</v>
      </c>
      <c r="E169" s="179">
        <v>3800000</v>
      </c>
      <c r="F169" s="179">
        <v>3800000</v>
      </c>
      <c r="G169" s="179">
        <v>950000</v>
      </c>
      <c r="H169" s="179">
        <v>719000</v>
      </c>
      <c r="I169" s="179">
        <v>222520</v>
      </c>
      <c r="J169" s="179">
        <v>0</v>
      </c>
      <c r="K169" s="179">
        <v>0</v>
      </c>
      <c r="L169" s="179">
        <v>0</v>
      </c>
      <c r="M169" s="179">
        <v>2858480</v>
      </c>
      <c r="N169" s="179">
        <v>8480</v>
      </c>
    </row>
    <row r="170" spans="1:14" s="156" customFormat="1" x14ac:dyDescent="0.25">
      <c r="A170" s="156" t="s">
        <v>544</v>
      </c>
      <c r="B170" s="156" t="s">
        <v>289</v>
      </c>
      <c r="C170" s="156" t="s">
        <v>290</v>
      </c>
      <c r="D170" s="156" t="s">
        <v>543</v>
      </c>
      <c r="E170" s="179">
        <v>1000000</v>
      </c>
      <c r="F170" s="179">
        <v>1000000</v>
      </c>
      <c r="G170" s="179">
        <v>0</v>
      </c>
      <c r="H170" s="179">
        <v>0</v>
      </c>
      <c r="I170" s="179">
        <v>0</v>
      </c>
      <c r="J170" s="179">
        <v>0</v>
      </c>
      <c r="K170" s="179">
        <v>0</v>
      </c>
      <c r="L170" s="179">
        <v>0</v>
      </c>
      <c r="M170" s="179">
        <v>1000000</v>
      </c>
      <c r="N170" s="179">
        <v>0</v>
      </c>
    </row>
    <row r="171" spans="1:14" s="156" customFormat="1" x14ac:dyDescent="0.25">
      <c r="A171" s="156" t="s">
        <v>544</v>
      </c>
      <c r="B171" s="156" t="s">
        <v>293</v>
      </c>
      <c r="C171" s="156" t="s">
        <v>294</v>
      </c>
      <c r="D171" s="156" t="s">
        <v>543</v>
      </c>
      <c r="E171" s="179">
        <v>16000000</v>
      </c>
      <c r="F171" s="179">
        <v>16000000</v>
      </c>
      <c r="G171" s="179">
        <v>4000000</v>
      </c>
      <c r="H171" s="179">
        <v>3816000</v>
      </c>
      <c r="I171" s="179">
        <v>134145</v>
      </c>
      <c r="J171" s="179">
        <v>46356</v>
      </c>
      <c r="K171" s="179">
        <v>0</v>
      </c>
      <c r="L171" s="179">
        <v>0</v>
      </c>
      <c r="M171" s="179">
        <v>12003499</v>
      </c>
      <c r="N171" s="179">
        <v>3499</v>
      </c>
    </row>
    <row r="172" spans="1:14" s="156" customFormat="1" x14ac:dyDescent="0.25">
      <c r="A172" s="156" t="s">
        <v>544</v>
      </c>
      <c r="B172" s="156" t="s">
        <v>295</v>
      </c>
      <c r="C172" s="156" t="s">
        <v>296</v>
      </c>
      <c r="D172" s="156" t="s">
        <v>543</v>
      </c>
      <c r="E172" s="179">
        <v>4000000</v>
      </c>
      <c r="F172" s="179">
        <v>4000000</v>
      </c>
      <c r="G172" s="179">
        <v>0</v>
      </c>
      <c r="H172" s="179">
        <v>0</v>
      </c>
      <c r="I172" s="179">
        <v>0</v>
      </c>
      <c r="J172" s="179">
        <v>0</v>
      </c>
      <c r="K172" s="179">
        <v>0</v>
      </c>
      <c r="L172" s="179">
        <v>0</v>
      </c>
      <c r="M172" s="179">
        <v>4000000</v>
      </c>
      <c r="N172" s="179">
        <v>0</v>
      </c>
    </row>
    <row r="173" spans="1:14" s="156" customFormat="1" x14ac:dyDescent="0.25">
      <c r="A173" s="156" t="s">
        <v>544</v>
      </c>
      <c r="B173" s="156" t="s">
        <v>251</v>
      </c>
      <c r="C173" s="156" t="s">
        <v>252</v>
      </c>
      <c r="D173" s="156" t="s">
        <v>541</v>
      </c>
      <c r="E173" s="179">
        <v>43960000</v>
      </c>
      <c r="F173" s="179">
        <v>43960000</v>
      </c>
      <c r="G173" s="179">
        <v>23210000</v>
      </c>
      <c r="H173" s="179">
        <v>0</v>
      </c>
      <c r="I173" s="179">
        <v>12379355.029999999</v>
      </c>
      <c r="J173" s="179">
        <v>0</v>
      </c>
      <c r="K173" s="179">
        <v>3673055.97</v>
      </c>
      <c r="L173" s="179">
        <v>3673055.97</v>
      </c>
      <c r="M173" s="179">
        <v>27907589</v>
      </c>
      <c r="N173" s="179">
        <v>7157589</v>
      </c>
    </row>
    <row r="174" spans="1:14" s="156" customFormat="1" x14ac:dyDescent="0.25">
      <c r="A174" s="156" t="s">
        <v>544</v>
      </c>
      <c r="B174" s="156" t="s">
        <v>253</v>
      </c>
      <c r="C174" s="156" t="s">
        <v>254</v>
      </c>
      <c r="D174" s="156" t="s">
        <v>541</v>
      </c>
      <c r="E174" s="179">
        <v>11142000</v>
      </c>
      <c r="F174" s="179">
        <v>11142000</v>
      </c>
      <c r="G174" s="179">
        <v>11142000</v>
      </c>
      <c r="H174" s="179">
        <v>0</v>
      </c>
      <c r="I174" s="179">
        <v>9011593</v>
      </c>
      <c r="J174" s="179">
        <v>0</v>
      </c>
      <c r="K174" s="179">
        <v>2130407</v>
      </c>
      <c r="L174" s="179">
        <v>2130407</v>
      </c>
      <c r="M174" s="179">
        <v>0</v>
      </c>
      <c r="N174" s="179">
        <v>0</v>
      </c>
    </row>
    <row r="175" spans="1:14" s="156" customFormat="1" x14ac:dyDescent="0.25">
      <c r="A175" s="156" t="s">
        <v>544</v>
      </c>
      <c r="B175" s="156" t="s">
        <v>311</v>
      </c>
      <c r="C175" s="156" t="s">
        <v>602</v>
      </c>
      <c r="D175" s="156" t="s">
        <v>541</v>
      </c>
      <c r="E175" s="179">
        <v>9273000</v>
      </c>
      <c r="F175" s="179">
        <v>9273000</v>
      </c>
      <c r="G175" s="179">
        <v>9273000</v>
      </c>
      <c r="H175" s="179">
        <v>0</v>
      </c>
      <c r="I175" s="179">
        <v>7500044</v>
      </c>
      <c r="J175" s="179">
        <v>0</v>
      </c>
      <c r="K175" s="179">
        <v>1772956</v>
      </c>
      <c r="L175" s="179">
        <v>1772956</v>
      </c>
      <c r="M175" s="179">
        <v>0</v>
      </c>
      <c r="N175" s="179">
        <v>0</v>
      </c>
    </row>
    <row r="176" spans="1:14" s="156" customFormat="1" x14ac:dyDescent="0.25">
      <c r="A176" s="156" t="s">
        <v>544</v>
      </c>
      <c r="B176" s="156" t="s">
        <v>312</v>
      </c>
      <c r="C176" s="156" t="s">
        <v>603</v>
      </c>
      <c r="D176" s="156" t="s">
        <v>541</v>
      </c>
      <c r="E176" s="179">
        <v>1869000</v>
      </c>
      <c r="F176" s="179">
        <v>1869000</v>
      </c>
      <c r="G176" s="179">
        <v>1869000</v>
      </c>
      <c r="H176" s="179">
        <v>0</v>
      </c>
      <c r="I176" s="179">
        <v>1511549</v>
      </c>
      <c r="J176" s="179">
        <v>0</v>
      </c>
      <c r="K176" s="179">
        <v>357451</v>
      </c>
      <c r="L176" s="179">
        <v>357451</v>
      </c>
      <c r="M176" s="179">
        <v>0</v>
      </c>
      <c r="N176" s="179">
        <v>0</v>
      </c>
    </row>
    <row r="177" spans="1:14" s="156" customFormat="1" x14ac:dyDescent="0.25">
      <c r="A177" s="156" t="s">
        <v>544</v>
      </c>
      <c r="B177" s="156" t="s">
        <v>261</v>
      </c>
      <c r="C177" s="156" t="s">
        <v>262</v>
      </c>
      <c r="D177" s="156" t="s">
        <v>541</v>
      </c>
      <c r="E177" s="179">
        <v>24818000</v>
      </c>
      <c r="F177" s="179">
        <v>24818000</v>
      </c>
      <c r="G177" s="179">
        <v>12068000</v>
      </c>
      <c r="H177" s="179">
        <v>0</v>
      </c>
      <c r="I177" s="179">
        <v>3367762.03</v>
      </c>
      <c r="J177" s="179">
        <v>0</v>
      </c>
      <c r="K177" s="179">
        <v>1542648.97</v>
      </c>
      <c r="L177" s="179">
        <v>1542648.97</v>
      </c>
      <c r="M177" s="179">
        <v>19907589</v>
      </c>
      <c r="N177" s="179">
        <v>7157589</v>
      </c>
    </row>
    <row r="178" spans="1:14" s="156" customFormat="1" x14ac:dyDescent="0.25">
      <c r="A178" s="156" t="s">
        <v>544</v>
      </c>
      <c r="B178" s="156" t="s">
        <v>263</v>
      </c>
      <c r="C178" s="156" t="s">
        <v>264</v>
      </c>
      <c r="D178" s="156" t="s">
        <v>541</v>
      </c>
      <c r="E178" s="179">
        <v>17000000</v>
      </c>
      <c r="F178" s="179">
        <v>17000000</v>
      </c>
      <c r="G178" s="179">
        <v>4250000</v>
      </c>
      <c r="H178" s="179">
        <v>0</v>
      </c>
      <c r="I178" s="179">
        <v>3367762.03</v>
      </c>
      <c r="J178" s="179">
        <v>0</v>
      </c>
      <c r="K178" s="179">
        <v>882237.97</v>
      </c>
      <c r="L178" s="179">
        <v>882237.97</v>
      </c>
      <c r="M178" s="179">
        <v>12750000</v>
      </c>
      <c r="N178" s="179">
        <v>0</v>
      </c>
    </row>
    <row r="179" spans="1:14" s="156" customFormat="1" x14ac:dyDescent="0.25">
      <c r="A179" s="156" t="s">
        <v>544</v>
      </c>
      <c r="B179" s="156" t="s">
        <v>265</v>
      </c>
      <c r="C179" s="156" t="s">
        <v>266</v>
      </c>
      <c r="D179" s="156" t="s">
        <v>541</v>
      </c>
      <c r="E179" s="179">
        <v>7818000</v>
      </c>
      <c r="F179" s="179">
        <v>7818000</v>
      </c>
      <c r="G179" s="179">
        <v>7818000</v>
      </c>
      <c r="H179" s="179">
        <v>0</v>
      </c>
      <c r="I179" s="179">
        <v>0</v>
      </c>
      <c r="J179" s="179">
        <v>0</v>
      </c>
      <c r="K179" s="179">
        <v>660411</v>
      </c>
      <c r="L179" s="179">
        <v>660411</v>
      </c>
      <c r="M179" s="179">
        <v>7157589</v>
      </c>
      <c r="N179" s="179">
        <v>7157589</v>
      </c>
    </row>
    <row r="180" spans="1:14" s="156" customFormat="1" x14ac:dyDescent="0.25">
      <c r="A180" s="156" t="s">
        <v>544</v>
      </c>
      <c r="B180" s="156" t="s">
        <v>267</v>
      </c>
      <c r="C180" s="156" t="s">
        <v>268</v>
      </c>
      <c r="D180" s="156" t="s">
        <v>541</v>
      </c>
      <c r="E180" s="179">
        <v>8000000</v>
      </c>
      <c r="F180" s="179">
        <v>8000000</v>
      </c>
      <c r="G180" s="179">
        <v>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8000000</v>
      </c>
      <c r="N180" s="179">
        <v>0</v>
      </c>
    </row>
    <row r="181" spans="1:14" s="156" customFormat="1" x14ac:dyDescent="0.25">
      <c r="A181" s="156" t="s">
        <v>544</v>
      </c>
      <c r="B181" s="156" t="s">
        <v>269</v>
      </c>
      <c r="C181" s="156" t="s">
        <v>270</v>
      </c>
      <c r="D181" s="156" t="s">
        <v>541</v>
      </c>
      <c r="E181" s="179">
        <v>8000000</v>
      </c>
      <c r="F181" s="179">
        <v>8000000</v>
      </c>
      <c r="G181" s="179">
        <v>0</v>
      </c>
      <c r="H181" s="179">
        <v>0</v>
      </c>
      <c r="I181" s="179">
        <v>0</v>
      </c>
      <c r="J181" s="179">
        <v>0</v>
      </c>
      <c r="K181" s="179">
        <v>0</v>
      </c>
      <c r="L181" s="179">
        <v>0</v>
      </c>
      <c r="M181" s="179">
        <v>8000000</v>
      </c>
      <c r="N181" s="179">
        <v>0</v>
      </c>
    </row>
    <row r="182" spans="1:14" s="156" customFormat="1" x14ac:dyDescent="0.25">
      <c r="A182" s="156">
        <v>214781</v>
      </c>
      <c r="B182" s="156" t="s">
        <v>587</v>
      </c>
      <c r="C182" s="156" t="s">
        <v>587</v>
      </c>
      <c r="D182" s="156" t="s">
        <v>541</v>
      </c>
      <c r="E182" s="179">
        <v>11325587195</v>
      </c>
      <c r="F182" s="179">
        <v>11325587195</v>
      </c>
      <c r="G182" s="179">
        <v>10397881815.809999</v>
      </c>
      <c r="H182" s="179">
        <v>0</v>
      </c>
      <c r="I182" s="179">
        <v>1490723718.9200001</v>
      </c>
      <c r="J182" s="179">
        <v>15912467.449999999</v>
      </c>
      <c r="K182" s="179">
        <v>1931129854.25</v>
      </c>
      <c r="L182" s="179">
        <v>1876246366.8800001</v>
      </c>
      <c r="M182" s="179">
        <v>7887821154.3800001</v>
      </c>
      <c r="N182" s="179">
        <v>6960115775.1899996</v>
      </c>
    </row>
    <row r="183" spans="1:14" s="156" customFormat="1" x14ac:dyDescent="0.25">
      <c r="A183" s="156" t="s">
        <v>545</v>
      </c>
      <c r="B183" s="156" t="s">
        <v>92</v>
      </c>
      <c r="C183" s="156" t="s">
        <v>93</v>
      </c>
      <c r="D183" s="156" t="s">
        <v>541</v>
      </c>
      <c r="E183" s="179">
        <v>9908319000</v>
      </c>
      <c r="F183" s="179">
        <v>9908319000</v>
      </c>
      <c r="G183" s="179">
        <v>9908319000</v>
      </c>
      <c r="H183" s="179">
        <v>0</v>
      </c>
      <c r="I183" s="179">
        <v>1206615935</v>
      </c>
      <c r="J183" s="179">
        <v>0</v>
      </c>
      <c r="K183" s="179">
        <v>1824489010.4200001</v>
      </c>
      <c r="L183" s="179">
        <v>1824489010.4200001</v>
      </c>
      <c r="M183" s="179">
        <v>6877214054.5799999</v>
      </c>
      <c r="N183" s="179">
        <v>6877214054.5799999</v>
      </c>
    </row>
    <row r="184" spans="1:14" s="156" customFormat="1" x14ac:dyDescent="0.25">
      <c r="A184" s="156" t="s">
        <v>545</v>
      </c>
      <c r="B184" s="156" t="s">
        <v>94</v>
      </c>
      <c r="C184" s="156" t="s">
        <v>95</v>
      </c>
      <c r="D184" s="156" t="s">
        <v>541</v>
      </c>
      <c r="E184" s="179">
        <v>3418584000</v>
      </c>
      <c r="F184" s="179">
        <v>3418584000</v>
      </c>
      <c r="G184" s="179">
        <v>3418584000</v>
      </c>
      <c r="H184" s="179">
        <v>0</v>
      </c>
      <c r="I184" s="179">
        <v>0</v>
      </c>
      <c r="J184" s="179">
        <v>0</v>
      </c>
      <c r="K184" s="179">
        <v>493394321.61000001</v>
      </c>
      <c r="L184" s="179">
        <v>493394321.61000001</v>
      </c>
      <c r="M184" s="179">
        <v>2925189678.3899999</v>
      </c>
      <c r="N184" s="179">
        <v>2925189678.3899999</v>
      </c>
    </row>
    <row r="185" spans="1:14" s="156" customFormat="1" x14ac:dyDescent="0.25">
      <c r="A185" s="156" t="s">
        <v>545</v>
      </c>
      <c r="B185" s="156" t="s">
        <v>96</v>
      </c>
      <c r="C185" s="156" t="s">
        <v>97</v>
      </c>
      <c r="D185" s="156" t="s">
        <v>541</v>
      </c>
      <c r="E185" s="179">
        <v>3413584000</v>
      </c>
      <c r="F185" s="179">
        <v>3413584000</v>
      </c>
      <c r="G185" s="179">
        <v>3413584000</v>
      </c>
      <c r="H185" s="179">
        <v>0</v>
      </c>
      <c r="I185" s="179">
        <v>0</v>
      </c>
      <c r="J185" s="179">
        <v>0</v>
      </c>
      <c r="K185" s="179">
        <v>493394321.61000001</v>
      </c>
      <c r="L185" s="179">
        <v>493394321.61000001</v>
      </c>
      <c r="M185" s="179">
        <v>2920189678.3899999</v>
      </c>
      <c r="N185" s="179">
        <v>2920189678.3899999</v>
      </c>
    </row>
    <row r="186" spans="1:14" s="156" customFormat="1" x14ac:dyDescent="0.25">
      <c r="A186" s="156" t="s">
        <v>545</v>
      </c>
      <c r="B186" s="156" t="s">
        <v>313</v>
      </c>
      <c r="C186" s="156" t="s">
        <v>314</v>
      </c>
      <c r="D186" s="156" t="s">
        <v>541</v>
      </c>
      <c r="E186" s="179">
        <v>5000000</v>
      </c>
      <c r="F186" s="179">
        <v>5000000</v>
      </c>
      <c r="G186" s="179">
        <v>5000000</v>
      </c>
      <c r="H186" s="179">
        <v>0</v>
      </c>
      <c r="I186" s="179">
        <v>0</v>
      </c>
      <c r="J186" s="179">
        <v>0</v>
      </c>
      <c r="K186" s="179">
        <v>0</v>
      </c>
      <c r="L186" s="179">
        <v>0</v>
      </c>
      <c r="M186" s="179">
        <v>5000000</v>
      </c>
      <c r="N186" s="179">
        <v>5000000</v>
      </c>
    </row>
    <row r="187" spans="1:14" s="156" customFormat="1" x14ac:dyDescent="0.25">
      <c r="A187" s="156" t="s">
        <v>545</v>
      </c>
      <c r="B187" s="156" t="s">
        <v>98</v>
      </c>
      <c r="C187" s="156" t="s">
        <v>99</v>
      </c>
      <c r="D187" s="156" t="s">
        <v>541</v>
      </c>
      <c r="E187" s="179">
        <v>11000000</v>
      </c>
      <c r="F187" s="179">
        <v>11000000</v>
      </c>
      <c r="G187" s="179">
        <v>11000000</v>
      </c>
      <c r="H187" s="179">
        <v>0</v>
      </c>
      <c r="I187" s="179">
        <v>0</v>
      </c>
      <c r="J187" s="179">
        <v>0</v>
      </c>
      <c r="K187" s="179">
        <v>824374.9</v>
      </c>
      <c r="L187" s="179">
        <v>824374.9</v>
      </c>
      <c r="M187" s="179">
        <v>10175625.1</v>
      </c>
      <c r="N187" s="179">
        <v>10175625.1</v>
      </c>
    </row>
    <row r="188" spans="1:14" s="156" customFormat="1" x14ac:dyDescent="0.25">
      <c r="A188" s="156" t="s">
        <v>545</v>
      </c>
      <c r="B188" s="156" t="s">
        <v>100</v>
      </c>
      <c r="C188" s="156" t="s">
        <v>101</v>
      </c>
      <c r="D188" s="156" t="s">
        <v>541</v>
      </c>
      <c r="E188" s="179">
        <v>11000000</v>
      </c>
      <c r="F188" s="179">
        <v>11000000</v>
      </c>
      <c r="G188" s="179">
        <v>11000000</v>
      </c>
      <c r="H188" s="179">
        <v>0</v>
      </c>
      <c r="I188" s="179">
        <v>0</v>
      </c>
      <c r="J188" s="179">
        <v>0</v>
      </c>
      <c r="K188" s="179">
        <v>824374.9</v>
      </c>
      <c r="L188" s="179">
        <v>824374.9</v>
      </c>
      <c r="M188" s="179">
        <v>10175625.1</v>
      </c>
      <c r="N188" s="179">
        <v>10175625.1</v>
      </c>
    </row>
    <row r="189" spans="1:14" s="156" customFormat="1" x14ac:dyDescent="0.25">
      <c r="A189" s="156" t="s">
        <v>545</v>
      </c>
      <c r="B189" s="156" t="s">
        <v>102</v>
      </c>
      <c r="C189" s="156" t="s">
        <v>103</v>
      </c>
      <c r="D189" s="156" t="s">
        <v>541</v>
      </c>
      <c r="E189" s="179">
        <v>4978167000</v>
      </c>
      <c r="F189" s="179">
        <v>4978167000</v>
      </c>
      <c r="G189" s="179">
        <v>4978167000</v>
      </c>
      <c r="H189" s="179">
        <v>0</v>
      </c>
      <c r="I189" s="179">
        <v>0</v>
      </c>
      <c r="J189" s="179">
        <v>0</v>
      </c>
      <c r="K189" s="179">
        <v>1036318248.91</v>
      </c>
      <c r="L189" s="179">
        <v>1036318248.91</v>
      </c>
      <c r="M189" s="179">
        <v>3941848751.0900002</v>
      </c>
      <c r="N189" s="179">
        <v>3941848751.0900002</v>
      </c>
    </row>
    <row r="190" spans="1:14" s="156" customFormat="1" x14ac:dyDescent="0.25">
      <c r="A190" s="156" t="s">
        <v>545</v>
      </c>
      <c r="B190" s="156" t="s">
        <v>104</v>
      </c>
      <c r="C190" s="156" t="s">
        <v>105</v>
      </c>
      <c r="D190" s="156" t="s">
        <v>541</v>
      </c>
      <c r="E190" s="179">
        <v>913627000</v>
      </c>
      <c r="F190" s="179">
        <v>913627000</v>
      </c>
      <c r="G190" s="179">
        <v>913627000</v>
      </c>
      <c r="H190" s="179">
        <v>0</v>
      </c>
      <c r="I190" s="179">
        <v>0</v>
      </c>
      <c r="J190" s="179">
        <v>0</v>
      </c>
      <c r="K190" s="179">
        <v>124107261.55</v>
      </c>
      <c r="L190" s="179">
        <v>124107261.55</v>
      </c>
      <c r="M190" s="179">
        <v>789519738.45000005</v>
      </c>
      <c r="N190" s="179">
        <v>789519738.45000005</v>
      </c>
    </row>
    <row r="191" spans="1:14" s="156" customFormat="1" x14ac:dyDescent="0.25">
      <c r="A191" s="156" t="s">
        <v>545</v>
      </c>
      <c r="B191" s="156" t="s">
        <v>106</v>
      </c>
      <c r="C191" s="156" t="s">
        <v>107</v>
      </c>
      <c r="D191" s="156" t="s">
        <v>541</v>
      </c>
      <c r="E191" s="179">
        <v>2244831000</v>
      </c>
      <c r="F191" s="179">
        <v>2244831000</v>
      </c>
      <c r="G191" s="179">
        <v>2244831000</v>
      </c>
      <c r="H191" s="179">
        <v>0</v>
      </c>
      <c r="I191" s="179">
        <v>0</v>
      </c>
      <c r="J191" s="179">
        <v>0</v>
      </c>
      <c r="K191" s="179">
        <v>325467044.75</v>
      </c>
      <c r="L191" s="179">
        <v>325467044.75</v>
      </c>
      <c r="M191" s="179">
        <v>1919363955.25</v>
      </c>
      <c r="N191" s="179">
        <v>1919363955.25</v>
      </c>
    </row>
    <row r="192" spans="1:14" s="156" customFormat="1" x14ac:dyDescent="0.25">
      <c r="A192" s="156" t="s">
        <v>545</v>
      </c>
      <c r="B192" s="156" t="s">
        <v>112</v>
      </c>
      <c r="C192" s="156" t="s">
        <v>113</v>
      </c>
      <c r="D192" s="156" t="s">
        <v>543</v>
      </c>
      <c r="E192" s="179">
        <v>647839000</v>
      </c>
      <c r="F192" s="179">
        <v>647839000</v>
      </c>
      <c r="G192" s="179">
        <v>647839000</v>
      </c>
      <c r="H192" s="179">
        <v>0</v>
      </c>
      <c r="I192" s="179">
        <v>0</v>
      </c>
      <c r="J192" s="179">
        <v>0</v>
      </c>
      <c r="K192" s="179">
        <v>0</v>
      </c>
      <c r="L192" s="179">
        <v>0</v>
      </c>
      <c r="M192" s="179">
        <v>647839000</v>
      </c>
      <c r="N192" s="179">
        <v>647839000</v>
      </c>
    </row>
    <row r="193" spans="1:14" s="156" customFormat="1" x14ac:dyDescent="0.25">
      <c r="A193" s="156" t="s">
        <v>545</v>
      </c>
      <c r="B193" s="156" t="s">
        <v>108</v>
      </c>
      <c r="C193" s="156" t="s">
        <v>109</v>
      </c>
      <c r="D193" s="156" t="s">
        <v>541</v>
      </c>
      <c r="E193" s="179">
        <v>540993000</v>
      </c>
      <c r="F193" s="179">
        <v>540993000</v>
      </c>
      <c r="G193" s="179">
        <v>540993000</v>
      </c>
      <c r="H193" s="179">
        <v>0</v>
      </c>
      <c r="I193" s="179">
        <v>0</v>
      </c>
      <c r="J193" s="179">
        <v>0</v>
      </c>
      <c r="K193" s="179">
        <v>493915397.87</v>
      </c>
      <c r="L193" s="179">
        <v>493915397.87</v>
      </c>
      <c r="M193" s="179">
        <v>47077602.130000003</v>
      </c>
      <c r="N193" s="179">
        <v>47077602.130000003</v>
      </c>
    </row>
    <row r="194" spans="1:14" s="156" customFormat="1" x14ac:dyDescent="0.25">
      <c r="A194" s="156" t="s">
        <v>545</v>
      </c>
      <c r="B194" s="156" t="s">
        <v>110</v>
      </c>
      <c r="C194" s="156" t="s">
        <v>111</v>
      </c>
      <c r="D194" s="156" t="s">
        <v>541</v>
      </c>
      <c r="E194" s="179">
        <v>630877000</v>
      </c>
      <c r="F194" s="179">
        <v>630877000</v>
      </c>
      <c r="G194" s="179">
        <v>630877000</v>
      </c>
      <c r="H194" s="179">
        <v>0</v>
      </c>
      <c r="I194" s="179">
        <v>0</v>
      </c>
      <c r="J194" s="179">
        <v>0</v>
      </c>
      <c r="K194" s="179">
        <v>92828544.739999995</v>
      </c>
      <c r="L194" s="179">
        <v>92828544.739999995</v>
      </c>
      <c r="M194" s="179">
        <v>538048455.25999999</v>
      </c>
      <c r="N194" s="179">
        <v>538048455.25999999</v>
      </c>
    </row>
    <row r="195" spans="1:14" s="156" customFormat="1" x14ac:dyDescent="0.25">
      <c r="A195" s="156" t="s">
        <v>545</v>
      </c>
      <c r="B195" s="156" t="s">
        <v>114</v>
      </c>
      <c r="C195" s="156" t="s">
        <v>115</v>
      </c>
      <c r="D195" s="156" t="s">
        <v>541</v>
      </c>
      <c r="E195" s="179">
        <v>756883000</v>
      </c>
      <c r="F195" s="179">
        <v>756883000</v>
      </c>
      <c r="G195" s="179">
        <v>756883000</v>
      </c>
      <c r="H195" s="179">
        <v>0</v>
      </c>
      <c r="I195" s="179">
        <v>607557434</v>
      </c>
      <c r="J195" s="179">
        <v>0</v>
      </c>
      <c r="K195" s="179">
        <v>149325566</v>
      </c>
      <c r="L195" s="179">
        <v>149325566</v>
      </c>
      <c r="M195" s="179">
        <v>0</v>
      </c>
      <c r="N195" s="179">
        <v>0</v>
      </c>
    </row>
    <row r="196" spans="1:14" s="156" customFormat="1" x14ac:dyDescent="0.25">
      <c r="A196" s="156" t="s">
        <v>545</v>
      </c>
      <c r="B196" s="156" t="s">
        <v>315</v>
      </c>
      <c r="C196" s="156" t="s">
        <v>597</v>
      </c>
      <c r="D196" s="156" t="s">
        <v>541</v>
      </c>
      <c r="E196" s="179">
        <v>718069000</v>
      </c>
      <c r="F196" s="179">
        <v>718069000</v>
      </c>
      <c r="G196" s="179">
        <v>718069000</v>
      </c>
      <c r="H196" s="179">
        <v>0</v>
      </c>
      <c r="I196" s="179">
        <v>576400174</v>
      </c>
      <c r="J196" s="179">
        <v>0</v>
      </c>
      <c r="K196" s="179">
        <v>141668826</v>
      </c>
      <c r="L196" s="179">
        <v>141668826</v>
      </c>
      <c r="M196" s="179">
        <v>0</v>
      </c>
      <c r="N196" s="179">
        <v>0</v>
      </c>
    </row>
    <row r="197" spans="1:14" s="156" customFormat="1" x14ac:dyDescent="0.25">
      <c r="A197" s="156" t="s">
        <v>545</v>
      </c>
      <c r="B197" s="156" t="s">
        <v>316</v>
      </c>
      <c r="C197" s="156" t="s">
        <v>583</v>
      </c>
      <c r="D197" s="156" t="s">
        <v>541</v>
      </c>
      <c r="E197" s="179">
        <v>38814000</v>
      </c>
      <c r="F197" s="179">
        <v>38814000</v>
      </c>
      <c r="G197" s="179">
        <v>38814000</v>
      </c>
      <c r="H197" s="179">
        <v>0</v>
      </c>
      <c r="I197" s="179">
        <v>31157260</v>
      </c>
      <c r="J197" s="179">
        <v>0</v>
      </c>
      <c r="K197" s="179">
        <v>7656740</v>
      </c>
      <c r="L197" s="179">
        <v>7656740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118</v>
      </c>
      <c r="C198" s="156" t="s">
        <v>119</v>
      </c>
      <c r="D198" s="156" t="s">
        <v>541</v>
      </c>
      <c r="E198" s="179">
        <v>743685000</v>
      </c>
      <c r="F198" s="179">
        <v>743685000</v>
      </c>
      <c r="G198" s="179">
        <v>743685000</v>
      </c>
      <c r="H198" s="179">
        <v>0</v>
      </c>
      <c r="I198" s="179">
        <v>599058501</v>
      </c>
      <c r="J198" s="179">
        <v>0</v>
      </c>
      <c r="K198" s="179">
        <v>144626499</v>
      </c>
      <c r="L198" s="179">
        <v>144626499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317</v>
      </c>
      <c r="C199" s="156" t="s">
        <v>598</v>
      </c>
      <c r="D199" s="156" t="s">
        <v>541</v>
      </c>
      <c r="E199" s="179">
        <v>394355000</v>
      </c>
      <c r="F199" s="179">
        <v>394355000</v>
      </c>
      <c r="G199" s="179">
        <v>394355000</v>
      </c>
      <c r="H199" s="179">
        <v>0</v>
      </c>
      <c r="I199" s="179">
        <v>318639059</v>
      </c>
      <c r="J199" s="179">
        <v>0</v>
      </c>
      <c r="K199" s="179">
        <v>75715941</v>
      </c>
      <c r="L199" s="179">
        <v>75715941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318</v>
      </c>
      <c r="C200" s="156" t="s">
        <v>599</v>
      </c>
      <c r="D200" s="156" t="s">
        <v>541</v>
      </c>
      <c r="E200" s="179">
        <v>116443000</v>
      </c>
      <c r="F200" s="179">
        <v>116443000</v>
      </c>
      <c r="G200" s="179">
        <v>116443000</v>
      </c>
      <c r="H200" s="179">
        <v>0</v>
      </c>
      <c r="I200" s="179">
        <v>93472829</v>
      </c>
      <c r="J200" s="179">
        <v>0</v>
      </c>
      <c r="K200" s="179">
        <v>22970171</v>
      </c>
      <c r="L200" s="179">
        <v>22970171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319</v>
      </c>
      <c r="C201" s="156" t="s">
        <v>600</v>
      </c>
      <c r="D201" s="156" t="s">
        <v>541</v>
      </c>
      <c r="E201" s="179">
        <v>232887000</v>
      </c>
      <c r="F201" s="179">
        <v>232887000</v>
      </c>
      <c r="G201" s="179">
        <v>232887000</v>
      </c>
      <c r="H201" s="179">
        <v>0</v>
      </c>
      <c r="I201" s="179">
        <v>186946613</v>
      </c>
      <c r="J201" s="179">
        <v>0</v>
      </c>
      <c r="K201" s="179">
        <v>45940387</v>
      </c>
      <c r="L201" s="179">
        <v>45940387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123</v>
      </c>
      <c r="C202" s="156" t="s">
        <v>124</v>
      </c>
      <c r="D202" s="156" t="s">
        <v>541</v>
      </c>
      <c r="E202" s="179">
        <v>1006874402</v>
      </c>
      <c r="F202" s="179">
        <v>1006874402</v>
      </c>
      <c r="G202" s="179">
        <v>286599300</v>
      </c>
      <c r="H202" s="179">
        <v>0</v>
      </c>
      <c r="I202" s="179">
        <v>188243217.61000001</v>
      </c>
      <c r="J202" s="179">
        <v>1058905.99</v>
      </c>
      <c r="K202" s="179">
        <v>75568879.950000003</v>
      </c>
      <c r="L202" s="179">
        <v>20685392.579999998</v>
      </c>
      <c r="M202" s="179">
        <v>742003398.45000005</v>
      </c>
      <c r="N202" s="179">
        <v>21728296.449999999</v>
      </c>
    </row>
    <row r="203" spans="1:14" s="156" customFormat="1" x14ac:dyDescent="0.25">
      <c r="A203" s="156" t="s">
        <v>545</v>
      </c>
      <c r="B203" s="156" t="s">
        <v>125</v>
      </c>
      <c r="C203" s="156" t="s">
        <v>126</v>
      </c>
      <c r="D203" s="156" t="s">
        <v>541</v>
      </c>
      <c r="E203" s="179">
        <v>331717997</v>
      </c>
      <c r="F203" s="179">
        <v>331717997</v>
      </c>
      <c r="G203" s="179">
        <v>79409499</v>
      </c>
      <c r="H203" s="179">
        <v>0</v>
      </c>
      <c r="I203" s="179">
        <v>49907989.719999999</v>
      </c>
      <c r="J203" s="179">
        <v>151623.45000000001</v>
      </c>
      <c r="K203" s="179">
        <v>28404849.460000001</v>
      </c>
      <c r="L203" s="179">
        <v>11513075</v>
      </c>
      <c r="M203" s="179">
        <v>253253534.37</v>
      </c>
      <c r="N203" s="179">
        <v>945036.37</v>
      </c>
    </row>
    <row r="204" spans="1:14" s="156" customFormat="1" x14ac:dyDescent="0.25">
      <c r="A204" s="156" t="s">
        <v>545</v>
      </c>
      <c r="B204" s="156" t="s">
        <v>306</v>
      </c>
      <c r="C204" s="156" t="s">
        <v>307</v>
      </c>
      <c r="D204" s="156" t="s">
        <v>541</v>
      </c>
      <c r="E204" s="179">
        <v>200526630</v>
      </c>
      <c r="F204" s="179">
        <v>200526630</v>
      </c>
      <c r="G204" s="179">
        <v>40211657</v>
      </c>
      <c r="H204" s="179">
        <v>0</v>
      </c>
      <c r="I204" s="179">
        <v>12733680</v>
      </c>
      <c r="J204" s="179">
        <v>0</v>
      </c>
      <c r="K204" s="179">
        <v>26837145</v>
      </c>
      <c r="L204" s="179">
        <v>11513075</v>
      </c>
      <c r="M204" s="179">
        <v>160955805</v>
      </c>
      <c r="N204" s="179">
        <v>640832</v>
      </c>
    </row>
    <row r="205" spans="1:14" s="156" customFormat="1" x14ac:dyDescent="0.25">
      <c r="A205" s="156" t="s">
        <v>545</v>
      </c>
      <c r="B205" s="156" t="s">
        <v>320</v>
      </c>
      <c r="C205" s="156" t="s">
        <v>321</v>
      </c>
      <c r="D205" s="156" t="s">
        <v>541</v>
      </c>
      <c r="E205" s="179">
        <v>3933000</v>
      </c>
      <c r="F205" s="179">
        <v>3933000</v>
      </c>
      <c r="G205" s="179">
        <v>983250</v>
      </c>
      <c r="H205" s="179">
        <v>0</v>
      </c>
      <c r="I205" s="179">
        <v>800659.2</v>
      </c>
      <c r="J205" s="179">
        <v>0</v>
      </c>
      <c r="K205" s="179">
        <v>0</v>
      </c>
      <c r="L205" s="179">
        <v>0</v>
      </c>
      <c r="M205" s="179">
        <v>3132340.8</v>
      </c>
      <c r="N205" s="179">
        <v>182590.8</v>
      </c>
    </row>
    <row r="206" spans="1:14" s="156" customFormat="1" x14ac:dyDescent="0.25">
      <c r="A206" s="156" t="s">
        <v>545</v>
      </c>
      <c r="B206" s="156" t="s">
        <v>127</v>
      </c>
      <c r="C206" s="156" t="s">
        <v>128</v>
      </c>
      <c r="D206" s="156" t="s">
        <v>541</v>
      </c>
      <c r="E206" s="179">
        <v>98126131</v>
      </c>
      <c r="F206" s="179">
        <v>98126131</v>
      </c>
      <c r="G206" s="179">
        <v>28531533</v>
      </c>
      <c r="H206" s="179">
        <v>0</v>
      </c>
      <c r="I206" s="179">
        <v>27013516.260000002</v>
      </c>
      <c r="J206" s="179">
        <v>0</v>
      </c>
      <c r="K206" s="179">
        <v>1430148.46</v>
      </c>
      <c r="L206" s="179">
        <v>0</v>
      </c>
      <c r="M206" s="179">
        <v>69682466.280000001</v>
      </c>
      <c r="N206" s="179">
        <v>87868.28</v>
      </c>
    </row>
    <row r="207" spans="1:14" s="156" customFormat="1" x14ac:dyDescent="0.25">
      <c r="A207" s="156" t="s">
        <v>545</v>
      </c>
      <c r="B207" s="156" t="s">
        <v>322</v>
      </c>
      <c r="C207" s="156" t="s">
        <v>323</v>
      </c>
      <c r="D207" s="156" t="s">
        <v>541</v>
      </c>
      <c r="E207" s="179">
        <v>1774000</v>
      </c>
      <c r="F207" s="179">
        <v>1774000</v>
      </c>
      <c r="G207" s="179">
        <v>643500</v>
      </c>
      <c r="H207" s="179">
        <v>0</v>
      </c>
      <c r="I207" s="179">
        <v>329212.58</v>
      </c>
      <c r="J207" s="179">
        <v>151623.45000000001</v>
      </c>
      <c r="K207" s="179">
        <v>137556</v>
      </c>
      <c r="L207" s="179">
        <v>0</v>
      </c>
      <c r="M207" s="179">
        <v>1155607.97</v>
      </c>
      <c r="N207" s="179">
        <v>25107.97</v>
      </c>
    </row>
    <row r="208" spans="1:14" s="156" customFormat="1" x14ac:dyDescent="0.25">
      <c r="A208" s="156" t="s">
        <v>545</v>
      </c>
      <c r="B208" s="156" t="s">
        <v>129</v>
      </c>
      <c r="C208" s="156" t="s">
        <v>130</v>
      </c>
      <c r="D208" s="156" t="s">
        <v>541</v>
      </c>
      <c r="E208" s="179">
        <v>27358236</v>
      </c>
      <c r="F208" s="179">
        <v>27358236</v>
      </c>
      <c r="G208" s="179">
        <v>9039559</v>
      </c>
      <c r="H208" s="179">
        <v>0</v>
      </c>
      <c r="I208" s="179">
        <v>9030921.6799999997</v>
      </c>
      <c r="J208" s="179">
        <v>0</v>
      </c>
      <c r="K208" s="179">
        <v>0</v>
      </c>
      <c r="L208" s="179">
        <v>0</v>
      </c>
      <c r="M208" s="179">
        <v>18327314.32</v>
      </c>
      <c r="N208" s="179">
        <v>8637.32</v>
      </c>
    </row>
    <row r="209" spans="1:14" s="156" customFormat="1" x14ac:dyDescent="0.25">
      <c r="A209" s="156" t="s">
        <v>545</v>
      </c>
      <c r="B209" s="156" t="s">
        <v>131</v>
      </c>
      <c r="C209" s="156" t="s">
        <v>132</v>
      </c>
      <c r="D209" s="156" t="s">
        <v>541</v>
      </c>
      <c r="E209" s="179">
        <v>126929000</v>
      </c>
      <c r="F209" s="179">
        <v>126929000</v>
      </c>
      <c r="G209" s="179">
        <v>36932250</v>
      </c>
      <c r="H209" s="179">
        <v>0</v>
      </c>
      <c r="I209" s="179">
        <v>21309935.890000001</v>
      </c>
      <c r="J209" s="179">
        <v>262850.65999999997</v>
      </c>
      <c r="K209" s="179">
        <v>14828795.07</v>
      </c>
      <c r="L209" s="179">
        <v>2977084.68</v>
      </c>
      <c r="M209" s="179">
        <v>90527418.379999995</v>
      </c>
      <c r="N209" s="179">
        <v>530668.38</v>
      </c>
    </row>
    <row r="210" spans="1:14" s="156" customFormat="1" x14ac:dyDescent="0.25">
      <c r="A210" s="156" t="s">
        <v>545</v>
      </c>
      <c r="B210" s="156" t="s">
        <v>133</v>
      </c>
      <c r="C210" s="156" t="s">
        <v>134</v>
      </c>
      <c r="D210" s="156" t="s">
        <v>541</v>
      </c>
      <c r="E210" s="179">
        <v>13400000</v>
      </c>
      <c r="F210" s="179">
        <v>13400000</v>
      </c>
      <c r="G210" s="179">
        <v>6350000</v>
      </c>
      <c r="H210" s="179">
        <v>0</v>
      </c>
      <c r="I210" s="179">
        <v>3438574</v>
      </c>
      <c r="J210" s="179">
        <v>0</v>
      </c>
      <c r="K210" s="179">
        <v>2722595</v>
      </c>
      <c r="L210" s="179">
        <v>1060635</v>
      </c>
      <c r="M210" s="179">
        <v>7238831</v>
      </c>
      <c r="N210" s="179">
        <v>188831</v>
      </c>
    </row>
    <row r="211" spans="1:14" s="156" customFormat="1" x14ac:dyDescent="0.25">
      <c r="A211" s="156" t="s">
        <v>545</v>
      </c>
      <c r="B211" s="156" t="s">
        <v>135</v>
      </c>
      <c r="C211" s="156" t="s">
        <v>136</v>
      </c>
      <c r="D211" s="156" t="s">
        <v>541</v>
      </c>
      <c r="E211" s="179">
        <v>49200000</v>
      </c>
      <c r="F211" s="179">
        <v>49200000</v>
      </c>
      <c r="G211" s="179">
        <v>14000000</v>
      </c>
      <c r="H211" s="179">
        <v>0</v>
      </c>
      <c r="I211" s="179">
        <v>7102245</v>
      </c>
      <c r="J211" s="179">
        <v>0</v>
      </c>
      <c r="K211" s="179">
        <v>6897755</v>
      </c>
      <c r="L211" s="179">
        <v>0</v>
      </c>
      <c r="M211" s="179">
        <v>35200000</v>
      </c>
      <c r="N211" s="179">
        <v>0</v>
      </c>
    </row>
    <row r="212" spans="1:14" s="156" customFormat="1" x14ac:dyDescent="0.25">
      <c r="A212" s="156" t="s">
        <v>545</v>
      </c>
      <c r="B212" s="156" t="s">
        <v>137</v>
      </c>
      <c r="C212" s="156" t="s">
        <v>138</v>
      </c>
      <c r="D212" s="156" t="s">
        <v>541</v>
      </c>
      <c r="E212" s="179">
        <v>12000000</v>
      </c>
      <c r="F212" s="179">
        <v>12000000</v>
      </c>
      <c r="G212" s="179">
        <v>1300000</v>
      </c>
      <c r="H212" s="179">
        <v>0</v>
      </c>
      <c r="I212" s="179">
        <v>726430</v>
      </c>
      <c r="J212" s="179">
        <v>0</v>
      </c>
      <c r="K212" s="179">
        <v>482270</v>
      </c>
      <c r="L212" s="179">
        <v>208700</v>
      </c>
      <c r="M212" s="179">
        <v>10791300</v>
      </c>
      <c r="N212" s="179">
        <v>91300</v>
      </c>
    </row>
    <row r="213" spans="1:14" s="156" customFormat="1" x14ac:dyDescent="0.25">
      <c r="A213" s="156" t="s">
        <v>545</v>
      </c>
      <c r="B213" s="156" t="s">
        <v>139</v>
      </c>
      <c r="C213" s="156" t="s">
        <v>140</v>
      </c>
      <c r="D213" s="156" t="s">
        <v>541</v>
      </c>
      <c r="E213" s="179">
        <v>47604000</v>
      </c>
      <c r="F213" s="179">
        <v>47604000</v>
      </c>
      <c r="G213" s="179">
        <v>13901000</v>
      </c>
      <c r="H213" s="179">
        <v>0</v>
      </c>
      <c r="I213" s="179">
        <v>8661686.8900000006</v>
      </c>
      <c r="J213" s="179">
        <v>262850.65999999997</v>
      </c>
      <c r="K213" s="179">
        <v>4726175.07</v>
      </c>
      <c r="L213" s="179">
        <v>1707749.68</v>
      </c>
      <c r="M213" s="179">
        <v>33953287.380000003</v>
      </c>
      <c r="N213" s="179">
        <v>250287.38</v>
      </c>
    </row>
    <row r="214" spans="1:14" s="156" customFormat="1" x14ac:dyDescent="0.25">
      <c r="A214" s="156" t="s">
        <v>545</v>
      </c>
      <c r="B214" s="156" t="s">
        <v>141</v>
      </c>
      <c r="C214" s="156" t="s">
        <v>142</v>
      </c>
      <c r="D214" s="156" t="s">
        <v>541</v>
      </c>
      <c r="E214" s="179">
        <v>4725000</v>
      </c>
      <c r="F214" s="179">
        <v>4725000</v>
      </c>
      <c r="G214" s="179">
        <v>1381250</v>
      </c>
      <c r="H214" s="179">
        <v>0</v>
      </c>
      <c r="I214" s="179">
        <v>1381000</v>
      </c>
      <c r="J214" s="179">
        <v>0</v>
      </c>
      <c r="K214" s="179">
        <v>0</v>
      </c>
      <c r="L214" s="179">
        <v>0</v>
      </c>
      <c r="M214" s="179">
        <v>3344000</v>
      </c>
      <c r="N214" s="179">
        <v>250</v>
      </c>
    </row>
    <row r="215" spans="1:14" s="156" customFormat="1" x14ac:dyDescent="0.25">
      <c r="A215" s="156" t="s">
        <v>545</v>
      </c>
      <c r="B215" s="156" t="s">
        <v>143</v>
      </c>
      <c r="C215" s="156" t="s">
        <v>144</v>
      </c>
      <c r="D215" s="156" t="s">
        <v>541</v>
      </c>
      <c r="E215" s="179">
        <v>3746000</v>
      </c>
      <c r="F215" s="179">
        <v>3746000</v>
      </c>
      <c r="G215" s="179">
        <v>1267200</v>
      </c>
      <c r="H215" s="179">
        <v>0</v>
      </c>
      <c r="I215" s="179">
        <v>885664.42</v>
      </c>
      <c r="J215" s="179">
        <v>0</v>
      </c>
      <c r="K215" s="179">
        <v>124652.9</v>
      </c>
      <c r="L215" s="179">
        <v>124652.9</v>
      </c>
      <c r="M215" s="179">
        <v>2735682.68</v>
      </c>
      <c r="N215" s="179">
        <v>256882.68</v>
      </c>
    </row>
    <row r="216" spans="1:14" s="156" customFormat="1" x14ac:dyDescent="0.25">
      <c r="A216" s="156" t="s">
        <v>545</v>
      </c>
      <c r="B216" s="156" t="s">
        <v>145</v>
      </c>
      <c r="C216" s="156" t="s">
        <v>146</v>
      </c>
      <c r="D216" s="156" t="s">
        <v>541</v>
      </c>
      <c r="E216" s="179">
        <v>500000</v>
      </c>
      <c r="F216" s="179">
        <v>500000</v>
      </c>
      <c r="G216" s="179">
        <v>305700</v>
      </c>
      <c r="H216" s="179">
        <v>0</v>
      </c>
      <c r="I216" s="179">
        <v>233730</v>
      </c>
      <c r="J216" s="179">
        <v>0</v>
      </c>
      <c r="K216" s="179">
        <v>71970</v>
      </c>
      <c r="L216" s="179">
        <v>71970</v>
      </c>
      <c r="M216" s="179">
        <v>194300</v>
      </c>
      <c r="N216" s="179">
        <v>0</v>
      </c>
    </row>
    <row r="217" spans="1:14" s="156" customFormat="1" x14ac:dyDescent="0.25">
      <c r="A217" s="156" t="s">
        <v>545</v>
      </c>
      <c r="B217" s="156" t="s">
        <v>147</v>
      </c>
      <c r="C217" s="156" t="s">
        <v>148</v>
      </c>
      <c r="D217" s="156" t="s">
        <v>541</v>
      </c>
      <c r="E217" s="179">
        <v>1000000</v>
      </c>
      <c r="F217" s="179">
        <v>1000000</v>
      </c>
      <c r="G217" s="179">
        <v>250000</v>
      </c>
      <c r="H217" s="179">
        <v>0</v>
      </c>
      <c r="I217" s="179">
        <v>147000</v>
      </c>
      <c r="J217" s="179">
        <v>0</v>
      </c>
      <c r="K217" s="179">
        <v>21950</v>
      </c>
      <c r="L217" s="179">
        <v>21950</v>
      </c>
      <c r="M217" s="179">
        <v>831050</v>
      </c>
      <c r="N217" s="179">
        <v>81050</v>
      </c>
    </row>
    <row r="218" spans="1:14" s="156" customFormat="1" x14ac:dyDescent="0.25">
      <c r="A218" s="156" t="s">
        <v>545</v>
      </c>
      <c r="B218" s="156" t="s">
        <v>149</v>
      </c>
      <c r="C218" s="156" t="s">
        <v>150</v>
      </c>
      <c r="D218" s="156" t="s">
        <v>541</v>
      </c>
      <c r="E218" s="179">
        <v>200000</v>
      </c>
      <c r="F218" s="179">
        <v>200000</v>
      </c>
      <c r="G218" s="179">
        <v>200000</v>
      </c>
      <c r="H218" s="179">
        <v>0</v>
      </c>
      <c r="I218" s="179">
        <v>92503</v>
      </c>
      <c r="J218" s="179">
        <v>0</v>
      </c>
      <c r="K218" s="179">
        <v>14521.5</v>
      </c>
      <c r="L218" s="179">
        <v>14521.5</v>
      </c>
      <c r="M218" s="179">
        <v>92975.5</v>
      </c>
      <c r="N218" s="179">
        <v>92975.5</v>
      </c>
    </row>
    <row r="219" spans="1:14" s="156" customFormat="1" x14ac:dyDescent="0.25">
      <c r="A219" s="156" t="s">
        <v>545</v>
      </c>
      <c r="B219" s="156" t="s">
        <v>326</v>
      </c>
      <c r="C219" s="156" t="s">
        <v>327</v>
      </c>
      <c r="D219" s="156" t="s">
        <v>541</v>
      </c>
      <c r="E219" s="179">
        <v>2046000</v>
      </c>
      <c r="F219" s="179">
        <v>2046000</v>
      </c>
      <c r="G219" s="179">
        <v>511500</v>
      </c>
      <c r="H219" s="179">
        <v>0</v>
      </c>
      <c r="I219" s="179">
        <v>412431.42</v>
      </c>
      <c r="J219" s="179">
        <v>0</v>
      </c>
      <c r="K219" s="179">
        <v>16211.4</v>
      </c>
      <c r="L219" s="179">
        <v>16211.4</v>
      </c>
      <c r="M219" s="179">
        <v>1617357.18</v>
      </c>
      <c r="N219" s="179">
        <v>82857.179999999993</v>
      </c>
    </row>
    <row r="220" spans="1:14" s="156" customFormat="1" x14ac:dyDescent="0.25">
      <c r="A220" s="156" t="s">
        <v>545</v>
      </c>
      <c r="B220" s="156" t="s">
        <v>151</v>
      </c>
      <c r="C220" s="156" t="s">
        <v>152</v>
      </c>
      <c r="D220" s="156" t="s">
        <v>541</v>
      </c>
      <c r="E220" s="179">
        <v>334518795</v>
      </c>
      <c r="F220" s="179">
        <v>334518795</v>
      </c>
      <c r="G220" s="179">
        <v>95979699</v>
      </c>
      <c r="H220" s="179">
        <v>0</v>
      </c>
      <c r="I220" s="179">
        <v>71136424.379999995</v>
      </c>
      <c r="J220" s="179">
        <v>0</v>
      </c>
      <c r="K220" s="179">
        <v>23730242.52</v>
      </c>
      <c r="L220" s="179">
        <v>0</v>
      </c>
      <c r="M220" s="179">
        <v>239652128.09999999</v>
      </c>
      <c r="N220" s="179">
        <v>1113032.1000000001</v>
      </c>
    </row>
    <row r="221" spans="1:14" s="156" customFormat="1" x14ac:dyDescent="0.25">
      <c r="A221" s="156" t="s">
        <v>545</v>
      </c>
      <c r="B221" s="156" t="s">
        <v>328</v>
      </c>
      <c r="C221" s="156" t="s">
        <v>329</v>
      </c>
      <c r="D221" s="156" t="s">
        <v>541</v>
      </c>
      <c r="E221" s="179">
        <v>2000000</v>
      </c>
      <c r="F221" s="179">
        <v>2000000</v>
      </c>
      <c r="G221" s="179">
        <v>300000</v>
      </c>
      <c r="H221" s="179">
        <v>0</v>
      </c>
      <c r="I221" s="179">
        <v>0</v>
      </c>
      <c r="J221" s="179">
        <v>0</v>
      </c>
      <c r="K221" s="179">
        <v>0</v>
      </c>
      <c r="L221" s="179">
        <v>0</v>
      </c>
      <c r="M221" s="179">
        <v>2000000</v>
      </c>
      <c r="N221" s="179">
        <v>300000</v>
      </c>
    </row>
    <row r="222" spans="1:14" s="156" customFormat="1" x14ac:dyDescent="0.25">
      <c r="A222" s="156" t="s">
        <v>545</v>
      </c>
      <c r="B222" s="156" t="s">
        <v>330</v>
      </c>
      <c r="C222" s="156" t="s">
        <v>604</v>
      </c>
      <c r="D222" s="156" t="s">
        <v>541</v>
      </c>
      <c r="E222" s="179">
        <v>5000000</v>
      </c>
      <c r="F222" s="179">
        <v>5000000</v>
      </c>
      <c r="G222" s="179">
        <v>5000000</v>
      </c>
      <c r="H222" s="179">
        <v>0</v>
      </c>
      <c r="I222" s="179">
        <v>4556956</v>
      </c>
      <c r="J222" s="179">
        <v>0</v>
      </c>
      <c r="K222" s="179">
        <v>0</v>
      </c>
      <c r="L222" s="179">
        <v>0</v>
      </c>
      <c r="M222" s="179">
        <v>443044</v>
      </c>
      <c r="N222" s="179">
        <v>443044</v>
      </c>
    </row>
    <row r="223" spans="1:14" s="156" customFormat="1" x14ac:dyDescent="0.25">
      <c r="A223" s="156" t="s">
        <v>545</v>
      </c>
      <c r="B223" s="156" t="s">
        <v>154</v>
      </c>
      <c r="C223" s="156" t="s">
        <v>155</v>
      </c>
      <c r="D223" s="156" t="s">
        <v>541</v>
      </c>
      <c r="E223" s="179">
        <v>319951179</v>
      </c>
      <c r="F223" s="179">
        <v>319951179</v>
      </c>
      <c r="G223" s="179">
        <v>86187795</v>
      </c>
      <c r="H223" s="179">
        <v>0</v>
      </c>
      <c r="I223" s="179">
        <v>62525763.039999999</v>
      </c>
      <c r="J223" s="179">
        <v>0</v>
      </c>
      <c r="K223" s="179">
        <v>23661517.52</v>
      </c>
      <c r="L223" s="179">
        <v>0</v>
      </c>
      <c r="M223" s="179">
        <v>233763898.44</v>
      </c>
      <c r="N223" s="179">
        <v>514.44000000000005</v>
      </c>
    </row>
    <row r="224" spans="1:14" s="156" customFormat="1" x14ac:dyDescent="0.25">
      <c r="A224" s="156" t="s">
        <v>545</v>
      </c>
      <c r="B224" s="156" t="s">
        <v>156</v>
      </c>
      <c r="C224" s="156" t="s">
        <v>157</v>
      </c>
      <c r="D224" s="156" t="s">
        <v>541</v>
      </c>
      <c r="E224" s="179">
        <v>7567616</v>
      </c>
      <c r="F224" s="179">
        <v>7567616</v>
      </c>
      <c r="G224" s="179">
        <v>4491904</v>
      </c>
      <c r="H224" s="179">
        <v>0</v>
      </c>
      <c r="I224" s="179">
        <v>4053705.34</v>
      </c>
      <c r="J224" s="179">
        <v>0</v>
      </c>
      <c r="K224" s="179">
        <v>68725</v>
      </c>
      <c r="L224" s="179">
        <v>0</v>
      </c>
      <c r="M224" s="179">
        <v>3445185.66</v>
      </c>
      <c r="N224" s="179">
        <v>369473.66</v>
      </c>
    </row>
    <row r="225" spans="1:14" s="156" customFormat="1" x14ac:dyDescent="0.25">
      <c r="A225" s="156" t="s">
        <v>545</v>
      </c>
      <c r="B225" s="156" t="s">
        <v>158</v>
      </c>
      <c r="C225" s="156" t="s">
        <v>159</v>
      </c>
      <c r="D225" s="156" t="s">
        <v>541</v>
      </c>
      <c r="E225" s="179">
        <v>33445676</v>
      </c>
      <c r="F225" s="179">
        <v>33445676</v>
      </c>
      <c r="G225" s="179">
        <v>16181419</v>
      </c>
      <c r="H225" s="179">
        <v>0</v>
      </c>
      <c r="I225" s="179">
        <v>8740240</v>
      </c>
      <c r="J225" s="179">
        <v>0</v>
      </c>
      <c r="K225" s="179">
        <v>5634960</v>
      </c>
      <c r="L225" s="179">
        <v>5225060</v>
      </c>
      <c r="M225" s="179">
        <v>19070476</v>
      </c>
      <c r="N225" s="179">
        <v>1806219</v>
      </c>
    </row>
    <row r="226" spans="1:14" s="156" customFormat="1" x14ac:dyDescent="0.25">
      <c r="A226" s="156" t="s">
        <v>545</v>
      </c>
      <c r="B226" s="156" t="s">
        <v>160</v>
      </c>
      <c r="C226" s="156" t="s">
        <v>161</v>
      </c>
      <c r="D226" s="156" t="s">
        <v>541</v>
      </c>
      <c r="E226" s="179">
        <v>1700000</v>
      </c>
      <c r="F226" s="179">
        <v>1700000</v>
      </c>
      <c r="G226" s="179">
        <v>425000</v>
      </c>
      <c r="H226" s="179">
        <v>0</v>
      </c>
      <c r="I226" s="179">
        <v>295140</v>
      </c>
      <c r="J226" s="179">
        <v>0</v>
      </c>
      <c r="K226" s="179">
        <v>103860</v>
      </c>
      <c r="L226" s="179">
        <v>103860</v>
      </c>
      <c r="M226" s="179">
        <v>1301000</v>
      </c>
      <c r="N226" s="179">
        <v>26000</v>
      </c>
    </row>
    <row r="227" spans="1:14" s="156" customFormat="1" x14ac:dyDescent="0.25">
      <c r="A227" s="156" t="s">
        <v>545</v>
      </c>
      <c r="B227" s="156" t="s">
        <v>162</v>
      </c>
      <c r="C227" s="156" t="s">
        <v>163</v>
      </c>
      <c r="D227" s="156" t="s">
        <v>541</v>
      </c>
      <c r="E227" s="179">
        <v>24979191</v>
      </c>
      <c r="F227" s="179">
        <v>24979191</v>
      </c>
      <c r="G227" s="179">
        <v>12244798</v>
      </c>
      <c r="H227" s="179">
        <v>0</v>
      </c>
      <c r="I227" s="179">
        <v>4945100</v>
      </c>
      <c r="J227" s="179">
        <v>0</v>
      </c>
      <c r="K227" s="179">
        <v>5531100</v>
      </c>
      <c r="L227" s="179">
        <v>5121200</v>
      </c>
      <c r="M227" s="179">
        <v>14502991</v>
      </c>
      <c r="N227" s="179">
        <v>1768598</v>
      </c>
    </row>
    <row r="228" spans="1:14" s="156" customFormat="1" x14ac:dyDescent="0.25">
      <c r="A228" s="156" t="s">
        <v>545</v>
      </c>
      <c r="B228" s="156" t="s">
        <v>164</v>
      </c>
      <c r="C228" s="156" t="s">
        <v>165</v>
      </c>
      <c r="D228" s="156" t="s">
        <v>541</v>
      </c>
      <c r="E228" s="179">
        <v>2035715</v>
      </c>
      <c r="F228" s="179">
        <v>2035715</v>
      </c>
      <c r="G228" s="179">
        <v>508929</v>
      </c>
      <c r="H228" s="179">
        <v>0</v>
      </c>
      <c r="I228" s="179">
        <v>500000</v>
      </c>
      <c r="J228" s="179">
        <v>0</v>
      </c>
      <c r="K228" s="179">
        <v>0</v>
      </c>
      <c r="L228" s="179">
        <v>0</v>
      </c>
      <c r="M228" s="179">
        <v>1535715</v>
      </c>
      <c r="N228" s="179">
        <v>8929</v>
      </c>
    </row>
    <row r="229" spans="1:14" s="156" customFormat="1" x14ac:dyDescent="0.25">
      <c r="A229" s="156" t="s">
        <v>545</v>
      </c>
      <c r="B229" s="156" t="s">
        <v>166</v>
      </c>
      <c r="C229" s="156" t="s">
        <v>167</v>
      </c>
      <c r="D229" s="156" t="s">
        <v>541</v>
      </c>
      <c r="E229" s="179">
        <v>4730770</v>
      </c>
      <c r="F229" s="179">
        <v>4730770</v>
      </c>
      <c r="G229" s="179">
        <v>3002692</v>
      </c>
      <c r="H229" s="179">
        <v>0</v>
      </c>
      <c r="I229" s="179">
        <v>3000000</v>
      </c>
      <c r="J229" s="179">
        <v>0</v>
      </c>
      <c r="K229" s="179">
        <v>0</v>
      </c>
      <c r="L229" s="179">
        <v>0</v>
      </c>
      <c r="M229" s="179">
        <v>1730770</v>
      </c>
      <c r="N229" s="179">
        <v>2692</v>
      </c>
    </row>
    <row r="230" spans="1:14" s="156" customFormat="1" x14ac:dyDescent="0.25">
      <c r="A230" s="156" t="s">
        <v>545</v>
      </c>
      <c r="B230" s="156" t="s">
        <v>168</v>
      </c>
      <c r="C230" s="156" t="s">
        <v>169</v>
      </c>
      <c r="D230" s="156" t="s">
        <v>541</v>
      </c>
      <c r="E230" s="179">
        <v>83546141</v>
      </c>
      <c r="F230" s="179">
        <v>83546141</v>
      </c>
      <c r="G230" s="179">
        <v>20886535</v>
      </c>
      <c r="H230" s="179">
        <v>0</v>
      </c>
      <c r="I230" s="179">
        <v>15042546</v>
      </c>
      <c r="J230" s="179">
        <v>0</v>
      </c>
      <c r="K230" s="179">
        <v>0</v>
      </c>
      <c r="L230" s="179">
        <v>0</v>
      </c>
      <c r="M230" s="179">
        <v>68503595</v>
      </c>
      <c r="N230" s="179">
        <v>5843989</v>
      </c>
    </row>
    <row r="231" spans="1:14" s="156" customFormat="1" x14ac:dyDescent="0.25">
      <c r="A231" s="156" t="s">
        <v>545</v>
      </c>
      <c r="B231" s="156" t="s">
        <v>170</v>
      </c>
      <c r="C231" s="156" t="s">
        <v>171</v>
      </c>
      <c r="D231" s="156" t="s">
        <v>541</v>
      </c>
      <c r="E231" s="179">
        <v>83546141</v>
      </c>
      <c r="F231" s="179">
        <v>83546141</v>
      </c>
      <c r="G231" s="179">
        <v>20886535</v>
      </c>
      <c r="H231" s="179">
        <v>0</v>
      </c>
      <c r="I231" s="179">
        <v>15042546</v>
      </c>
      <c r="J231" s="179">
        <v>0</v>
      </c>
      <c r="K231" s="179">
        <v>0</v>
      </c>
      <c r="L231" s="179">
        <v>0</v>
      </c>
      <c r="M231" s="179">
        <v>68503595</v>
      </c>
      <c r="N231" s="179">
        <v>5843989</v>
      </c>
    </row>
    <row r="232" spans="1:14" s="156" customFormat="1" x14ac:dyDescent="0.25">
      <c r="A232" s="156" t="s">
        <v>545</v>
      </c>
      <c r="B232" s="156" t="s">
        <v>172</v>
      </c>
      <c r="C232" s="156" t="s">
        <v>173</v>
      </c>
      <c r="D232" s="156" t="s">
        <v>541</v>
      </c>
      <c r="E232" s="179">
        <v>0</v>
      </c>
      <c r="F232" s="179">
        <v>0</v>
      </c>
      <c r="G232" s="179">
        <v>0</v>
      </c>
      <c r="H232" s="179">
        <v>0</v>
      </c>
      <c r="I232" s="179">
        <v>0</v>
      </c>
      <c r="J232" s="179">
        <v>0</v>
      </c>
      <c r="K232" s="179">
        <v>0</v>
      </c>
      <c r="L232" s="179">
        <v>0</v>
      </c>
      <c r="M232" s="179">
        <v>0</v>
      </c>
      <c r="N232" s="179">
        <v>0</v>
      </c>
    </row>
    <row r="233" spans="1:14" s="156" customFormat="1" x14ac:dyDescent="0.25">
      <c r="A233" s="156" t="s">
        <v>545</v>
      </c>
      <c r="B233" s="156" t="s">
        <v>309</v>
      </c>
      <c r="C233" s="156" t="s">
        <v>310</v>
      </c>
      <c r="D233" s="156" t="s">
        <v>541</v>
      </c>
      <c r="E233" s="179">
        <v>0</v>
      </c>
      <c r="F233" s="179">
        <v>0</v>
      </c>
      <c r="G233" s="179">
        <v>0</v>
      </c>
      <c r="H233" s="179">
        <v>0</v>
      </c>
      <c r="I233" s="179">
        <v>0</v>
      </c>
      <c r="J233" s="179">
        <v>0</v>
      </c>
      <c r="K233" s="179">
        <v>0</v>
      </c>
      <c r="L233" s="179">
        <v>0</v>
      </c>
      <c r="M233" s="179">
        <v>0</v>
      </c>
      <c r="N233" s="179">
        <v>0</v>
      </c>
    </row>
    <row r="234" spans="1:14" s="156" customFormat="1" x14ac:dyDescent="0.25">
      <c r="A234" s="156" t="s">
        <v>545</v>
      </c>
      <c r="B234" s="156" t="s">
        <v>178</v>
      </c>
      <c r="C234" s="156" t="s">
        <v>179</v>
      </c>
      <c r="D234" s="156" t="s">
        <v>541</v>
      </c>
      <c r="E234" s="179">
        <v>89480793</v>
      </c>
      <c r="F234" s="179">
        <v>89480793</v>
      </c>
      <c r="G234" s="179">
        <v>34370198</v>
      </c>
      <c r="H234" s="179">
        <v>0</v>
      </c>
      <c r="I234" s="179">
        <v>20229846.420000002</v>
      </c>
      <c r="J234" s="179">
        <v>644431.88</v>
      </c>
      <c r="K234" s="179">
        <v>2845380</v>
      </c>
      <c r="L234" s="179">
        <v>845520</v>
      </c>
      <c r="M234" s="179">
        <v>65761134.700000003</v>
      </c>
      <c r="N234" s="179">
        <v>10650539.699999999</v>
      </c>
    </row>
    <row r="235" spans="1:14" s="156" customFormat="1" x14ac:dyDescent="0.25">
      <c r="A235" s="156" t="s">
        <v>545</v>
      </c>
      <c r="B235" s="156" t="s">
        <v>180</v>
      </c>
      <c r="C235" s="156" t="s">
        <v>181</v>
      </c>
      <c r="D235" s="156" t="s">
        <v>541</v>
      </c>
      <c r="E235" s="179">
        <v>13000000</v>
      </c>
      <c r="F235" s="179">
        <v>13000000</v>
      </c>
      <c r="G235" s="179">
        <v>4750000</v>
      </c>
      <c r="H235" s="179">
        <v>0</v>
      </c>
      <c r="I235" s="179">
        <v>3311000</v>
      </c>
      <c r="J235" s="179">
        <v>0</v>
      </c>
      <c r="K235" s="179">
        <v>1189860</v>
      </c>
      <c r="L235" s="179">
        <v>0</v>
      </c>
      <c r="M235" s="179">
        <v>8499140</v>
      </c>
      <c r="N235" s="179">
        <v>249140</v>
      </c>
    </row>
    <row r="236" spans="1:14" s="156" customFormat="1" x14ac:dyDescent="0.25">
      <c r="A236" s="156" t="s">
        <v>545</v>
      </c>
      <c r="B236" s="156" t="s">
        <v>332</v>
      </c>
      <c r="C236" s="156" t="s">
        <v>333</v>
      </c>
      <c r="D236" s="156" t="s">
        <v>541</v>
      </c>
      <c r="E236" s="179">
        <v>1918000</v>
      </c>
      <c r="F236" s="179">
        <v>1918000</v>
      </c>
      <c r="G236" s="179">
        <v>879500</v>
      </c>
      <c r="H236" s="179">
        <v>0</v>
      </c>
      <c r="I236" s="179">
        <v>818856</v>
      </c>
      <c r="J236" s="179">
        <v>0</v>
      </c>
      <c r="K236" s="179">
        <v>0</v>
      </c>
      <c r="L236" s="179">
        <v>0</v>
      </c>
      <c r="M236" s="179">
        <v>1099144</v>
      </c>
      <c r="N236" s="179">
        <v>60644</v>
      </c>
    </row>
    <row r="237" spans="1:14" s="156" customFormat="1" x14ac:dyDescent="0.25">
      <c r="A237" s="156" t="s">
        <v>545</v>
      </c>
      <c r="B237" s="156" t="s">
        <v>182</v>
      </c>
      <c r="C237" s="156" t="s">
        <v>183</v>
      </c>
      <c r="D237" s="156" t="s">
        <v>541</v>
      </c>
      <c r="E237" s="179">
        <v>25420000</v>
      </c>
      <c r="F237" s="179">
        <v>25420000</v>
      </c>
      <c r="G237" s="179">
        <v>17455000</v>
      </c>
      <c r="H237" s="179">
        <v>0</v>
      </c>
      <c r="I237" s="179">
        <v>10406536</v>
      </c>
      <c r="J237" s="179">
        <v>378000</v>
      </c>
      <c r="K237" s="179">
        <v>35520</v>
      </c>
      <c r="L237" s="179">
        <v>35520</v>
      </c>
      <c r="M237" s="179">
        <v>14599944</v>
      </c>
      <c r="N237" s="179">
        <v>6634944</v>
      </c>
    </row>
    <row r="238" spans="1:14" s="156" customFormat="1" x14ac:dyDescent="0.25">
      <c r="A238" s="156" t="s">
        <v>545</v>
      </c>
      <c r="B238" s="156" t="s">
        <v>184</v>
      </c>
      <c r="C238" s="156" t="s">
        <v>185</v>
      </c>
      <c r="D238" s="156" t="s">
        <v>541</v>
      </c>
      <c r="E238" s="179">
        <v>7181770</v>
      </c>
      <c r="F238" s="179">
        <v>7181770</v>
      </c>
      <c r="G238" s="179">
        <v>1795442</v>
      </c>
      <c r="H238" s="179">
        <v>0</v>
      </c>
      <c r="I238" s="179">
        <v>1745263.68</v>
      </c>
      <c r="J238" s="179">
        <v>0</v>
      </c>
      <c r="K238" s="179">
        <v>0</v>
      </c>
      <c r="L238" s="179">
        <v>0</v>
      </c>
      <c r="M238" s="179">
        <v>5436506.3200000003</v>
      </c>
      <c r="N238" s="179">
        <v>50178.32</v>
      </c>
    </row>
    <row r="239" spans="1:14" s="156" customFormat="1" x14ac:dyDescent="0.25">
      <c r="A239" s="156" t="s">
        <v>545</v>
      </c>
      <c r="B239" s="156" t="s">
        <v>186</v>
      </c>
      <c r="C239" s="156" t="s">
        <v>187</v>
      </c>
      <c r="D239" s="156" t="s">
        <v>541</v>
      </c>
      <c r="E239" s="179">
        <v>8196286</v>
      </c>
      <c r="F239" s="179">
        <v>8196286</v>
      </c>
      <c r="G239" s="179">
        <v>2049072</v>
      </c>
      <c r="H239" s="179">
        <v>0</v>
      </c>
      <c r="I239" s="179">
        <v>1460692.16</v>
      </c>
      <c r="J239" s="179">
        <v>60000</v>
      </c>
      <c r="K239" s="179">
        <v>0</v>
      </c>
      <c r="L239" s="179">
        <v>0</v>
      </c>
      <c r="M239" s="179">
        <v>6675593.8399999999</v>
      </c>
      <c r="N239" s="179">
        <v>528379.84</v>
      </c>
    </row>
    <row r="240" spans="1:14" s="156" customFormat="1" x14ac:dyDescent="0.25">
      <c r="A240" s="156" t="s">
        <v>545</v>
      </c>
      <c r="B240" s="156" t="s">
        <v>188</v>
      </c>
      <c r="C240" s="156" t="s">
        <v>189</v>
      </c>
      <c r="D240" s="156" t="s">
        <v>541</v>
      </c>
      <c r="E240" s="179">
        <v>28160737</v>
      </c>
      <c r="F240" s="179">
        <v>28160737</v>
      </c>
      <c r="G240" s="179">
        <v>6040184</v>
      </c>
      <c r="H240" s="179">
        <v>0</v>
      </c>
      <c r="I240" s="179">
        <v>1862580.6</v>
      </c>
      <c r="J240" s="179">
        <v>206431.88</v>
      </c>
      <c r="K240" s="179">
        <v>1620000</v>
      </c>
      <c r="L240" s="179">
        <v>810000</v>
      </c>
      <c r="M240" s="179">
        <v>24471724.52</v>
      </c>
      <c r="N240" s="179">
        <v>2351171.52</v>
      </c>
    </row>
    <row r="241" spans="1:14" s="156" customFormat="1" x14ac:dyDescent="0.25">
      <c r="A241" s="156" t="s">
        <v>545</v>
      </c>
      <c r="B241" s="156" t="s">
        <v>190</v>
      </c>
      <c r="C241" s="156" t="s">
        <v>191</v>
      </c>
      <c r="D241" s="156" t="s">
        <v>541</v>
      </c>
      <c r="E241" s="179">
        <v>5604000</v>
      </c>
      <c r="F241" s="179">
        <v>5604000</v>
      </c>
      <c r="G241" s="179">
        <v>1401000</v>
      </c>
      <c r="H241" s="179">
        <v>0</v>
      </c>
      <c r="I241" s="179">
        <v>624917.98</v>
      </c>
      <c r="J241" s="179">
        <v>0</v>
      </c>
      <c r="K241" s="179">
        <v>0</v>
      </c>
      <c r="L241" s="179">
        <v>0</v>
      </c>
      <c r="M241" s="179">
        <v>4979082.0199999996</v>
      </c>
      <c r="N241" s="179">
        <v>776082.02</v>
      </c>
    </row>
    <row r="242" spans="1:14" s="156" customFormat="1" x14ac:dyDescent="0.25">
      <c r="A242" s="156" t="s">
        <v>545</v>
      </c>
      <c r="B242" s="156" t="s">
        <v>192</v>
      </c>
      <c r="C242" s="156" t="s">
        <v>193</v>
      </c>
      <c r="D242" s="156" t="s">
        <v>541</v>
      </c>
      <c r="E242" s="179">
        <v>1340000</v>
      </c>
      <c r="F242" s="179">
        <v>1340000</v>
      </c>
      <c r="G242" s="179">
        <v>935000</v>
      </c>
      <c r="H242" s="179">
        <v>0</v>
      </c>
      <c r="I242" s="179">
        <v>877363</v>
      </c>
      <c r="J242" s="179">
        <v>0</v>
      </c>
      <c r="K242" s="179">
        <v>0</v>
      </c>
      <c r="L242" s="179">
        <v>0</v>
      </c>
      <c r="M242" s="179">
        <v>462637</v>
      </c>
      <c r="N242" s="179">
        <v>57637</v>
      </c>
    </row>
    <row r="243" spans="1:14" s="156" customFormat="1" x14ac:dyDescent="0.25">
      <c r="A243" s="156" t="s">
        <v>545</v>
      </c>
      <c r="B243" s="156" t="s">
        <v>194</v>
      </c>
      <c r="C243" s="156" t="s">
        <v>195</v>
      </c>
      <c r="D243" s="156" t="s">
        <v>541</v>
      </c>
      <c r="E243" s="179">
        <v>1340000</v>
      </c>
      <c r="F243" s="179">
        <v>1340000</v>
      </c>
      <c r="G243" s="179">
        <v>935000</v>
      </c>
      <c r="H243" s="179">
        <v>0</v>
      </c>
      <c r="I243" s="179">
        <v>877363</v>
      </c>
      <c r="J243" s="179">
        <v>0</v>
      </c>
      <c r="K243" s="179">
        <v>0</v>
      </c>
      <c r="L243" s="179">
        <v>0</v>
      </c>
      <c r="M243" s="179">
        <v>462637</v>
      </c>
      <c r="N243" s="179">
        <v>57637</v>
      </c>
    </row>
    <row r="244" spans="1:14" s="156" customFormat="1" x14ac:dyDescent="0.25">
      <c r="A244" s="156" t="s">
        <v>545</v>
      </c>
      <c r="B244" s="156" t="s">
        <v>196</v>
      </c>
      <c r="C244" s="156" t="s">
        <v>197</v>
      </c>
      <c r="D244" s="156" t="s">
        <v>541</v>
      </c>
      <c r="E244" s="179">
        <v>2150000</v>
      </c>
      <c r="F244" s="179">
        <v>2150000</v>
      </c>
      <c r="G244" s="179">
        <v>637500</v>
      </c>
      <c r="H244" s="179">
        <v>0</v>
      </c>
      <c r="I244" s="179">
        <v>113207.78</v>
      </c>
      <c r="J244" s="179">
        <v>0</v>
      </c>
      <c r="K244" s="179">
        <v>0</v>
      </c>
      <c r="L244" s="179">
        <v>0</v>
      </c>
      <c r="M244" s="179">
        <v>2036792.22</v>
      </c>
      <c r="N244" s="179">
        <v>524292.22</v>
      </c>
    </row>
    <row r="245" spans="1:14" s="156" customFormat="1" x14ac:dyDescent="0.25">
      <c r="A245" s="156" t="s">
        <v>545</v>
      </c>
      <c r="B245" s="156" t="s">
        <v>334</v>
      </c>
      <c r="C245" s="156" t="s">
        <v>335</v>
      </c>
      <c r="D245" s="156" t="s">
        <v>541</v>
      </c>
      <c r="E245" s="179">
        <v>150000</v>
      </c>
      <c r="F245" s="179">
        <v>150000</v>
      </c>
      <c r="G245" s="179">
        <v>137500</v>
      </c>
      <c r="H245" s="179">
        <v>0</v>
      </c>
      <c r="I245" s="179">
        <v>113207.78</v>
      </c>
      <c r="J245" s="179">
        <v>0</v>
      </c>
      <c r="K245" s="179">
        <v>0</v>
      </c>
      <c r="L245" s="179">
        <v>0</v>
      </c>
      <c r="M245" s="179">
        <v>36792.22</v>
      </c>
      <c r="N245" s="179">
        <v>24292.22</v>
      </c>
    </row>
    <row r="246" spans="1:14" s="156" customFormat="1" x14ac:dyDescent="0.25">
      <c r="A246" s="156" t="s">
        <v>545</v>
      </c>
      <c r="B246" s="156" t="s">
        <v>198</v>
      </c>
      <c r="C246" s="156" t="s">
        <v>199</v>
      </c>
      <c r="D246" s="156" t="s">
        <v>541</v>
      </c>
      <c r="E246" s="179">
        <v>2000000</v>
      </c>
      <c r="F246" s="179">
        <v>2000000</v>
      </c>
      <c r="G246" s="179">
        <v>500000</v>
      </c>
      <c r="H246" s="179">
        <v>0</v>
      </c>
      <c r="I246" s="179">
        <v>0</v>
      </c>
      <c r="J246" s="179">
        <v>0</v>
      </c>
      <c r="K246" s="179">
        <v>0</v>
      </c>
      <c r="L246" s="179">
        <v>0</v>
      </c>
      <c r="M246" s="179">
        <v>2000000</v>
      </c>
      <c r="N246" s="179">
        <v>500000</v>
      </c>
    </row>
    <row r="247" spans="1:14" s="156" customFormat="1" x14ac:dyDescent="0.25">
      <c r="A247" s="156" t="s">
        <v>545</v>
      </c>
      <c r="B247" s="156" t="s">
        <v>200</v>
      </c>
      <c r="C247" s="156" t="s">
        <v>201</v>
      </c>
      <c r="D247" s="156" t="s">
        <v>541</v>
      </c>
      <c r="E247" s="179">
        <v>65233793</v>
      </c>
      <c r="F247" s="179">
        <v>65233793</v>
      </c>
      <c r="G247" s="179">
        <v>13358448</v>
      </c>
      <c r="H247" s="179">
        <v>0</v>
      </c>
      <c r="I247" s="179">
        <v>1663632.21</v>
      </c>
      <c r="J247" s="179">
        <v>0</v>
      </c>
      <c r="K247" s="179">
        <v>2729552.79</v>
      </c>
      <c r="L247" s="179">
        <v>2729552.79</v>
      </c>
      <c r="M247" s="179">
        <v>60840608</v>
      </c>
      <c r="N247" s="179">
        <v>8965263</v>
      </c>
    </row>
    <row r="248" spans="1:14" s="156" customFormat="1" x14ac:dyDescent="0.25">
      <c r="A248" s="156" t="s">
        <v>545</v>
      </c>
      <c r="B248" s="156" t="s">
        <v>202</v>
      </c>
      <c r="C248" s="156" t="s">
        <v>203</v>
      </c>
      <c r="D248" s="156" t="s">
        <v>541</v>
      </c>
      <c r="E248" s="179">
        <v>34706100</v>
      </c>
      <c r="F248" s="179">
        <v>34706100</v>
      </c>
      <c r="G248" s="179">
        <v>8676525</v>
      </c>
      <c r="H248" s="179">
        <v>0</v>
      </c>
      <c r="I248" s="179">
        <v>1354917.21</v>
      </c>
      <c r="J248" s="179">
        <v>0</v>
      </c>
      <c r="K248" s="179">
        <v>1941152.79</v>
      </c>
      <c r="L248" s="179">
        <v>1941152.79</v>
      </c>
      <c r="M248" s="179">
        <v>31410030</v>
      </c>
      <c r="N248" s="179">
        <v>5380455</v>
      </c>
    </row>
    <row r="249" spans="1:14" s="156" customFormat="1" x14ac:dyDescent="0.25">
      <c r="A249" s="156" t="s">
        <v>545</v>
      </c>
      <c r="B249" s="156" t="s">
        <v>204</v>
      </c>
      <c r="C249" s="156" t="s">
        <v>205</v>
      </c>
      <c r="D249" s="156" t="s">
        <v>541</v>
      </c>
      <c r="E249" s="179">
        <v>26298967</v>
      </c>
      <c r="F249" s="179">
        <v>26298967</v>
      </c>
      <c r="G249" s="179">
        <v>6574742</v>
      </c>
      <c r="H249" s="179">
        <v>0</v>
      </c>
      <c r="I249" s="179">
        <v>1354917.21</v>
      </c>
      <c r="J249" s="179">
        <v>0</v>
      </c>
      <c r="K249" s="179">
        <v>1941152.79</v>
      </c>
      <c r="L249" s="179">
        <v>1941152.79</v>
      </c>
      <c r="M249" s="179">
        <v>23002897</v>
      </c>
      <c r="N249" s="179">
        <v>3278672</v>
      </c>
    </row>
    <row r="250" spans="1:14" s="156" customFormat="1" x14ac:dyDescent="0.25">
      <c r="A250" s="156" t="s">
        <v>545</v>
      </c>
      <c r="B250" s="156" t="s">
        <v>208</v>
      </c>
      <c r="C250" s="156" t="s">
        <v>209</v>
      </c>
      <c r="D250" s="156" t="s">
        <v>541</v>
      </c>
      <c r="E250" s="179">
        <v>8102133</v>
      </c>
      <c r="F250" s="179">
        <v>8102133</v>
      </c>
      <c r="G250" s="179">
        <v>2025533</v>
      </c>
      <c r="H250" s="179">
        <v>0</v>
      </c>
      <c r="I250" s="179">
        <v>0</v>
      </c>
      <c r="J250" s="179">
        <v>0</v>
      </c>
      <c r="K250" s="179">
        <v>0</v>
      </c>
      <c r="L250" s="179">
        <v>0</v>
      </c>
      <c r="M250" s="179">
        <v>8102133</v>
      </c>
      <c r="N250" s="179">
        <v>2025533</v>
      </c>
    </row>
    <row r="251" spans="1:14" s="156" customFormat="1" x14ac:dyDescent="0.25">
      <c r="A251" s="156" t="s">
        <v>545</v>
      </c>
      <c r="B251" s="156" t="s">
        <v>210</v>
      </c>
      <c r="C251" s="156" t="s">
        <v>211</v>
      </c>
      <c r="D251" s="156" t="s">
        <v>541</v>
      </c>
      <c r="E251" s="179">
        <v>305000</v>
      </c>
      <c r="F251" s="179">
        <v>305000</v>
      </c>
      <c r="G251" s="179">
        <v>76250</v>
      </c>
      <c r="H251" s="179">
        <v>0</v>
      </c>
      <c r="I251" s="179">
        <v>0</v>
      </c>
      <c r="J251" s="179">
        <v>0</v>
      </c>
      <c r="K251" s="179">
        <v>0</v>
      </c>
      <c r="L251" s="179">
        <v>0</v>
      </c>
      <c r="M251" s="179">
        <v>305000</v>
      </c>
      <c r="N251" s="179">
        <v>76250</v>
      </c>
    </row>
    <row r="252" spans="1:14" s="156" customFormat="1" x14ac:dyDescent="0.25">
      <c r="A252" s="156" t="s">
        <v>545</v>
      </c>
      <c r="B252" s="156" t="s">
        <v>216</v>
      </c>
      <c r="C252" s="156" t="s">
        <v>217</v>
      </c>
      <c r="D252" s="156" t="s">
        <v>541</v>
      </c>
      <c r="E252" s="179">
        <v>2978000</v>
      </c>
      <c r="F252" s="179">
        <v>2978000</v>
      </c>
      <c r="G252" s="179">
        <v>744500</v>
      </c>
      <c r="H252" s="179">
        <v>0</v>
      </c>
      <c r="I252" s="179">
        <v>0</v>
      </c>
      <c r="J252" s="179">
        <v>0</v>
      </c>
      <c r="K252" s="179">
        <v>0</v>
      </c>
      <c r="L252" s="179">
        <v>0</v>
      </c>
      <c r="M252" s="179">
        <v>2978000</v>
      </c>
      <c r="N252" s="179">
        <v>744500</v>
      </c>
    </row>
    <row r="253" spans="1:14" s="156" customFormat="1" x14ac:dyDescent="0.25">
      <c r="A253" s="156" t="s">
        <v>545</v>
      </c>
      <c r="B253" s="156" t="s">
        <v>218</v>
      </c>
      <c r="C253" s="156" t="s">
        <v>219</v>
      </c>
      <c r="D253" s="156" t="s">
        <v>541</v>
      </c>
      <c r="E253" s="179">
        <v>830000</v>
      </c>
      <c r="F253" s="179">
        <v>830000</v>
      </c>
      <c r="G253" s="179">
        <v>207500</v>
      </c>
      <c r="H253" s="179">
        <v>0</v>
      </c>
      <c r="I253" s="179">
        <v>0</v>
      </c>
      <c r="J253" s="179">
        <v>0</v>
      </c>
      <c r="K253" s="179">
        <v>0</v>
      </c>
      <c r="L253" s="179">
        <v>0</v>
      </c>
      <c r="M253" s="179">
        <v>830000</v>
      </c>
      <c r="N253" s="179">
        <v>207500</v>
      </c>
    </row>
    <row r="254" spans="1:14" s="156" customFormat="1" x14ac:dyDescent="0.25">
      <c r="A254" s="156" t="s">
        <v>545</v>
      </c>
      <c r="B254" s="156" t="s">
        <v>336</v>
      </c>
      <c r="C254" s="156" t="s">
        <v>337</v>
      </c>
      <c r="D254" s="156" t="s">
        <v>541</v>
      </c>
      <c r="E254" s="179">
        <v>67000</v>
      </c>
      <c r="F254" s="179">
        <v>67000</v>
      </c>
      <c r="G254" s="179">
        <v>16750</v>
      </c>
      <c r="H254" s="179">
        <v>0</v>
      </c>
      <c r="I254" s="179">
        <v>0</v>
      </c>
      <c r="J254" s="179">
        <v>0</v>
      </c>
      <c r="K254" s="179">
        <v>0</v>
      </c>
      <c r="L254" s="179">
        <v>0</v>
      </c>
      <c r="M254" s="179">
        <v>67000</v>
      </c>
      <c r="N254" s="179">
        <v>16750</v>
      </c>
    </row>
    <row r="255" spans="1:14" s="156" customFormat="1" x14ac:dyDescent="0.25">
      <c r="A255" s="156" t="s">
        <v>545</v>
      </c>
      <c r="B255" s="156" t="s">
        <v>338</v>
      </c>
      <c r="C255" s="156" t="s">
        <v>339</v>
      </c>
      <c r="D255" s="156" t="s">
        <v>541</v>
      </c>
      <c r="E255" s="179">
        <v>99000</v>
      </c>
      <c r="F255" s="179">
        <v>99000</v>
      </c>
      <c r="G255" s="179">
        <v>24750</v>
      </c>
      <c r="H255" s="179">
        <v>0</v>
      </c>
      <c r="I255" s="179">
        <v>0</v>
      </c>
      <c r="J255" s="179">
        <v>0</v>
      </c>
      <c r="K255" s="179">
        <v>0</v>
      </c>
      <c r="L255" s="179">
        <v>0</v>
      </c>
      <c r="M255" s="179">
        <v>99000</v>
      </c>
      <c r="N255" s="179">
        <v>24750</v>
      </c>
    </row>
    <row r="256" spans="1:14" s="156" customFormat="1" x14ac:dyDescent="0.25">
      <c r="A256" s="156" t="s">
        <v>545</v>
      </c>
      <c r="B256" s="156" t="s">
        <v>220</v>
      </c>
      <c r="C256" s="156" t="s">
        <v>221</v>
      </c>
      <c r="D256" s="156" t="s">
        <v>541</v>
      </c>
      <c r="E256" s="179">
        <v>1345000</v>
      </c>
      <c r="F256" s="179">
        <v>1345000</v>
      </c>
      <c r="G256" s="179">
        <v>336250</v>
      </c>
      <c r="H256" s="179">
        <v>0</v>
      </c>
      <c r="I256" s="179">
        <v>0</v>
      </c>
      <c r="J256" s="179">
        <v>0</v>
      </c>
      <c r="K256" s="179">
        <v>0</v>
      </c>
      <c r="L256" s="179">
        <v>0</v>
      </c>
      <c r="M256" s="179">
        <v>1345000</v>
      </c>
      <c r="N256" s="179">
        <v>336250</v>
      </c>
    </row>
    <row r="257" spans="1:14" s="156" customFormat="1" x14ac:dyDescent="0.25">
      <c r="A257" s="156" t="s">
        <v>545</v>
      </c>
      <c r="B257" s="156" t="s">
        <v>222</v>
      </c>
      <c r="C257" s="156" t="s">
        <v>223</v>
      </c>
      <c r="D257" s="156" t="s">
        <v>541</v>
      </c>
      <c r="E257" s="179">
        <v>40000</v>
      </c>
      <c r="F257" s="179">
        <v>40000</v>
      </c>
      <c r="G257" s="179">
        <v>10000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40000</v>
      </c>
      <c r="N257" s="179">
        <v>10000</v>
      </c>
    </row>
    <row r="258" spans="1:14" s="156" customFormat="1" x14ac:dyDescent="0.25">
      <c r="A258" s="156" t="s">
        <v>545</v>
      </c>
      <c r="B258" s="156" t="s">
        <v>224</v>
      </c>
      <c r="C258" s="156" t="s">
        <v>225</v>
      </c>
      <c r="D258" s="156" t="s">
        <v>541</v>
      </c>
      <c r="E258" s="179">
        <v>198000</v>
      </c>
      <c r="F258" s="179">
        <v>198000</v>
      </c>
      <c r="G258" s="179">
        <v>49500</v>
      </c>
      <c r="H258" s="179">
        <v>0</v>
      </c>
      <c r="I258" s="179">
        <v>0</v>
      </c>
      <c r="J258" s="179">
        <v>0</v>
      </c>
      <c r="K258" s="179">
        <v>0</v>
      </c>
      <c r="L258" s="179">
        <v>0</v>
      </c>
      <c r="M258" s="179">
        <v>198000</v>
      </c>
      <c r="N258" s="179">
        <v>49500</v>
      </c>
    </row>
    <row r="259" spans="1:14" s="156" customFormat="1" x14ac:dyDescent="0.25">
      <c r="A259" s="156" t="s">
        <v>545</v>
      </c>
      <c r="B259" s="156" t="s">
        <v>226</v>
      </c>
      <c r="C259" s="156" t="s">
        <v>227</v>
      </c>
      <c r="D259" s="156" t="s">
        <v>541</v>
      </c>
      <c r="E259" s="179">
        <v>399000</v>
      </c>
      <c r="F259" s="179">
        <v>399000</v>
      </c>
      <c r="G259" s="179">
        <v>99750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399000</v>
      </c>
      <c r="N259" s="179">
        <v>99750</v>
      </c>
    </row>
    <row r="260" spans="1:14" s="156" customFormat="1" x14ac:dyDescent="0.25">
      <c r="A260" s="156" t="s">
        <v>545</v>
      </c>
      <c r="B260" s="156" t="s">
        <v>228</v>
      </c>
      <c r="C260" s="156" t="s">
        <v>229</v>
      </c>
      <c r="D260" s="156" t="s">
        <v>541</v>
      </c>
      <c r="E260" s="179">
        <v>3047000</v>
      </c>
      <c r="F260" s="179">
        <v>3047000</v>
      </c>
      <c r="G260" s="179">
        <v>761750</v>
      </c>
      <c r="H260" s="179">
        <v>0</v>
      </c>
      <c r="I260" s="179">
        <v>0</v>
      </c>
      <c r="J260" s="179">
        <v>0</v>
      </c>
      <c r="K260" s="179">
        <v>0</v>
      </c>
      <c r="L260" s="179">
        <v>0</v>
      </c>
      <c r="M260" s="179">
        <v>3047000</v>
      </c>
      <c r="N260" s="179">
        <v>761750</v>
      </c>
    </row>
    <row r="261" spans="1:14" s="156" customFormat="1" x14ac:dyDescent="0.25">
      <c r="A261" s="156" t="s">
        <v>545</v>
      </c>
      <c r="B261" s="156" t="s">
        <v>230</v>
      </c>
      <c r="C261" s="156" t="s">
        <v>231</v>
      </c>
      <c r="D261" s="156" t="s">
        <v>541</v>
      </c>
      <c r="E261" s="179">
        <v>251000</v>
      </c>
      <c r="F261" s="179">
        <v>251000</v>
      </c>
      <c r="G261" s="179">
        <v>62750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251000</v>
      </c>
      <c r="N261" s="179">
        <v>62750</v>
      </c>
    </row>
    <row r="262" spans="1:14" s="156" customFormat="1" x14ac:dyDescent="0.25">
      <c r="A262" s="156" t="s">
        <v>545</v>
      </c>
      <c r="B262" s="156" t="s">
        <v>232</v>
      </c>
      <c r="C262" s="156" t="s">
        <v>233</v>
      </c>
      <c r="D262" s="156" t="s">
        <v>541</v>
      </c>
      <c r="E262" s="179">
        <v>2796000</v>
      </c>
      <c r="F262" s="179">
        <v>2796000</v>
      </c>
      <c r="G262" s="179">
        <v>699000</v>
      </c>
      <c r="H262" s="179">
        <v>0</v>
      </c>
      <c r="I262" s="179">
        <v>0</v>
      </c>
      <c r="J262" s="179">
        <v>0</v>
      </c>
      <c r="K262" s="179">
        <v>0</v>
      </c>
      <c r="L262" s="179">
        <v>0</v>
      </c>
      <c r="M262" s="179">
        <v>2796000</v>
      </c>
      <c r="N262" s="179">
        <v>699000</v>
      </c>
    </row>
    <row r="263" spans="1:14" s="156" customFormat="1" x14ac:dyDescent="0.25">
      <c r="A263" s="156" t="s">
        <v>545</v>
      </c>
      <c r="B263" s="156" t="s">
        <v>234</v>
      </c>
      <c r="C263" s="156" t="s">
        <v>601</v>
      </c>
      <c r="D263" s="156" t="s">
        <v>541</v>
      </c>
      <c r="E263" s="179">
        <v>24502693</v>
      </c>
      <c r="F263" s="179">
        <v>24502693</v>
      </c>
      <c r="G263" s="179">
        <v>3175673</v>
      </c>
      <c r="H263" s="179">
        <v>0</v>
      </c>
      <c r="I263" s="179">
        <v>308715</v>
      </c>
      <c r="J263" s="179">
        <v>0</v>
      </c>
      <c r="K263" s="179">
        <v>788400</v>
      </c>
      <c r="L263" s="179">
        <v>788400</v>
      </c>
      <c r="M263" s="179">
        <v>23405578</v>
      </c>
      <c r="N263" s="179">
        <v>2078558</v>
      </c>
    </row>
    <row r="264" spans="1:14" s="156" customFormat="1" x14ac:dyDescent="0.25">
      <c r="A264" s="156" t="s">
        <v>545</v>
      </c>
      <c r="B264" s="156" t="s">
        <v>235</v>
      </c>
      <c r="C264" s="156" t="s">
        <v>236</v>
      </c>
      <c r="D264" s="156" t="s">
        <v>541</v>
      </c>
      <c r="E264" s="179">
        <v>7116000</v>
      </c>
      <c r="F264" s="179">
        <v>7116000</v>
      </c>
      <c r="G264" s="179">
        <v>1779000</v>
      </c>
      <c r="H264" s="179">
        <v>0</v>
      </c>
      <c r="I264" s="179">
        <v>0</v>
      </c>
      <c r="J264" s="179">
        <v>0</v>
      </c>
      <c r="K264" s="179">
        <v>119000</v>
      </c>
      <c r="L264" s="179">
        <v>119000</v>
      </c>
      <c r="M264" s="179">
        <v>6997000</v>
      </c>
      <c r="N264" s="179">
        <v>1660000</v>
      </c>
    </row>
    <row r="265" spans="1:14" s="156" customFormat="1" x14ac:dyDescent="0.25">
      <c r="A265" s="156" t="s">
        <v>545</v>
      </c>
      <c r="B265" s="156" t="s">
        <v>237</v>
      </c>
      <c r="C265" s="156" t="s">
        <v>238</v>
      </c>
      <c r="D265" s="156" t="s">
        <v>541</v>
      </c>
      <c r="E265" s="179">
        <v>0</v>
      </c>
      <c r="F265" s="179">
        <v>0</v>
      </c>
      <c r="G265" s="179">
        <v>0</v>
      </c>
      <c r="H265" s="179">
        <v>0</v>
      </c>
      <c r="I265" s="179">
        <v>0</v>
      </c>
      <c r="J265" s="179">
        <v>0</v>
      </c>
      <c r="K265" s="179">
        <v>0</v>
      </c>
      <c r="L265" s="179">
        <v>0</v>
      </c>
      <c r="M265" s="179">
        <v>0</v>
      </c>
      <c r="N265" s="179">
        <v>0</v>
      </c>
    </row>
    <row r="266" spans="1:14" s="156" customFormat="1" x14ac:dyDescent="0.25">
      <c r="A266" s="156" t="s">
        <v>545</v>
      </c>
      <c r="B266" s="156" t="s">
        <v>239</v>
      </c>
      <c r="C266" s="156" t="s">
        <v>240</v>
      </c>
      <c r="D266" s="156" t="s">
        <v>541</v>
      </c>
      <c r="E266" s="179">
        <v>15203693</v>
      </c>
      <c r="F266" s="179">
        <v>15203693</v>
      </c>
      <c r="G266" s="179">
        <v>800923</v>
      </c>
      <c r="H266" s="179">
        <v>0</v>
      </c>
      <c r="I266" s="179">
        <v>171375</v>
      </c>
      <c r="J266" s="179">
        <v>0</v>
      </c>
      <c r="K266" s="179">
        <v>278000</v>
      </c>
      <c r="L266" s="179">
        <v>278000</v>
      </c>
      <c r="M266" s="179">
        <v>14754318</v>
      </c>
      <c r="N266" s="179">
        <v>351548</v>
      </c>
    </row>
    <row r="267" spans="1:14" s="156" customFormat="1" x14ac:dyDescent="0.25">
      <c r="A267" s="156" t="s">
        <v>545</v>
      </c>
      <c r="B267" s="156" t="s">
        <v>241</v>
      </c>
      <c r="C267" s="156" t="s">
        <v>242</v>
      </c>
      <c r="D267" s="156" t="s">
        <v>541</v>
      </c>
      <c r="E267" s="179">
        <v>133000</v>
      </c>
      <c r="F267" s="179">
        <v>133000</v>
      </c>
      <c r="G267" s="179">
        <v>33250</v>
      </c>
      <c r="H267" s="179">
        <v>0</v>
      </c>
      <c r="I267" s="179">
        <v>0</v>
      </c>
      <c r="J267" s="179">
        <v>0</v>
      </c>
      <c r="K267" s="179">
        <v>0</v>
      </c>
      <c r="L267" s="179">
        <v>0</v>
      </c>
      <c r="M267" s="179">
        <v>133000</v>
      </c>
      <c r="N267" s="179">
        <v>33250</v>
      </c>
    </row>
    <row r="268" spans="1:14" s="156" customFormat="1" x14ac:dyDescent="0.25">
      <c r="A268" s="156" t="s">
        <v>545</v>
      </c>
      <c r="B268" s="156" t="s">
        <v>243</v>
      </c>
      <c r="C268" s="156" t="s">
        <v>244</v>
      </c>
      <c r="D268" s="156" t="s">
        <v>541</v>
      </c>
      <c r="E268" s="179">
        <v>1356000</v>
      </c>
      <c r="F268" s="179">
        <v>1356000</v>
      </c>
      <c r="G268" s="179">
        <v>389000</v>
      </c>
      <c r="H268" s="179">
        <v>0</v>
      </c>
      <c r="I268" s="179">
        <v>0</v>
      </c>
      <c r="J268" s="179">
        <v>0</v>
      </c>
      <c r="K268" s="179">
        <v>386600</v>
      </c>
      <c r="L268" s="179">
        <v>386600</v>
      </c>
      <c r="M268" s="179">
        <v>969400</v>
      </c>
      <c r="N268" s="179">
        <v>2400</v>
      </c>
    </row>
    <row r="269" spans="1:14" s="156" customFormat="1" x14ac:dyDescent="0.25">
      <c r="A269" s="156" t="s">
        <v>545</v>
      </c>
      <c r="B269" s="156" t="s">
        <v>245</v>
      </c>
      <c r="C269" s="156" t="s">
        <v>246</v>
      </c>
      <c r="D269" s="156" t="s">
        <v>541</v>
      </c>
      <c r="E269" s="179">
        <v>123000</v>
      </c>
      <c r="F269" s="179">
        <v>123000</v>
      </c>
      <c r="G269" s="179">
        <v>30750</v>
      </c>
      <c r="H269" s="179">
        <v>0</v>
      </c>
      <c r="I269" s="179">
        <v>0</v>
      </c>
      <c r="J269" s="179">
        <v>0</v>
      </c>
      <c r="K269" s="179">
        <v>4800</v>
      </c>
      <c r="L269" s="179">
        <v>4800</v>
      </c>
      <c r="M269" s="179">
        <v>118200</v>
      </c>
      <c r="N269" s="179">
        <v>25950</v>
      </c>
    </row>
    <row r="270" spans="1:14" s="156" customFormat="1" x14ac:dyDescent="0.25">
      <c r="A270" s="156" t="s">
        <v>545</v>
      </c>
      <c r="B270" s="156" t="s">
        <v>249</v>
      </c>
      <c r="C270" s="156" t="s">
        <v>250</v>
      </c>
      <c r="D270" s="156" t="s">
        <v>541</v>
      </c>
      <c r="E270" s="179">
        <v>571000</v>
      </c>
      <c r="F270" s="179">
        <v>571000</v>
      </c>
      <c r="G270" s="179">
        <v>142750</v>
      </c>
      <c r="H270" s="179">
        <v>0</v>
      </c>
      <c r="I270" s="179">
        <v>137340</v>
      </c>
      <c r="J270" s="179">
        <v>0</v>
      </c>
      <c r="K270" s="179">
        <v>0</v>
      </c>
      <c r="L270" s="179">
        <v>0</v>
      </c>
      <c r="M270" s="179">
        <v>433660</v>
      </c>
      <c r="N270" s="179">
        <v>5410</v>
      </c>
    </row>
    <row r="271" spans="1:14" s="156" customFormat="1" x14ac:dyDescent="0.25">
      <c r="A271" s="156" t="s">
        <v>545</v>
      </c>
      <c r="B271" s="156" t="s">
        <v>279</v>
      </c>
      <c r="C271" s="156" t="s">
        <v>280</v>
      </c>
      <c r="D271" s="156" t="s">
        <v>543</v>
      </c>
      <c r="E271" s="179">
        <v>47031000</v>
      </c>
      <c r="F271" s="179">
        <v>47031000</v>
      </c>
      <c r="G271" s="179">
        <v>38156767.810000002</v>
      </c>
      <c r="H271" s="179">
        <v>0</v>
      </c>
      <c r="I271" s="179">
        <v>1350982.19</v>
      </c>
      <c r="J271" s="179">
        <v>14853561.460000001</v>
      </c>
      <c r="K271" s="179">
        <v>0</v>
      </c>
      <c r="L271" s="179">
        <v>0</v>
      </c>
      <c r="M271" s="179">
        <v>30826456.350000001</v>
      </c>
      <c r="N271" s="179">
        <v>21952224.16</v>
      </c>
    </row>
    <row r="272" spans="1:14" s="156" customFormat="1" x14ac:dyDescent="0.25">
      <c r="A272" s="156" t="s">
        <v>545</v>
      </c>
      <c r="B272" s="156" t="s">
        <v>281</v>
      </c>
      <c r="C272" s="156" t="s">
        <v>282</v>
      </c>
      <c r="D272" s="156" t="s">
        <v>543</v>
      </c>
      <c r="E272" s="179">
        <v>25000000</v>
      </c>
      <c r="F272" s="179">
        <v>25000000</v>
      </c>
      <c r="G272" s="179">
        <v>16149017.810000001</v>
      </c>
      <c r="H272" s="179">
        <v>0</v>
      </c>
      <c r="I272" s="179">
        <v>0</v>
      </c>
      <c r="J272" s="179">
        <v>14853561.460000001</v>
      </c>
      <c r="K272" s="179">
        <v>0</v>
      </c>
      <c r="L272" s="179">
        <v>0</v>
      </c>
      <c r="M272" s="179">
        <v>10146438.539999999</v>
      </c>
      <c r="N272" s="179">
        <v>1295456.3500000001</v>
      </c>
    </row>
    <row r="273" spans="1:14" s="156" customFormat="1" x14ac:dyDescent="0.25">
      <c r="A273" s="156" t="s">
        <v>545</v>
      </c>
      <c r="B273" s="156" t="s">
        <v>398</v>
      </c>
      <c r="C273" s="156" t="s">
        <v>501</v>
      </c>
      <c r="D273" s="156" t="s">
        <v>543</v>
      </c>
      <c r="E273" s="179">
        <v>15000000</v>
      </c>
      <c r="F273" s="179">
        <v>15000000</v>
      </c>
      <c r="G273" s="179">
        <v>15000000</v>
      </c>
      <c r="H273" s="179">
        <v>0</v>
      </c>
      <c r="I273" s="179">
        <v>0</v>
      </c>
      <c r="J273" s="179">
        <v>14853561.460000001</v>
      </c>
      <c r="K273" s="179">
        <v>0</v>
      </c>
      <c r="L273" s="179">
        <v>0</v>
      </c>
      <c r="M273" s="179">
        <v>146438.54</v>
      </c>
      <c r="N273" s="179">
        <v>146438.54</v>
      </c>
    </row>
    <row r="274" spans="1:14" s="156" customFormat="1" x14ac:dyDescent="0.25">
      <c r="A274" s="156" t="s">
        <v>545</v>
      </c>
      <c r="B274" s="156" t="s">
        <v>285</v>
      </c>
      <c r="C274" s="156" t="s">
        <v>286</v>
      </c>
      <c r="D274" s="156" t="s">
        <v>543</v>
      </c>
      <c r="E274" s="179">
        <v>0</v>
      </c>
      <c r="F274" s="179">
        <v>0</v>
      </c>
      <c r="G274" s="179">
        <v>0</v>
      </c>
      <c r="H274" s="179">
        <v>0</v>
      </c>
      <c r="I274" s="179">
        <v>0</v>
      </c>
      <c r="J274" s="179">
        <v>0</v>
      </c>
      <c r="K274" s="179">
        <v>0</v>
      </c>
      <c r="L274" s="179">
        <v>0</v>
      </c>
      <c r="M274" s="179">
        <v>0</v>
      </c>
      <c r="N274" s="179">
        <v>0</v>
      </c>
    </row>
    <row r="275" spans="1:14" s="156" customFormat="1" x14ac:dyDescent="0.25">
      <c r="A275" s="156" t="s">
        <v>545</v>
      </c>
      <c r="B275" s="156" t="s">
        <v>287</v>
      </c>
      <c r="C275" s="156" t="s">
        <v>288</v>
      </c>
      <c r="D275" s="156" t="s">
        <v>543</v>
      </c>
      <c r="E275" s="179">
        <v>0</v>
      </c>
      <c r="F275" s="179">
        <v>0</v>
      </c>
      <c r="G275" s="179">
        <v>0</v>
      </c>
      <c r="H275" s="179">
        <v>0</v>
      </c>
      <c r="I275" s="179">
        <v>0</v>
      </c>
      <c r="J275" s="179">
        <v>0</v>
      </c>
      <c r="K275" s="179">
        <v>0</v>
      </c>
      <c r="L275" s="179">
        <v>0</v>
      </c>
      <c r="M275" s="179">
        <v>0</v>
      </c>
      <c r="N275" s="179">
        <v>0</v>
      </c>
    </row>
    <row r="276" spans="1:14" s="156" customFormat="1" x14ac:dyDescent="0.25">
      <c r="A276" s="156" t="s">
        <v>545</v>
      </c>
      <c r="B276" s="156" t="s">
        <v>289</v>
      </c>
      <c r="C276" s="156" t="s">
        <v>290</v>
      </c>
      <c r="D276" s="156" t="s">
        <v>543</v>
      </c>
      <c r="E276" s="179">
        <v>10000000</v>
      </c>
      <c r="F276" s="179">
        <v>10000000</v>
      </c>
      <c r="G276" s="179">
        <v>1149017.81</v>
      </c>
      <c r="H276" s="179">
        <v>0</v>
      </c>
      <c r="I276" s="179">
        <v>0</v>
      </c>
      <c r="J276" s="179">
        <v>0</v>
      </c>
      <c r="K276" s="179">
        <v>0</v>
      </c>
      <c r="L276" s="179">
        <v>0</v>
      </c>
      <c r="M276" s="179">
        <v>10000000</v>
      </c>
      <c r="N276" s="179">
        <v>1149017.81</v>
      </c>
    </row>
    <row r="277" spans="1:14" s="156" customFormat="1" x14ac:dyDescent="0.25">
      <c r="A277" s="156" t="s">
        <v>545</v>
      </c>
      <c r="B277" s="156" t="s">
        <v>291</v>
      </c>
      <c r="C277" s="156" t="s">
        <v>292</v>
      </c>
      <c r="D277" s="156" t="s">
        <v>543</v>
      </c>
      <c r="E277" s="179">
        <v>0</v>
      </c>
      <c r="F277" s="179">
        <v>0</v>
      </c>
      <c r="G277" s="179">
        <v>0</v>
      </c>
      <c r="H277" s="179">
        <v>0</v>
      </c>
      <c r="I277" s="179">
        <v>0</v>
      </c>
      <c r="J277" s="179">
        <v>0</v>
      </c>
      <c r="K277" s="179">
        <v>0</v>
      </c>
      <c r="L277" s="179">
        <v>0</v>
      </c>
      <c r="M277" s="179">
        <v>0</v>
      </c>
      <c r="N277" s="179">
        <v>0</v>
      </c>
    </row>
    <row r="278" spans="1:14" s="156" customFormat="1" x14ac:dyDescent="0.25">
      <c r="A278" s="156" t="s">
        <v>545</v>
      </c>
      <c r="B278" s="156" t="s">
        <v>297</v>
      </c>
      <c r="C278" s="156" t="s">
        <v>298</v>
      </c>
      <c r="D278" s="156" t="s">
        <v>543</v>
      </c>
      <c r="E278" s="179">
        <v>0</v>
      </c>
      <c r="F278" s="179">
        <v>0</v>
      </c>
      <c r="G278" s="179">
        <v>0</v>
      </c>
      <c r="H278" s="179">
        <v>0</v>
      </c>
      <c r="I278" s="179">
        <v>1350982.19</v>
      </c>
      <c r="J278" s="179">
        <v>0</v>
      </c>
      <c r="K278" s="179">
        <v>0</v>
      </c>
      <c r="L278" s="179">
        <v>0</v>
      </c>
      <c r="M278" s="179">
        <v>-1350982.19</v>
      </c>
      <c r="N278" s="179">
        <v>-1350982.19</v>
      </c>
    </row>
    <row r="279" spans="1:14" s="156" customFormat="1" x14ac:dyDescent="0.25">
      <c r="A279" s="156" t="s">
        <v>545</v>
      </c>
      <c r="B279" s="156" t="s">
        <v>299</v>
      </c>
      <c r="C279" s="156" t="s">
        <v>300</v>
      </c>
      <c r="D279" s="156" t="s">
        <v>543</v>
      </c>
      <c r="E279" s="179">
        <v>0</v>
      </c>
      <c r="F279" s="179">
        <v>0</v>
      </c>
      <c r="G279" s="179">
        <v>0</v>
      </c>
      <c r="H279" s="179">
        <v>0</v>
      </c>
      <c r="I279" s="179">
        <v>1350982.19</v>
      </c>
      <c r="J279" s="179">
        <v>0</v>
      </c>
      <c r="K279" s="179">
        <v>0</v>
      </c>
      <c r="L279" s="179">
        <v>0</v>
      </c>
      <c r="M279" s="179">
        <v>-1350982.19</v>
      </c>
      <c r="N279" s="179">
        <v>-1350982.19</v>
      </c>
    </row>
    <row r="280" spans="1:14" s="156" customFormat="1" x14ac:dyDescent="0.25">
      <c r="A280" s="156" t="s">
        <v>545</v>
      </c>
      <c r="B280" s="156" t="s">
        <v>340</v>
      </c>
      <c r="C280" s="156" t="s">
        <v>341</v>
      </c>
      <c r="D280" s="156" t="s">
        <v>543</v>
      </c>
      <c r="E280" s="179">
        <v>22031000</v>
      </c>
      <c r="F280" s="179">
        <v>22031000</v>
      </c>
      <c r="G280" s="179">
        <v>22007750</v>
      </c>
      <c r="H280" s="179">
        <v>0</v>
      </c>
      <c r="I280" s="179">
        <v>0</v>
      </c>
      <c r="J280" s="179">
        <v>0</v>
      </c>
      <c r="K280" s="179">
        <v>0</v>
      </c>
      <c r="L280" s="179">
        <v>0</v>
      </c>
      <c r="M280" s="179">
        <v>22031000</v>
      </c>
      <c r="N280" s="179">
        <v>22007750</v>
      </c>
    </row>
    <row r="281" spans="1:14" s="156" customFormat="1" x14ac:dyDescent="0.25">
      <c r="A281" s="156" t="s">
        <v>545</v>
      </c>
      <c r="B281" s="156" t="s">
        <v>342</v>
      </c>
      <c r="C281" s="156" t="s">
        <v>343</v>
      </c>
      <c r="D281" s="156" t="s">
        <v>543</v>
      </c>
      <c r="E281" s="179">
        <v>22031000</v>
      </c>
      <c r="F281" s="179">
        <v>22031000</v>
      </c>
      <c r="G281" s="179">
        <v>22007750</v>
      </c>
      <c r="H281" s="179">
        <v>0</v>
      </c>
      <c r="I281" s="179">
        <v>0</v>
      </c>
      <c r="J281" s="179">
        <v>0</v>
      </c>
      <c r="K281" s="179">
        <v>0</v>
      </c>
      <c r="L281" s="179">
        <v>0</v>
      </c>
      <c r="M281" s="179">
        <v>22031000</v>
      </c>
      <c r="N281" s="179">
        <v>22007750</v>
      </c>
    </row>
    <row r="282" spans="1:14" s="156" customFormat="1" x14ac:dyDescent="0.25">
      <c r="A282" s="156" t="s">
        <v>545</v>
      </c>
      <c r="B282" s="156" t="s">
        <v>251</v>
      </c>
      <c r="C282" s="156" t="s">
        <v>252</v>
      </c>
      <c r="D282" s="156" t="s">
        <v>541</v>
      </c>
      <c r="E282" s="179">
        <v>298129000</v>
      </c>
      <c r="F282" s="179">
        <v>298129000</v>
      </c>
      <c r="G282" s="179">
        <v>151448300</v>
      </c>
      <c r="H282" s="179">
        <v>0</v>
      </c>
      <c r="I282" s="179">
        <v>92849951.909999996</v>
      </c>
      <c r="J282" s="179">
        <v>0</v>
      </c>
      <c r="K282" s="179">
        <v>28342411.09</v>
      </c>
      <c r="L282" s="179">
        <v>28342411.09</v>
      </c>
      <c r="M282" s="179">
        <v>176936637</v>
      </c>
      <c r="N282" s="179">
        <v>30255937</v>
      </c>
    </row>
    <row r="283" spans="1:14" s="156" customFormat="1" x14ac:dyDescent="0.25">
      <c r="A283" s="156" t="s">
        <v>545</v>
      </c>
      <c r="B283" s="156" t="s">
        <v>253</v>
      </c>
      <c r="C283" s="156" t="s">
        <v>254</v>
      </c>
      <c r="D283" s="156" t="s">
        <v>541</v>
      </c>
      <c r="E283" s="179">
        <v>115667000</v>
      </c>
      <c r="F283" s="179">
        <v>115667000</v>
      </c>
      <c r="G283" s="179">
        <v>115667000</v>
      </c>
      <c r="H283" s="179">
        <v>0</v>
      </c>
      <c r="I283" s="179">
        <v>92849951.909999996</v>
      </c>
      <c r="J283" s="179">
        <v>0</v>
      </c>
      <c r="K283" s="179">
        <v>22817048.09</v>
      </c>
      <c r="L283" s="179">
        <v>22817048.09</v>
      </c>
      <c r="M283" s="179">
        <v>0</v>
      </c>
      <c r="N283" s="179">
        <v>0</v>
      </c>
    </row>
    <row r="284" spans="1:14" s="156" customFormat="1" x14ac:dyDescent="0.25">
      <c r="A284" s="156" t="s">
        <v>545</v>
      </c>
      <c r="B284" s="156" t="s">
        <v>344</v>
      </c>
      <c r="C284" s="156" t="s">
        <v>602</v>
      </c>
      <c r="D284" s="156" t="s">
        <v>541</v>
      </c>
      <c r="E284" s="179">
        <v>96260000</v>
      </c>
      <c r="F284" s="179">
        <v>96260000</v>
      </c>
      <c r="G284" s="179">
        <v>96260000</v>
      </c>
      <c r="H284" s="179">
        <v>0</v>
      </c>
      <c r="I284" s="179">
        <v>77271315.689999998</v>
      </c>
      <c r="J284" s="179">
        <v>0</v>
      </c>
      <c r="K284" s="179">
        <v>18988684.309999999</v>
      </c>
      <c r="L284" s="179">
        <v>18988684.309999999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345</v>
      </c>
      <c r="C285" s="156" t="s">
        <v>603</v>
      </c>
      <c r="D285" s="156" t="s">
        <v>541</v>
      </c>
      <c r="E285" s="179">
        <v>19407000</v>
      </c>
      <c r="F285" s="179">
        <v>19407000</v>
      </c>
      <c r="G285" s="179">
        <v>19407000</v>
      </c>
      <c r="H285" s="179">
        <v>0</v>
      </c>
      <c r="I285" s="179">
        <v>15578636.220000001</v>
      </c>
      <c r="J285" s="179">
        <v>0</v>
      </c>
      <c r="K285" s="179">
        <v>3828363.78</v>
      </c>
      <c r="L285" s="179">
        <v>3828363.78</v>
      </c>
      <c r="M285" s="179">
        <v>0</v>
      </c>
      <c r="N285" s="179">
        <v>0</v>
      </c>
    </row>
    <row r="286" spans="1:14" s="156" customFormat="1" x14ac:dyDescent="0.25">
      <c r="A286" s="156" t="s">
        <v>545</v>
      </c>
      <c r="B286" s="156" t="s">
        <v>261</v>
      </c>
      <c r="C286" s="156" t="s">
        <v>262</v>
      </c>
      <c r="D286" s="156" t="s">
        <v>541</v>
      </c>
      <c r="E286" s="179">
        <v>179462000</v>
      </c>
      <c r="F286" s="179">
        <v>179462000</v>
      </c>
      <c r="G286" s="179">
        <v>35031300</v>
      </c>
      <c r="H286" s="179">
        <v>0</v>
      </c>
      <c r="I286" s="179">
        <v>0</v>
      </c>
      <c r="J286" s="179">
        <v>0</v>
      </c>
      <c r="K286" s="179">
        <v>5525363</v>
      </c>
      <c r="L286" s="179">
        <v>5525363</v>
      </c>
      <c r="M286" s="179">
        <v>173936637</v>
      </c>
      <c r="N286" s="179">
        <v>29505937</v>
      </c>
    </row>
    <row r="287" spans="1:14" s="156" customFormat="1" x14ac:dyDescent="0.25">
      <c r="A287" s="156" t="s">
        <v>545</v>
      </c>
      <c r="B287" s="156" t="s">
        <v>263</v>
      </c>
      <c r="C287" s="156" t="s">
        <v>264</v>
      </c>
      <c r="D287" s="156" t="s">
        <v>541</v>
      </c>
      <c r="E287" s="179">
        <v>150000000</v>
      </c>
      <c r="F287" s="179">
        <v>150000000</v>
      </c>
      <c r="G287" s="179">
        <v>5569300</v>
      </c>
      <c r="H287" s="179">
        <v>0</v>
      </c>
      <c r="I287" s="179">
        <v>0</v>
      </c>
      <c r="J287" s="179">
        <v>0</v>
      </c>
      <c r="K287" s="179">
        <v>0</v>
      </c>
      <c r="L287" s="179">
        <v>0</v>
      </c>
      <c r="M287" s="179">
        <v>150000000</v>
      </c>
      <c r="N287" s="179">
        <v>5569300</v>
      </c>
    </row>
    <row r="288" spans="1:14" s="156" customFormat="1" x14ac:dyDescent="0.25">
      <c r="A288" s="156" t="s">
        <v>545</v>
      </c>
      <c r="B288" s="156" t="s">
        <v>265</v>
      </c>
      <c r="C288" s="156" t="s">
        <v>266</v>
      </c>
      <c r="D288" s="156" t="s">
        <v>541</v>
      </c>
      <c r="E288" s="179">
        <v>29462000</v>
      </c>
      <c r="F288" s="179">
        <v>29462000</v>
      </c>
      <c r="G288" s="179">
        <v>29462000</v>
      </c>
      <c r="H288" s="179">
        <v>0</v>
      </c>
      <c r="I288" s="179">
        <v>0</v>
      </c>
      <c r="J288" s="179">
        <v>0</v>
      </c>
      <c r="K288" s="179">
        <v>5525363</v>
      </c>
      <c r="L288" s="179">
        <v>5525363</v>
      </c>
      <c r="M288" s="179">
        <v>23936637</v>
      </c>
      <c r="N288" s="179">
        <v>23936637</v>
      </c>
    </row>
    <row r="289" spans="1:14" s="156" customFormat="1" x14ac:dyDescent="0.25">
      <c r="A289" s="156" t="s">
        <v>545</v>
      </c>
      <c r="B289" s="156" t="s">
        <v>267</v>
      </c>
      <c r="C289" s="156" t="s">
        <v>268</v>
      </c>
      <c r="D289" s="156" t="s">
        <v>541</v>
      </c>
      <c r="E289" s="179">
        <v>3000000</v>
      </c>
      <c r="F289" s="179">
        <v>3000000</v>
      </c>
      <c r="G289" s="179">
        <v>750000</v>
      </c>
      <c r="H289" s="179">
        <v>0</v>
      </c>
      <c r="I289" s="179">
        <v>0</v>
      </c>
      <c r="J289" s="179">
        <v>0</v>
      </c>
      <c r="K289" s="179">
        <v>0</v>
      </c>
      <c r="L289" s="179">
        <v>0</v>
      </c>
      <c r="M289" s="179">
        <v>3000000</v>
      </c>
      <c r="N289" s="179">
        <v>750000</v>
      </c>
    </row>
    <row r="290" spans="1:14" s="156" customFormat="1" x14ac:dyDescent="0.25">
      <c r="A290" s="156" t="s">
        <v>545</v>
      </c>
      <c r="B290" s="156" t="s">
        <v>269</v>
      </c>
      <c r="C290" s="156" t="s">
        <v>270</v>
      </c>
      <c r="D290" s="156" t="s">
        <v>541</v>
      </c>
      <c r="E290" s="179">
        <v>3000000</v>
      </c>
      <c r="F290" s="179">
        <v>3000000</v>
      </c>
      <c r="G290" s="179">
        <v>750000</v>
      </c>
      <c r="H290" s="179">
        <v>0</v>
      </c>
      <c r="I290" s="179">
        <v>0</v>
      </c>
      <c r="J290" s="179">
        <v>0</v>
      </c>
      <c r="K290" s="179">
        <v>0</v>
      </c>
      <c r="L290" s="179">
        <v>0</v>
      </c>
      <c r="M290" s="179">
        <v>3000000</v>
      </c>
      <c r="N290" s="179">
        <v>750000</v>
      </c>
    </row>
    <row r="291" spans="1:14" s="156" customFormat="1" x14ac:dyDescent="0.25">
      <c r="A291" s="156">
        <v>214783</v>
      </c>
      <c r="B291" s="156" t="s">
        <v>587</v>
      </c>
      <c r="C291" s="156" t="s">
        <v>587</v>
      </c>
      <c r="D291" s="156" t="s">
        <v>541</v>
      </c>
      <c r="E291" s="179">
        <v>106163237755</v>
      </c>
      <c r="F291" s="179">
        <v>106163237755</v>
      </c>
      <c r="G291" s="179">
        <v>79774829731.190002</v>
      </c>
      <c r="H291" s="179">
        <v>790335345.79999995</v>
      </c>
      <c r="I291" s="179">
        <v>14407953933.129999</v>
      </c>
      <c r="J291" s="179">
        <v>165605428.21000001</v>
      </c>
      <c r="K291" s="182">
        <v>16683695394.290001</v>
      </c>
      <c r="L291" s="179">
        <v>15640847897.6</v>
      </c>
      <c r="M291" s="179">
        <v>74115647653.570007</v>
      </c>
      <c r="N291" s="179">
        <v>47727239629.760002</v>
      </c>
    </row>
    <row r="292" spans="1:14" s="156" customFormat="1" x14ac:dyDescent="0.25">
      <c r="A292" s="156" t="s">
        <v>546</v>
      </c>
      <c r="B292" s="156" t="s">
        <v>92</v>
      </c>
      <c r="C292" s="156" t="s">
        <v>93</v>
      </c>
      <c r="D292" s="156" t="s">
        <v>541</v>
      </c>
      <c r="E292" s="179">
        <v>69224041000</v>
      </c>
      <c r="F292" s="179">
        <v>69224041000</v>
      </c>
      <c r="G292" s="179">
        <v>69223691000</v>
      </c>
      <c r="H292" s="179">
        <v>0</v>
      </c>
      <c r="I292" s="179">
        <v>8234727014</v>
      </c>
      <c r="J292" s="179">
        <v>0</v>
      </c>
      <c r="K292" s="179">
        <v>14044887213.23</v>
      </c>
      <c r="L292" s="179">
        <v>14044887213.23</v>
      </c>
      <c r="M292" s="179">
        <v>46944426772.769997</v>
      </c>
      <c r="N292" s="179">
        <v>46944076772.769997</v>
      </c>
    </row>
    <row r="293" spans="1:14" s="156" customFormat="1" x14ac:dyDescent="0.25">
      <c r="A293" s="156" t="s">
        <v>546</v>
      </c>
      <c r="B293" s="156" t="s">
        <v>94</v>
      </c>
      <c r="C293" s="156" t="s">
        <v>95</v>
      </c>
      <c r="D293" s="156" t="s">
        <v>541</v>
      </c>
      <c r="E293" s="179">
        <v>25618223000</v>
      </c>
      <c r="F293" s="179">
        <v>25618223000</v>
      </c>
      <c r="G293" s="179">
        <v>25618223000</v>
      </c>
      <c r="H293" s="179">
        <v>0</v>
      </c>
      <c r="I293" s="179">
        <v>0</v>
      </c>
      <c r="J293" s="179">
        <v>0</v>
      </c>
      <c r="K293" s="179">
        <v>3961336709.6900001</v>
      </c>
      <c r="L293" s="179">
        <v>3961336709.6900001</v>
      </c>
      <c r="M293" s="179">
        <v>21656886290.310001</v>
      </c>
      <c r="N293" s="179">
        <v>21656886290.310001</v>
      </c>
    </row>
    <row r="294" spans="1:14" s="156" customFormat="1" x14ac:dyDescent="0.25">
      <c r="A294" s="156" t="s">
        <v>546</v>
      </c>
      <c r="B294" s="156" t="s">
        <v>96</v>
      </c>
      <c r="C294" s="156" t="s">
        <v>97</v>
      </c>
      <c r="D294" s="156" t="s">
        <v>541</v>
      </c>
      <c r="E294" s="179">
        <v>25601107000</v>
      </c>
      <c r="F294" s="179">
        <v>25601107000</v>
      </c>
      <c r="G294" s="179">
        <v>25601107000</v>
      </c>
      <c r="H294" s="179">
        <v>0</v>
      </c>
      <c r="I294" s="179">
        <v>0</v>
      </c>
      <c r="J294" s="179">
        <v>0</v>
      </c>
      <c r="K294" s="179">
        <v>3946064909.6900001</v>
      </c>
      <c r="L294" s="179">
        <v>3946064909.6900001</v>
      </c>
      <c r="M294" s="179">
        <v>21655042090.310001</v>
      </c>
      <c r="N294" s="179">
        <v>21655042090.310001</v>
      </c>
    </row>
    <row r="295" spans="1:14" s="156" customFormat="1" x14ac:dyDescent="0.25">
      <c r="A295" s="156" t="s">
        <v>546</v>
      </c>
      <c r="B295" s="156" t="s">
        <v>346</v>
      </c>
      <c r="C295" s="156" t="s">
        <v>347</v>
      </c>
      <c r="D295" s="156" t="s">
        <v>541</v>
      </c>
      <c r="E295" s="179">
        <v>17116000</v>
      </c>
      <c r="F295" s="179">
        <v>17116000</v>
      </c>
      <c r="G295" s="179">
        <v>17116000</v>
      </c>
      <c r="H295" s="179">
        <v>0</v>
      </c>
      <c r="I295" s="179">
        <v>0</v>
      </c>
      <c r="J295" s="179">
        <v>0</v>
      </c>
      <c r="K295" s="179">
        <v>15271800</v>
      </c>
      <c r="L295" s="179">
        <v>15271800</v>
      </c>
      <c r="M295" s="179">
        <v>1844200</v>
      </c>
      <c r="N295" s="179">
        <v>1844200</v>
      </c>
    </row>
    <row r="296" spans="1:14" s="156" customFormat="1" x14ac:dyDescent="0.25">
      <c r="A296" s="156" t="s">
        <v>546</v>
      </c>
      <c r="B296" s="156" t="s">
        <v>98</v>
      </c>
      <c r="C296" s="156" t="s">
        <v>99</v>
      </c>
      <c r="D296" s="156" t="s">
        <v>541</v>
      </c>
      <c r="E296" s="179">
        <v>3406791000</v>
      </c>
      <c r="F296" s="179">
        <v>3406791000</v>
      </c>
      <c r="G296" s="179">
        <v>3406791000</v>
      </c>
      <c r="H296" s="179">
        <v>0</v>
      </c>
      <c r="I296" s="179">
        <v>0</v>
      </c>
      <c r="J296" s="179">
        <v>0</v>
      </c>
      <c r="K296" s="179">
        <v>598605055.15999997</v>
      </c>
      <c r="L296" s="179">
        <v>598605055.15999997</v>
      </c>
      <c r="M296" s="179">
        <v>2808185944.8400002</v>
      </c>
      <c r="N296" s="179">
        <v>2808185944.8400002</v>
      </c>
    </row>
    <row r="297" spans="1:14" s="156" customFormat="1" x14ac:dyDescent="0.25">
      <c r="A297" s="156" t="s">
        <v>546</v>
      </c>
      <c r="B297" s="156" t="s">
        <v>100</v>
      </c>
      <c r="C297" s="156" t="s">
        <v>101</v>
      </c>
      <c r="D297" s="156" t="s">
        <v>541</v>
      </c>
      <c r="E297" s="179">
        <v>8000000</v>
      </c>
      <c r="F297" s="179">
        <v>8000000</v>
      </c>
      <c r="G297" s="179">
        <v>8000000</v>
      </c>
      <c r="H297" s="179">
        <v>0</v>
      </c>
      <c r="I297" s="179">
        <v>0</v>
      </c>
      <c r="J297" s="179">
        <v>0</v>
      </c>
      <c r="K297" s="179">
        <v>125998</v>
      </c>
      <c r="L297" s="179">
        <v>125998</v>
      </c>
      <c r="M297" s="179">
        <v>7874002</v>
      </c>
      <c r="N297" s="179">
        <v>7874002</v>
      </c>
    </row>
    <row r="298" spans="1:14" s="156" customFormat="1" x14ac:dyDescent="0.25">
      <c r="A298" s="156" t="s">
        <v>546</v>
      </c>
      <c r="B298" s="156" t="s">
        <v>348</v>
      </c>
      <c r="C298" s="156" t="s">
        <v>349</v>
      </c>
      <c r="D298" s="156" t="s">
        <v>541</v>
      </c>
      <c r="E298" s="179">
        <v>24994000</v>
      </c>
      <c r="F298" s="179">
        <v>24994000</v>
      </c>
      <c r="G298" s="179">
        <v>24994000</v>
      </c>
      <c r="H298" s="179">
        <v>0</v>
      </c>
      <c r="I298" s="179">
        <v>0</v>
      </c>
      <c r="J298" s="179">
        <v>0</v>
      </c>
      <c r="K298" s="179">
        <v>1263838</v>
      </c>
      <c r="L298" s="179">
        <v>1263838</v>
      </c>
      <c r="M298" s="179">
        <v>23730162</v>
      </c>
      <c r="N298" s="179">
        <v>23730162</v>
      </c>
    </row>
    <row r="299" spans="1:14" s="156" customFormat="1" x14ac:dyDescent="0.25">
      <c r="A299" s="156" t="s">
        <v>546</v>
      </c>
      <c r="B299" s="156" t="s">
        <v>350</v>
      </c>
      <c r="C299" s="156" t="s">
        <v>351</v>
      </c>
      <c r="D299" s="156" t="s">
        <v>541</v>
      </c>
      <c r="E299" s="179">
        <v>3373797000</v>
      </c>
      <c r="F299" s="179">
        <v>3373797000</v>
      </c>
      <c r="G299" s="179">
        <v>3373797000</v>
      </c>
      <c r="H299" s="179">
        <v>0</v>
      </c>
      <c r="I299" s="179">
        <v>0</v>
      </c>
      <c r="J299" s="179">
        <v>0</v>
      </c>
      <c r="K299" s="179">
        <v>597215219.15999997</v>
      </c>
      <c r="L299" s="179">
        <v>597215219.15999997</v>
      </c>
      <c r="M299" s="179">
        <v>2776581780.8400002</v>
      </c>
      <c r="N299" s="179">
        <v>2776581780.8400002</v>
      </c>
    </row>
    <row r="300" spans="1:14" s="156" customFormat="1" x14ac:dyDescent="0.25">
      <c r="A300" s="156" t="s">
        <v>546</v>
      </c>
      <c r="B300" s="156" t="s">
        <v>102</v>
      </c>
      <c r="C300" s="156" t="s">
        <v>103</v>
      </c>
      <c r="D300" s="156" t="s">
        <v>541</v>
      </c>
      <c r="E300" s="179">
        <v>29694590000</v>
      </c>
      <c r="F300" s="179">
        <v>29694590000</v>
      </c>
      <c r="G300" s="179">
        <v>29694240000</v>
      </c>
      <c r="H300" s="179">
        <v>0</v>
      </c>
      <c r="I300" s="179">
        <v>0</v>
      </c>
      <c r="J300" s="179">
        <v>0</v>
      </c>
      <c r="K300" s="179">
        <v>7215235462.3800001</v>
      </c>
      <c r="L300" s="179">
        <v>7215235462.3800001</v>
      </c>
      <c r="M300" s="179">
        <v>22479354537.619999</v>
      </c>
      <c r="N300" s="179">
        <v>22479004537.619999</v>
      </c>
    </row>
    <row r="301" spans="1:14" s="156" customFormat="1" x14ac:dyDescent="0.25">
      <c r="A301" s="156" t="s">
        <v>546</v>
      </c>
      <c r="B301" s="156" t="s">
        <v>104</v>
      </c>
      <c r="C301" s="156" t="s">
        <v>105</v>
      </c>
      <c r="D301" s="156" t="s">
        <v>541</v>
      </c>
      <c r="E301" s="179">
        <v>9856906000</v>
      </c>
      <c r="F301" s="179">
        <v>9856906000</v>
      </c>
      <c r="G301" s="179">
        <v>9856906000</v>
      </c>
      <c r="H301" s="179">
        <v>0</v>
      </c>
      <c r="I301" s="179">
        <v>0</v>
      </c>
      <c r="J301" s="179">
        <v>0</v>
      </c>
      <c r="K301" s="179">
        <v>1531985480.27</v>
      </c>
      <c r="L301" s="179">
        <v>1531985480.27</v>
      </c>
      <c r="M301" s="179">
        <v>8324920519.7299995</v>
      </c>
      <c r="N301" s="179">
        <v>8324920519.7299995</v>
      </c>
    </row>
    <row r="302" spans="1:14" s="156" customFormat="1" x14ac:dyDescent="0.25">
      <c r="A302" s="156" t="s">
        <v>546</v>
      </c>
      <c r="B302" s="156" t="s">
        <v>106</v>
      </c>
      <c r="C302" s="156" t="s">
        <v>107</v>
      </c>
      <c r="D302" s="156" t="s">
        <v>541</v>
      </c>
      <c r="E302" s="179">
        <v>3637068000</v>
      </c>
      <c r="F302" s="179">
        <v>3637068000</v>
      </c>
      <c r="G302" s="179">
        <v>3637068000</v>
      </c>
      <c r="H302" s="179">
        <v>0</v>
      </c>
      <c r="I302" s="179">
        <v>0</v>
      </c>
      <c r="J302" s="179">
        <v>0</v>
      </c>
      <c r="K302" s="179">
        <v>549860270.08000004</v>
      </c>
      <c r="L302" s="179">
        <v>549860270.08000004</v>
      </c>
      <c r="M302" s="179">
        <v>3087207729.9200001</v>
      </c>
      <c r="N302" s="179">
        <v>3087207729.9200001</v>
      </c>
    </row>
    <row r="303" spans="1:14" s="156" customFormat="1" x14ac:dyDescent="0.25">
      <c r="A303" s="156" t="s">
        <v>546</v>
      </c>
      <c r="B303" s="156" t="s">
        <v>112</v>
      </c>
      <c r="C303" s="156" t="s">
        <v>113</v>
      </c>
      <c r="D303" s="156" t="s">
        <v>543</v>
      </c>
      <c r="E303" s="179">
        <v>4378933000</v>
      </c>
      <c r="F303" s="179">
        <v>4378933000</v>
      </c>
      <c r="G303" s="179">
        <v>4378933000</v>
      </c>
      <c r="H303" s="179">
        <v>0</v>
      </c>
      <c r="I303" s="179">
        <v>0</v>
      </c>
      <c r="J303" s="179">
        <v>0</v>
      </c>
      <c r="K303" s="179">
        <v>4423234.9400000004</v>
      </c>
      <c r="L303" s="179">
        <v>4423234.9400000004</v>
      </c>
      <c r="M303" s="179">
        <v>4374509765.0600004</v>
      </c>
      <c r="N303" s="179">
        <v>4374509765.0600004</v>
      </c>
    </row>
    <row r="304" spans="1:14" s="156" customFormat="1" x14ac:dyDescent="0.25">
      <c r="A304" s="156" t="s">
        <v>546</v>
      </c>
      <c r="B304" s="156" t="s">
        <v>108</v>
      </c>
      <c r="C304" s="156" t="s">
        <v>109</v>
      </c>
      <c r="D304" s="156" t="s">
        <v>541</v>
      </c>
      <c r="E304" s="179">
        <v>3859929000</v>
      </c>
      <c r="F304" s="179">
        <v>3859929000</v>
      </c>
      <c r="G304" s="179">
        <v>3859929000</v>
      </c>
      <c r="H304" s="179">
        <v>0</v>
      </c>
      <c r="I304" s="179">
        <v>0</v>
      </c>
      <c r="J304" s="179">
        <v>0</v>
      </c>
      <c r="K304" s="179">
        <v>3839719122.6700001</v>
      </c>
      <c r="L304" s="179">
        <v>3839719122.6700001</v>
      </c>
      <c r="M304" s="179">
        <v>20209877.329999998</v>
      </c>
      <c r="N304" s="179">
        <v>20209877.329999998</v>
      </c>
    </row>
    <row r="305" spans="1:14" s="156" customFormat="1" x14ac:dyDescent="0.25">
      <c r="A305" s="156" t="s">
        <v>546</v>
      </c>
      <c r="B305" s="156" t="s">
        <v>110</v>
      </c>
      <c r="C305" s="156" t="s">
        <v>111</v>
      </c>
      <c r="D305" s="156" t="s">
        <v>541</v>
      </c>
      <c r="E305" s="179">
        <v>7961754000</v>
      </c>
      <c r="F305" s="179">
        <v>7961754000</v>
      </c>
      <c r="G305" s="179">
        <v>7961404000</v>
      </c>
      <c r="H305" s="179">
        <v>0</v>
      </c>
      <c r="I305" s="179">
        <v>0</v>
      </c>
      <c r="J305" s="179">
        <v>0</v>
      </c>
      <c r="K305" s="179">
        <v>1289247354.4200001</v>
      </c>
      <c r="L305" s="179">
        <v>1289247354.4200001</v>
      </c>
      <c r="M305" s="179">
        <v>6672506645.5799999</v>
      </c>
      <c r="N305" s="179">
        <v>6672156645.5799999</v>
      </c>
    </row>
    <row r="306" spans="1:14" s="156" customFormat="1" x14ac:dyDescent="0.25">
      <c r="A306" s="156" t="s">
        <v>546</v>
      </c>
      <c r="B306" s="156" t="s">
        <v>114</v>
      </c>
      <c r="C306" s="156" t="s">
        <v>115</v>
      </c>
      <c r="D306" s="156" t="s">
        <v>541</v>
      </c>
      <c r="E306" s="179">
        <v>5298410000</v>
      </c>
      <c r="F306" s="179">
        <v>5298410000</v>
      </c>
      <c r="G306" s="179">
        <v>5298410000</v>
      </c>
      <c r="H306" s="179">
        <v>0</v>
      </c>
      <c r="I306" s="179">
        <v>4153271876</v>
      </c>
      <c r="J306" s="179">
        <v>0</v>
      </c>
      <c r="K306" s="179">
        <v>1145138124</v>
      </c>
      <c r="L306" s="179">
        <v>1145138124</v>
      </c>
      <c r="M306" s="179">
        <v>0</v>
      </c>
      <c r="N306" s="179">
        <v>0</v>
      </c>
    </row>
    <row r="307" spans="1:14" s="156" customFormat="1" x14ac:dyDescent="0.25">
      <c r="A307" s="156" t="s">
        <v>546</v>
      </c>
      <c r="B307" s="156" t="s">
        <v>352</v>
      </c>
      <c r="C307" s="156" t="s">
        <v>597</v>
      </c>
      <c r="D307" s="156" t="s">
        <v>541</v>
      </c>
      <c r="E307" s="179">
        <v>5026697000</v>
      </c>
      <c r="F307" s="179">
        <v>5026697000</v>
      </c>
      <c r="G307" s="179">
        <v>5026697000</v>
      </c>
      <c r="H307" s="179">
        <v>0</v>
      </c>
      <c r="I307" s="179">
        <v>3940277022</v>
      </c>
      <c r="J307" s="179">
        <v>0</v>
      </c>
      <c r="K307" s="179">
        <v>1086419978</v>
      </c>
      <c r="L307" s="179">
        <v>1086419978</v>
      </c>
      <c r="M307" s="179">
        <v>0</v>
      </c>
      <c r="N307" s="179">
        <v>0</v>
      </c>
    </row>
    <row r="308" spans="1:14" s="156" customFormat="1" x14ac:dyDescent="0.25">
      <c r="A308" s="156" t="s">
        <v>546</v>
      </c>
      <c r="B308" s="156" t="s">
        <v>353</v>
      </c>
      <c r="C308" s="156" t="s">
        <v>583</v>
      </c>
      <c r="D308" s="156" t="s">
        <v>541</v>
      </c>
      <c r="E308" s="179">
        <v>271713000</v>
      </c>
      <c r="F308" s="179">
        <v>271713000</v>
      </c>
      <c r="G308" s="179">
        <v>271713000</v>
      </c>
      <c r="H308" s="179">
        <v>0</v>
      </c>
      <c r="I308" s="179">
        <v>212994854</v>
      </c>
      <c r="J308" s="179">
        <v>0</v>
      </c>
      <c r="K308" s="179">
        <v>58718146</v>
      </c>
      <c r="L308" s="179">
        <v>58718146</v>
      </c>
      <c r="M308" s="179">
        <v>0</v>
      </c>
      <c r="N308" s="179">
        <v>0</v>
      </c>
    </row>
    <row r="309" spans="1:14" s="156" customFormat="1" x14ac:dyDescent="0.25">
      <c r="A309" s="156" t="s">
        <v>546</v>
      </c>
      <c r="B309" s="156" t="s">
        <v>118</v>
      </c>
      <c r="C309" s="156" t="s">
        <v>119</v>
      </c>
      <c r="D309" s="156" t="s">
        <v>541</v>
      </c>
      <c r="E309" s="179">
        <v>5206027000</v>
      </c>
      <c r="F309" s="179">
        <v>5206027000</v>
      </c>
      <c r="G309" s="179">
        <v>5206027000</v>
      </c>
      <c r="H309" s="179">
        <v>0</v>
      </c>
      <c r="I309" s="179">
        <v>4081455138</v>
      </c>
      <c r="J309" s="179">
        <v>0</v>
      </c>
      <c r="K309" s="179">
        <v>1124571862</v>
      </c>
      <c r="L309" s="179">
        <v>1124571862</v>
      </c>
      <c r="M309" s="179">
        <v>0</v>
      </c>
      <c r="N309" s="179">
        <v>0</v>
      </c>
    </row>
    <row r="310" spans="1:14" s="156" customFormat="1" x14ac:dyDescent="0.25">
      <c r="A310" s="156" t="s">
        <v>546</v>
      </c>
      <c r="B310" s="156" t="s">
        <v>354</v>
      </c>
      <c r="C310" s="156" t="s">
        <v>598</v>
      </c>
      <c r="D310" s="156" t="s">
        <v>541</v>
      </c>
      <c r="E310" s="179">
        <v>2760607000</v>
      </c>
      <c r="F310" s="179">
        <v>2760607000</v>
      </c>
      <c r="G310" s="179">
        <v>2760607000</v>
      </c>
      <c r="H310" s="179">
        <v>0</v>
      </c>
      <c r="I310" s="179">
        <v>2164499469</v>
      </c>
      <c r="J310" s="179">
        <v>0</v>
      </c>
      <c r="K310" s="179">
        <v>596107531</v>
      </c>
      <c r="L310" s="179">
        <v>596107531</v>
      </c>
      <c r="M310" s="179">
        <v>0</v>
      </c>
      <c r="N310" s="179">
        <v>0</v>
      </c>
    </row>
    <row r="311" spans="1:14" s="156" customFormat="1" x14ac:dyDescent="0.25">
      <c r="A311" s="156" t="s">
        <v>546</v>
      </c>
      <c r="B311" s="156" t="s">
        <v>355</v>
      </c>
      <c r="C311" s="156" t="s">
        <v>599</v>
      </c>
      <c r="D311" s="156" t="s">
        <v>541</v>
      </c>
      <c r="E311" s="179">
        <v>815140000</v>
      </c>
      <c r="F311" s="179">
        <v>815140000</v>
      </c>
      <c r="G311" s="179">
        <v>815140000</v>
      </c>
      <c r="H311" s="179">
        <v>0</v>
      </c>
      <c r="I311" s="179">
        <v>638985179</v>
      </c>
      <c r="J311" s="179">
        <v>0</v>
      </c>
      <c r="K311" s="179">
        <v>176154821</v>
      </c>
      <c r="L311" s="179">
        <v>176154821</v>
      </c>
      <c r="M311" s="179">
        <v>0</v>
      </c>
      <c r="N311" s="179">
        <v>0</v>
      </c>
    </row>
    <row r="312" spans="1:14" s="156" customFormat="1" x14ac:dyDescent="0.25">
      <c r="A312" s="156" t="s">
        <v>546</v>
      </c>
      <c r="B312" s="156" t="s">
        <v>356</v>
      </c>
      <c r="C312" s="156" t="s">
        <v>600</v>
      </c>
      <c r="D312" s="156" t="s">
        <v>541</v>
      </c>
      <c r="E312" s="179">
        <v>1630280000</v>
      </c>
      <c r="F312" s="179">
        <v>1630280000</v>
      </c>
      <c r="G312" s="179">
        <v>1630280000</v>
      </c>
      <c r="H312" s="179">
        <v>0</v>
      </c>
      <c r="I312" s="179">
        <v>1277970490</v>
      </c>
      <c r="J312" s="179">
        <v>0</v>
      </c>
      <c r="K312" s="179">
        <v>352309510</v>
      </c>
      <c r="L312" s="179">
        <v>352309510</v>
      </c>
      <c r="M312" s="179">
        <v>0</v>
      </c>
      <c r="N312" s="179">
        <v>0</v>
      </c>
    </row>
    <row r="313" spans="1:14" s="156" customFormat="1" x14ac:dyDescent="0.25">
      <c r="A313" s="156" t="s">
        <v>546</v>
      </c>
      <c r="B313" s="156" t="s">
        <v>123</v>
      </c>
      <c r="C313" s="156" t="s">
        <v>124</v>
      </c>
      <c r="D313" s="156" t="s">
        <v>541</v>
      </c>
      <c r="E313" s="179">
        <v>9869454182</v>
      </c>
      <c r="F313" s="179">
        <v>9869454182</v>
      </c>
      <c r="G313" s="179">
        <v>2479952543.6900001</v>
      </c>
      <c r="H313" s="179">
        <v>13349017</v>
      </c>
      <c r="I313" s="179">
        <v>851141247.72000003</v>
      </c>
      <c r="J313" s="179">
        <v>590000</v>
      </c>
      <c r="K313" s="179">
        <v>1232479612.76</v>
      </c>
      <c r="L313" s="179">
        <v>599392828.73000002</v>
      </c>
      <c r="M313" s="179">
        <v>7771894304.5200005</v>
      </c>
      <c r="N313" s="179">
        <v>382392666.20999998</v>
      </c>
    </row>
    <row r="314" spans="1:14" s="156" customFormat="1" x14ac:dyDescent="0.25">
      <c r="A314" s="156" t="s">
        <v>546</v>
      </c>
      <c r="B314" s="156" t="s">
        <v>125</v>
      </c>
      <c r="C314" s="156" t="s">
        <v>126</v>
      </c>
      <c r="D314" s="156" t="s">
        <v>541</v>
      </c>
      <c r="E314" s="179">
        <v>3181468559</v>
      </c>
      <c r="F314" s="179">
        <v>3181468559</v>
      </c>
      <c r="G314" s="179">
        <v>662241822.89999998</v>
      </c>
      <c r="H314" s="179">
        <v>0</v>
      </c>
      <c r="I314" s="179">
        <v>174573993.19</v>
      </c>
      <c r="J314" s="179">
        <v>0</v>
      </c>
      <c r="K314" s="179">
        <v>325613251.93000001</v>
      </c>
      <c r="L314" s="179">
        <v>253277018.72</v>
      </c>
      <c r="M314" s="179">
        <v>2681281313.8800001</v>
      </c>
      <c r="N314" s="179">
        <v>162054577.78</v>
      </c>
    </row>
    <row r="315" spans="1:14" s="156" customFormat="1" x14ac:dyDescent="0.25">
      <c r="A315" s="156" t="s">
        <v>546</v>
      </c>
      <c r="B315" s="156" t="s">
        <v>306</v>
      </c>
      <c r="C315" s="156" t="s">
        <v>307</v>
      </c>
      <c r="D315" s="156" t="s">
        <v>541</v>
      </c>
      <c r="E315" s="179">
        <v>431740903</v>
      </c>
      <c r="F315" s="179">
        <v>431740903</v>
      </c>
      <c r="G315" s="179">
        <v>107935225.8</v>
      </c>
      <c r="H315" s="179">
        <v>0</v>
      </c>
      <c r="I315" s="179">
        <v>36386738.609999999</v>
      </c>
      <c r="J315" s="179">
        <v>0</v>
      </c>
      <c r="K315" s="179">
        <v>41920973.600000001</v>
      </c>
      <c r="L315" s="179">
        <v>17808052.34</v>
      </c>
      <c r="M315" s="179">
        <v>353433190.79000002</v>
      </c>
      <c r="N315" s="179">
        <v>29627513.59</v>
      </c>
    </row>
    <row r="316" spans="1:14" s="156" customFormat="1" x14ac:dyDescent="0.25">
      <c r="A316" s="156" t="s">
        <v>546</v>
      </c>
      <c r="B316" s="156" t="s">
        <v>127</v>
      </c>
      <c r="C316" s="156" t="s">
        <v>128</v>
      </c>
      <c r="D316" s="156" t="s">
        <v>541</v>
      </c>
      <c r="E316" s="179">
        <v>719138329</v>
      </c>
      <c r="F316" s="179">
        <v>719138329</v>
      </c>
      <c r="G316" s="179">
        <v>179784582.30000001</v>
      </c>
      <c r="H316" s="179">
        <v>0</v>
      </c>
      <c r="I316" s="179">
        <v>52672118.770000003</v>
      </c>
      <c r="J316" s="179">
        <v>0</v>
      </c>
      <c r="K316" s="179">
        <v>38507633.170000002</v>
      </c>
      <c r="L316" s="179">
        <v>36836447.780000001</v>
      </c>
      <c r="M316" s="179">
        <v>627958577.05999994</v>
      </c>
      <c r="N316" s="179">
        <v>88604830.359999999</v>
      </c>
    </row>
    <row r="317" spans="1:14" s="156" customFormat="1" x14ac:dyDescent="0.25">
      <c r="A317" s="156" t="s">
        <v>546</v>
      </c>
      <c r="B317" s="156" t="s">
        <v>322</v>
      </c>
      <c r="C317" s="156" t="s">
        <v>323</v>
      </c>
      <c r="D317" s="156" t="s">
        <v>541</v>
      </c>
      <c r="E317" s="179">
        <v>23472000</v>
      </c>
      <c r="F317" s="179">
        <v>23472000</v>
      </c>
      <c r="G317" s="179">
        <v>5868000</v>
      </c>
      <c r="H317" s="179">
        <v>0</v>
      </c>
      <c r="I317" s="179">
        <v>3834042.77</v>
      </c>
      <c r="J317" s="179">
        <v>0</v>
      </c>
      <c r="K317" s="179">
        <v>1627014.4</v>
      </c>
      <c r="L317" s="179">
        <v>0</v>
      </c>
      <c r="M317" s="179">
        <v>18010942.829999998</v>
      </c>
      <c r="N317" s="179">
        <v>406942.83</v>
      </c>
    </row>
    <row r="318" spans="1:14" s="156" customFormat="1" x14ac:dyDescent="0.25">
      <c r="A318" s="156" t="s">
        <v>546</v>
      </c>
      <c r="B318" s="156" t="s">
        <v>129</v>
      </c>
      <c r="C318" s="156" t="s">
        <v>130</v>
      </c>
      <c r="D318" s="156" t="s">
        <v>541</v>
      </c>
      <c r="E318" s="179">
        <v>2007117327</v>
      </c>
      <c r="F318" s="179">
        <v>2007117327</v>
      </c>
      <c r="G318" s="179">
        <v>368654014.80000001</v>
      </c>
      <c r="H318" s="179">
        <v>0</v>
      </c>
      <c r="I318" s="179">
        <v>81681093.040000007</v>
      </c>
      <c r="J318" s="179">
        <v>0</v>
      </c>
      <c r="K318" s="179">
        <v>243557630.75999999</v>
      </c>
      <c r="L318" s="179">
        <v>198632518.59999999</v>
      </c>
      <c r="M318" s="179">
        <v>1681878603.2</v>
      </c>
      <c r="N318" s="179">
        <v>43415291</v>
      </c>
    </row>
    <row r="319" spans="1:14" s="156" customFormat="1" x14ac:dyDescent="0.25">
      <c r="A319" s="156" t="s">
        <v>546</v>
      </c>
      <c r="B319" s="156" t="s">
        <v>131</v>
      </c>
      <c r="C319" s="156" t="s">
        <v>132</v>
      </c>
      <c r="D319" s="156" t="s">
        <v>541</v>
      </c>
      <c r="E319" s="179">
        <v>4328674526</v>
      </c>
      <c r="F319" s="179">
        <v>4328674526</v>
      </c>
      <c r="G319" s="179">
        <v>1098773100.5</v>
      </c>
      <c r="H319" s="179">
        <v>0</v>
      </c>
      <c r="I319" s="179">
        <v>272565616.26999998</v>
      </c>
      <c r="J319" s="179">
        <v>0</v>
      </c>
      <c r="K319" s="179">
        <v>744832097.69000006</v>
      </c>
      <c r="L319" s="179">
        <v>323689115.77999997</v>
      </c>
      <c r="M319" s="179">
        <v>3311276812.04</v>
      </c>
      <c r="N319" s="179">
        <v>81375386.540000007</v>
      </c>
    </row>
    <row r="320" spans="1:14" s="156" customFormat="1" x14ac:dyDescent="0.25">
      <c r="A320" s="156" t="s">
        <v>546</v>
      </c>
      <c r="B320" s="156" t="s">
        <v>133</v>
      </c>
      <c r="C320" s="156" t="s">
        <v>134</v>
      </c>
      <c r="D320" s="156" t="s">
        <v>541</v>
      </c>
      <c r="E320" s="179">
        <v>2503011786</v>
      </c>
      <c r="F320" s="179">
        <v>2503011786</v>
      </c>
      <c r="G320" s="179">
        <v>625752946.5</v>
      </c>
      <c r="H320" s="179">
        <v>0</v>
      </c>
      <c r="I320" s="179">
        <v>163478939.5</v>
      </c>
      <c r="J320" s="179">
        <v>0</v>
      </c>
      <c r="K320" s="179">
        <v>462274007</v>
      </c>
      <c r="L320" s="179">
        <v>227371367</v>
      </c>
      <c r="M320" s="179">
        <v>1877258839.5</v>
      </c>
      <c r="N320" s="179">
        <v>0</v>
      </c>
    </row>
    <row r="321" spans="1:14" s="156" customFormat="1" x14ac:dyDescent="0.25">
      <c r="A321" s="156" t="s">
        <v>546</v>
      </c>
      <c r="B321" s="156" t="s">
        <v>135</v>
      </c>
      <c r="C321" s="156" t="s">
        <v>136</v>
      </c>
      <c r="D321" s="156" t="s">
        <v>541</v>
      </c>
      <c r="E321" s="179">
        <v>973642474</v>
      </c>
      <c r="F321" s="179">
        <v>973642474</v>
      </c>
      <c r="G321" s="179">
        <v>203410618.5</v>
      </c>
      <c r="H321" s="179">
        <v>0</v>
      </c>
      <c r="I321" s="179">
        <v>26012805.379999999</v>
      </c>
      <c r="J321" s="179">
        <v>0</v>
      </c>
      <c r="K321" s="179">
        <v>176990143</v>
      </c>
      <c r="L321" s="179">
        <v>52190118.530000001</v>
      </c>
      <c r="M321" s="179">
        <v>770639525.62</v>
      </c>
      <c r="N321" s="179">
        <v>407670.12</v>
      </c>
    </row>
    <row r="322" spans="1:14" s="156" customFormat="1" x14ac:dyDescent="0.25">
      <c r="A322" s="156" t="s">
        <v>546</v>
      </c>
      <c r="B322" s="156" t="s">
        <v>137</v>
      </c>
      <c r="C322" s="156" t="s">
        <v>138</v>
      </c>
      <c r="D322" s="156" t="s">
        <v>541</v>
      </c>
      <c r="E322" s="179">
        <v>3942858</v>
      </c>
      <c r="F322" s="179">
        <v>3942858</v>
      </c>
      <c r="G322" s="179">
        <v>3942857.5</v>
      </c>
      <c r="H322" s="179">
        <v>0</v>
      </c>
      <c r="I322" s="179">
        <v>3335582.5</v>
      </c>
      <c r="J322" s="179">
        <v>0</v>
      </c>
      <c r="K322" s="179">
        <v>168380</v>
      </c>
      <c r="L322" s="179">
        <v>168380</v>
      </c>
      <c r="M322" s="179">
        <v>438895.5</v>
      </c>
      <c r="N322" s="179">
        <v>438895</v>
      </c>
    </row>
    <row r="323" spans="1:14" s="156" customFormat="1" x14ac:dyDescent="0.25">
      <c r="A323" s="156" t="s">
        <v>546</v>
      </c>
      <c r="B323" s="156" t="s">
        <v>139</v>
      </c>
      <c r="C323" s="156" t="s">
        <v>140</v>
      </c>
      <c r="D323" s="156" t="s">
        <v>541</v>
      </c>
      <c r="E323" s="179">
        <v>753229000</v>
      </c>
      <c r="F323" s="179">
        <v>753229000</v>
      </c>
      <c r="G323" s="179">
        <v>188307250</v>
      </c>
      <c r="H323" s="179">
        <v>0</v>
      </c>
      <c r="I323" s="179">
        <v>36513108.789999999</v>
      </c>
      <c r="J323" s="179">
        <v>0</v>
      </c>
      <c r="K323" s="179">
        <v>103923201.41</v>
      </c>
      <c r="L323" s="179">
        <v>43959250.25</v>
      </c>
      <c r="M323" s="179">
        <v>612792689.79999995</v>
      </c>
      <c r="N323" s="179">
        <v>47870939.799999997</v>
      </c>
    </row>
    <row r="324" spans="1:14" s="156" customFormat="1" x14ac:dyDescent="0.25">
      <c r="A324" s="156" t="s">
        <v>546</v>
      </c>
      <c r="B324" s="156" t="s">
        <v>141</v>
      </c>
      <c r="C324" s="156" t="s">
        <v>142</v>
      </c>
      <c r="D324" s="156" t="s">
        <v>541</v>
      </c>
      <c r="E324" s="179">
        <v>94848408</v>
      </c>
      <c r="F324" s="179">
        <v>94848408</v>
      </c>
      <c r="G324" s="179">
        <v>77359428</v>
      </c>
      <c r="H324" s="179">
        <v>0</v>
      </c>
      <c r="I324" s="179">
        <v>43225180.100000001</v>
      </c>
      <c r="J324" s="179">
        <v>0</v>
      </c>
      <c r="K324" s="179">
        <v>1476366.28</v>
      </c>
      <c r="L324" s="179">
        <v>0</v>
      </c>
      <c r="M324" s="179">
        <v>50146861.619999997</v>
      </c>
      <c r="N324" s="179">
        <v>32657881.620000001</v>
      </c>
    </row>
    <row r="325" spans="1:14" s="156" customFormat="1" x14ac:dyDescent="0.25">
      <c r="A325" s="156" t="s">
        <v>546</v>
      </c>
      <c r="B325" s="156" t="s">
        <v>143</v>
      </c>
      <c r="C325" s="156" t="s">
        <v>144</v>
      </c>
      <c r="D325" s="156" t="s">
        <v>541</v>
      </c>
      <c r="E325" s="179">
        <v>4451091</v>
      </c>
      <c r="F325" s="179">
        <v>4451091</v>
      </c>
      <c r="G325" s="179">
        <v>2873730.75</v>
      </c>
      <c r="H325" s="179">
        <v>0</v>
      </c>
      <c r="I325" s="179">
        <v>2099510</v>
      </c>
      <c r="J325" s="179">
        <v>0</v>
      </c>
      <c r="K325" s="179">
        <v>425670</v>
      </c>
      <c r="L325" s="179">
        <v>393670</v>
      </c>
      <c r="M325" s="179">
        <v>1925911</v>
      </c>
      <c r="N325" s="179">
        <v>348550.75</v>
      </c>
    </row>
    <row r="326" spans="1:14" s="156" customFormat="1" x14ac:dyDescent="0.25">
      <c r="A326" s="156" t="s">
        <v>546</v>
      </c>
      <c r="B326" s="156" t="s">
        <v>145</v>
      </c>
      <c r="C326" s="156" t="s">
        <v>146</v>
      </c>
      <c r="D326" s="156" t="s">
        <v>541</v>
      </c>
      <c r="E326" s="179">
        <v>1831091</v>
      </c>
      <c r="F326" s="179">
        <v>1831091</v>
      </c>
      <c r="G326" s="179">
        <v>1831090.75</v>
      </c>
      <c r="H326" s="179">
        <v>0</v>
      </c>
      <c r="I326" s="179">
        <v>1088870</v>
      </c>
      <c r="J326" s="179">
        <v>0</v>
      </c>
      <c r="K326" s="179">
        <v>393670</v>
      </c>
      <c r="L326" s="179">
        <v>393670</v>
      </c>
      <c r="M326" s="179">
        <v>348551</v>
      </c>
      <c r="N326" s="179">
        <v>348550.75</v>
      </c>
    </row>
    <row r="327" spans="1:14" s="156" customFormat="1" x14ac:dyDescent="0.25">
      <c r="A327" s="156" t="s">
        <v>546</v>
      </c>
      <c r="B327" s="156" t="s">
        <v>147</v>
      </c>
      <c r="C327" s="156" t="s">
        <v>148</v>
      </c>
      <c r="D327" s="156" t="s">
        <v>541</v>
      </c>
      <c r="E327" s="179">
        <v>2620000</v>
      </c>
      <c r="F327" s="179">
        <v>2620000</v>
      </c>
      <c r="G327" s="179">
        <v>1042640</v>
      </c>
      <c r="H327" s="179">
        <v>0</v>
      </c>
      <c r="I327" s="179">
        <v>1010640</v>
      </c>
      <c r="J327" s="179">
        <v>0</v>
      </c>
      <c r="K327" s="179">
        <v>32000</v>
      </c>
      <c r="L327" s="179">
        <v>0</v>
      </c>
      <c r="M327" s="179">
        <v>1577360</v>
      </c>
      <c r="N327" s="179">
        <v>0</v>
      </c>
    </row>
    <row r="328" spans="1:14" s="156" customFormat="1" x14ac:dyDescent="0.25">
      <c r="A328" s="156" t="s">
        <v>546</v>
      </c>
      <c r="B328" s="156" t="s">
        <v>151</v>
      </c>
      <c r="C328" s="156" t="s">
        <v>152</v>
      </c>
      <c r="D328" s="156" t="s">
        <v>541</v>
      </c>
      <c r="E328" s="179">
        <v>310063679</v>
      </c>
      <c r="F328" s="179">
        <v>310063679</v>
      </c>
      <c r="G328" s="179">
        <v>81252293.75</v>
      </c>
      <c r="H328" s="179">
        <v>0</v>
      </c>
      <c r="I328" s="179">
        <v>37177907.82</v>
      </c>
      <c r="J328" s="179">
        <v>590000</v>
      </c>
      <c r="K328" s="179">
        <v>15357644.66</v>
      </c>
      <c r="L328" s="179">
        <v>5758847.96</v>
      </c>
      <c r="M328" s="179">
        <v>256938126.52000001</v>
      </c>
      <c r="N328" s="179">
        <v>28126741.27</v>
      </c>
    </row>
    <row r="329" spans="1:14" s="156" customFormat="1" x14ac:dyDescent="0.25">
      <c r="A329" s="156" t="s">
        <v>546</v>
      </c>
      <c r="B329" s="156" t="s">
        <v>359</v>
      </c>
      <c r="C329" s="156" t="s">
        <v>605</v>
      </c>
      <c r="D329" s="156" t="s">
        <v>541</v>
      </c>
      <c r="E329" s="179">
        <v>21381819</v>
      </c>
      <c r="F329" s="179">
        <v>21381819</v>
      </c>
      <c r="G329" s="179">
        <v>5345454.75</v>
      </c>
      <c r="H329" s="179">
        <v>0</v>
      </c>
      <c r="I329" s="179">
        <v>190000</v>
      </c>
      <c r="J329" s="179">
        <v>0</v>
      </c>
      <c r="K329" s="179">
        <v>0</v>
      </c>
      <c r="L329" s="179">
        <v>0</v>
      </c>
      <c r="M329" s="179">
        <v>21191819</v>
      </c>
      <c r="N329" s="179">
        <v>5155454.75</v>
      </c>
    </row>
    <row r="330" spans="1:14" s="156" customFormat="1" x14ac:dyDescent="0.25">
      <c r="A330" s="156" t="s">
        <v>546</v>
      </c>
      <c r="B330" s="156" t="s">
        <v>330</v>
      </c>
      <c r="C330" s="156" t="s">
        <v>604</v>
      </c>
      <c r="D330" s="156" t="s">
        <v>541</v>
      </c>
      <c r="E330" s="179">
        <v>106119000</v>
      </c>
      <c r="F330" s="179">
        <v>106119000</v>
      </c>
      <c r="G330" s="179">
        <v>26529750</v>
      </c>
      <c r="H330" s="179">
        <v>0</v>
      </c>
      <c r="I330" s="179">
        <v>20792663.219999999</v>
      </c>
      <c r="J330" s="179">
        <v>0</v>
      </c>
      <c r="K330" s="179">
        <v>4125000</v>
      </c>
      <c r="L330" s="179">
        <v>0</v>
      </c>
      <c r="M330" s="179">
        <v>81201336.780000001</v>
      </c>
      <c r="N330" s="179">
        <v>1612086.78</v>
      </c>
    </row>
    <row r="331" spans="1:14" s="156" customFormat="1" x14ac:dyDescent="0.25">
      <c r="A331" s="156" t="s">
        <v>546</v>
      </c>
      <c r="B331" s="156" t="s">
        <v>154</v>
      </c>
      <c r="C331" s="156" t="s">
        <v>155</v>
      </c>
      <c r="D331" s="156" t="s">
        <v>541</v>
      </c>
      <c r="E331" s="179">
        <v>126000000</v>
      </c>
      <c r="F331" s="179">
        <v>126000000</v>
      </c>
      <c r="G331" s="179">
        <v>31500000</v>
      </c>
      <c r="H331" s="179">
        <v>0</v>
      </c>
      <c r="I331" s="179">
        <v>6406179.8499999996</v>
      </c>
      <c r="J331" s="179">
        <v>590000</v>
      </c>
      <c r="K331" s="179">
        <v>10805519.66</v>
      </c>
      <c r="L331" s="179">
        <v>5758847.96</v>
      </c>
      <c r="M331" s="179">
        <v>108198300.48999999</v>
      </c>
      <c r="N331" s="179">
        <v>13698300.49</v>
      </c>
    </row>
    <row r="332" spans="1:14" s="156" customFormat="1" x14ac:dyDescent="0.25">
      <c r="A332" s="156" t="s">
        <v>546</v>
      </c>
      <c r="B332" s="156" t="s">
        <v>156</v>
      </c>
      <c r="C332" s="156" t="s">
        <v>157</v>
      </c>
      <c r="D332" s="156" t="s">
        <v>541</v>
      </c>
      <c r="E332" s="179">
        <v>56562860</v>
      </c>
      <c r="F332" s="179">
        <v>56562860</v>
      </c>
      <c r="G332" s="179">
        <v>17877089</v>
      </c>
      <c r="H332" s="179">
        <v>0</v>
      </c>
      <c r="I332" s="179">
        <v>9789064.75</v>
      </c>
      <c r="J332" s="179">
        <v>0</v>
      </c>
      <c r="K332" s="179">
        <v>427125</v>
      </c>
      <c r="L332" s="179">
        <v>0</v>
      </c>
      <c r="M332" s="179">
        <v>46346670.25</v>
      </c>
      <c r="N332" s="179">
        <v>7660899.25</v>
      </c>
    </row>
    <row r="333" spans="1:14" s="156" customFormat="1" x14ac:dyDescent="0.25">
      <c r="A333" s="156" t="s">
        <v>546</v>
      </c>
      <c r="B333" s="156" t="s">
        <v>158</v>
      </c>
      <c r="C333" s="156" t="s">
        <v>159</v>
      </c>
      <c r="D333" s="156" t="s">
        <v>541</v>
      </c>
      <c r="E333" s="179">
        <v>128523280</v>
      </c>
      <c r="F333" s="179">
        <v>128523280</v>
      </c>
      <c r="G333" s="179">
        <v>65563280</v>
      </c>
      <c r="H333" s="179">
        <v>0</v>
      </c>
      <c r="I333" s="179">
        <v>16258605</v>
      </c>
      <c r="J333" s="179">
        <v>0</v>
      </c>
      <c r="K333" s="179">
        <v>9497975</v>
      </c>
      <c r="L333" s="179">
        <v>9002925</v>
      </c>
      <c r="M333" s="179">
        <v>102766700</v>
      </c>
      <c r="N333" s="179">
        <v>39806700</v>
      </c>
    </row>
    <row r="334" spans="1:14" s="156" customFormat="1" x14ac:dyDescent="0.25">
      <c r="A334" s="156" t="s">
        <v>546</v>
      </c>
      <c r="B334" s="156" t="s">
        <v>160</v>
      </c>
      <c r="C334" s="156" t="s">
        <v>161</v>
      </c>
      <c r="D334" s="156" t="s">
        <v>541</v>
      </c>
      <c r="E334" s="179">
        <v>4829000</v>
      </c>
      <c r="F334" s="179">
        <v>4829000</v>
      </c>
      <c r="G334" s="179">
        <v>3014210</v>
      </c>
      <c r="H334" s="179">
        <v>0</v>
      </c>
      <c r="I334" s="179">
        <v>544655</v>
      </c>
      <c r="J334" s="179">
        <v>0</v>
      </c>
      <c r="K334" s="179">
        <v>219225</v>
      </c>
      <c r="L334" s="179">
        <v>219225</v>
      </c>
      <c r="M334" s="179">
        <v>4065120</v>
      </c>
      <c r="N334" s="179">
        <v>2250330</v>
      </c>
    </row>
    <row r="335" spans="1:14" s="156" customFormat="1" x14ac:dyDescent="0.25">
      <c r="A335" s="156" t="s">
        <v>546</v>
      </c>
      <c r="B335" s="156" t="s">
        <v>162</v>
      </c>
      <c r="C335" s="156" t="s">
        <v>163</v>
      </c>
      <c r="D335" s="156" t="s">
        <v>541</v>
      </c>
      <c r="E335" s="179">
        <v>119154137</v>
      </c>
      <c r="F335" s="179">
        <v>119154137</v>
      </c>
      <c r="G335" s="179">
        <v>61414034.25</v>
      </c>
      <c r="H335" s="179">
        <v>0</v>
      </c>
      <c r="I335" s="179">
        <v>15713950</v>
      </c>
      <c r="J335" s="179">
        <v>0</v>
      </c>
      <c r="K335" s="179">
        <v>9278750</v>
      </c>
      <c r="L335" s="179">
        <v>8783700</v>
      </c>
      <c r="M335" s="179">
        <v>94161437</v>
      </c>
      <c r="N335" s="179">
        <v>36421334.25</v>
      </c>
    </row>
    <row r="336" spans="1:14" s="156" customFormat="1" x14ac:dyDescent="0.25">
      <c r="A336" s="156" t="s">
        <v>546</v>
      </c>
      <c r="B336" s="156" t="s">
        <v>164</v>
      </c>
      <c r="C336" s="156" t="s">
        <v>165</v>
      </c>
      <c r="D336" s="156" t="s">
        <v>541</v>
      </c>
      <c r="E336" s="179">
        <v>2851000</v>
      </c>
      <c r="F336" s="179">
        <v>2851000</v>
      </c>
      <c r="G336" s="179">
        <v>712750</v>
      </c>
      <c r="H336" s="179">
        <v>0</v>
      </c>
      <c r="I336" s="179">
        <v>0</v>
      </c>
      <c r="J336" s="179">
        <v>0</v>
      </c>
      <c r="K336" s="179">
        <v>0</v>
      </c>
      <c r="L336" s="179">
        <v>0</v>
      </c>
      <c r="M336" s="179">
        <v>2851000</v>
      </c>
      <c r="N336" s="179">
        <v>712750</v>
      </c>
    </row>
    <row r="337" spans="1:14" s="156" customFormat="1" x14ac:dyDescent="0.25">
      <c r="A337" s="156" t="s">
        <v>546</v>
      </c>
      <c r="B337" s="156" t="s">
        <v>166</v>
      </c>
      <c r="C337" s="156" t="s">
        <v>167</v>
      </c>
      <c r="D337" s="156" t="s">
        <v>541</v>
      </c>
      <c r="E337" s="179">
        <v>1689143</v>
      </c>
      <c r="F337" s="179">
        <v>1689143</v>
      </c>
      <c r="G337" s="179">
        <v>422285.75</v>
      </c>
      <c r="H337" s="179">
        <v>0</v>
      </c>
      <c r="I337" s="179">
        <v>0</v>
      </c>
      <c r="J337" s="179">
        <v>0</v>
      </c>
      <c r="K337" s="179">
        <v>0</v>
      </c>
      <c r="L337" s="179">
        <v>0</v>
      </c>
      <c r="M337" s="179">
        <v>1689143</v>
      </c>
      <c r="N337" s="179">
        <v>422285.75</v>
      </c>
    </row>
    <row r="338" spans="1:14" s="156" customFormat="1" x14ac:dyDescent="0.25">
      <c r="A338" s="156" t="s">
        <v>546</v>
      </c>
      <c r="B338" s="156" t="s">
        <v>168</v>
      </c>
      <c r="C338" s="156" t="s">
        <v>169</v>
      </c>
      <c r="D338" s="156" t="s">
        <v>541</v>
      </c>
      <c r="E338" s="179">
        <v>1290997262</v>
      </c>
      <c r="F338" s="179">
        <v>1290997262</v>
      </c>
      <c r="G338" s="179">
        <v>152220425.78999999</v>
      </c>
      <c r="H338" s="179">
        <v>0</v>
      </c>
      <c r="I338" s="179">
        <v>67676253.400000006</v>
      </c>
      <c r="J338" s="179">
        <v>0</v>
      </c>
      <c r="K338" s="179">
        <v>80643434.599999994</v>
      </c>
      <c r="L338" s="179">
        <v>0</v>
      </c>
      <c r="M338" s="179">
        <v>1142677574</v>
      </c>
      <c r="N338" s="179">
        <v>3900737.79</v>
      </c>
    </row>
    <row r="339" spans="1:14" s="156" customFormat="1" x14ac:dyDescent="0.25">
      <c r="A339" s="156" t="s">
        <v>546</v>
      </c>
      <c r="B339" s="156" t="s">
        <v>170</v>
      </c>
      <c r="C339" s="156" t="s">
        <v>171</v>
      </c>
      <c r="D339" s="156" t="s">
        <v>541</v>
      </c>
      <c r="E339" s="179">
        <v>1290997262</v>
      </c>
      <c r="F339" s="179">
        <v>1290997262</v>
      </c>
      <c r="G339" s="179">
        <v>152220425.78999999</v>
      </c>
      <c r="H339" s="179">
        <v>0</v>
      </c>
      <c r="I339" s="179">
        <v>67676253.400000006</v>
      </c>
      <c r="J339" s="179">
        <v>0</v>
      </c>
      <c r="K339" s="179">
        <v>80643434.599999994</v>
      </c>
      <c r="L339" s="179">
        <v>0</v>
      </c>
      <c r="M339" s="179">
        <v>1142677574</v>
      </c>
      <c r="N339" s="179">
        <v>3900737.79</v>
      </c>
    </row>
    <row r="340" spans="1:14" s="156" customFormat="1" x14ac:dyDescent="0.25">
      <c r="A340" s="156" t="s">
        <v>546</v>
      </c>
      <c r="B340" s="156" t="s">
        <v>172</v>
      </c>
      <c r="C340" s="156" t="s">
        <v>173</v>
      </c>
      <c r="D340" s="156" t="s">
        <v>541</v>
      </c>
      <c r="E340" s="179">
        <v>1413715</v>
      </c>
      <c r="F340" s="179">
        <v>1413715</v>
      </c>
      <c r="G340" s="179">
        <v>353428.75</v>
      </c>
      <c r="H340" s="179">
        <v>0</v>
      </c>
      <c r="I340" s="179">
        <v>0</v>
      </c>
      <c r="J340" s="179">
        <v>0</v>
      </c>
      <c r="K340" s="179">
        <v>0</v>
      </c>
      <c r="L340" s="179">
        <v>0</v>
      </c>
      <c r="M340" s="179">
        <v>1413715</v>
      </c>
      <c r="N340" s="179">
        <v>353428.75</v>
      </c>
    </row>
    <row r="341" spans="1:14" s="156" customFormat="1" x14ac:dyDescent="0.25">
      <c r="A341" s="156" t="s">
        <v>546</v>
      </c>
      <c r="B341" s="156" t="s">
        <v>309</v>
      </c>
      <c r="C341" s="156" t="s">
        <v>310</v>
      </c>
      <c r="D341" s="156" t="s">
        <v>541</v>
      </c>
      <c r="E341" s="179">
        <v>1413715</v>
      </c>
      <c r="F341" s="179">
        <v>1413715</v>
      </c>
      <c r="G341" s="179">
        <v>353428.75</v>
      </c>
      <c r="H341" s="179">
        <v>0</v>
      </c>
      <c r="I341" s="179">
        <v>0</v>
      </c>
      <c r="J341" s="179">
        <v>0</v>
      </c>
      <c r="K341" s="179">
        <v>0</v>
      </c>
      <c r="L341" s="179">
        <v>0</v>
      </c>
      <c r="M341" s="179">
        <v>1413715</v>
      </c>
      <c r="N341" s="179">
        <v>353428.75</v>
      </c>
    </row>
    <row r="342" spans="1:14" s="156" customFormat="1" x14ac:dyDescent="0.25">
      <c r="A342" s="156" t="s">
        <v>546</v>
      </c>
      <c r="B342" s="156" t="s">
        <v>178</v>
      </c>
      <c r="C342" s="156" t="s">
        <v>179</v>
      </c>
      <c r="D342" s="156" t="s">
        <v>541</v>
      </c>
      <c r="E342" s="179">
        <v>594069615</v>
      </c>
      <c r="F342" s="179">
        <v>594069615</v>
      </c>
      <c r="G342" s="179">
        <v>406976347.5</v>
      </c>
      <c r="H342" s="179">
        <v>13349017</v>
      </c>
      <c r="I342" s="179">
        <v>215864399.88</v>
      </c>
      <c r="J342" s="179">
        <v>0</v>
      </c>
      <c r="K342" s="179">
        <v>55956795.630000003</v>
      </c>
      <c r="L342" s="179">
        <v>7271251.2699999996</v>
      </c>
      <c r="M342" s="179">
        <v>308899402.49000001</v>
      </c>
      <c r="N342" s="179">
        <v>121806134.98999999</v>
      </c>
    </row>
    <row r="343" spans="1:14" s="156" customFormat="1" x14ac:dyDescent="0.25">
      <c r="A343" s="156" t="s">
        <v>546</v>
      </c>
      <c r="B343" s="156" t="s">
        <v>180</v>
      </c>
      <c r="C343" s="156" t="s">
        <v>181</v>
      </c>
      <c r="D343" s="156" t="s">
        <v>541</v>
      </c>
      <c r="E343" s="179">
        <v>125656000</v>
      </c>
      <c r="F343" s="179">
        <v>125656000</v>
      </c>
      <c r="G343" s="179">
        <v>31414000</v>
      </c>
      <c r="H343" s="179">
        <v>13349017</v>
      </c>
      <c r="I343" s="179">
        <v>0</v>
      </c>
      <c r="J343" s="179">
        <v>0</v>
      </c>
      <c r="K343" s="179">
        <v>0</v>
      </c>
      <c r="L343" s="179">
        <v>0</v>
      </c>
      <c r="M343" s="179">
        <v>112306983</v>
      </c>
      <c r="N343" s="179">
        <v>18064983</v>
      </c>
    </row>
    <row r="344" spans="1:14" s="156" customFormat="1" x14ac:dyDescent="0.25">
      <c r="A344" s="156" t="s">
        <v>546</v>
      </c>
      <c r="B344" s="156" t="s">
        <v>332</v>
      </c>
      <c r="C344" s="156" t="s">
        <v>333</v>
      </c>
      <c r="D344" s="156" t="s">
        <v>541</v>
      </c>
      <c r="E344" s="179">
        <v>188229817</v>
      </c>
      <c r="F344" s="179">
        <v>188229817</v>
      </c>
      <c r="G344" s="179">
        <v>188229817</v>
      </c>
      <c r="H344" s="179">
        <v>0</v>
      </c>
      <c r="I344" s="179">
        <v>111180019.48999999</v>
      </c>
      <c r="J344" s="179">
        <v>0</v>
      </c>
      <c r="K344" s="179">
        <v>46922302.460000001</v>
      </c>
      <c r="L344" s="179">
        <v>0</v>
      </c>
      <c r="M344" s="179">
        <v>30127495.050000001</v>
      </c>
      <c r="N344" s="179">
        <v>30127495.050000001</v>
      </c>
    </row>
    <row r="345" spans="1:14" s="156" customFormat="1" x14ac:dyDescent="0.25">
      <c r="A345" s="156" t="s">
        <v>546</v>
      </c>
      <c r="B345" s="156" t="s">
        <v>182</v>
      </c>
      <c r="C345" s="156" t="s">
        <v>183</v>
      </c>
      <c r="D345" s="156" t="s">
        <v>541</v>
      </c>
      <c r="E345" s="179">
        <v>95028648</v>
      </c>
      <c r="F345" s="179">
        <v>95028648</v>
      </c>
      <c r="G345" s="179">
        <v>95028648</v>
      </c>
      <c r="H345" s="179">
        <v>0</v>
      </c>
      <c r="I345" s="179">
        <v>47320127.490000002</v>
      </c>
      <c r="J345" s="179">
        <v>0</v>
      </c>
      <c r="K345" s="179">
        <v>7805286.7699999996</v>
      </c>
      <c r="L345" s="179">
        <v>6432044.8700000001</v>
      </c>
      <c r="M345" s="179">
        <v>39903233.740000002</v>
      </c>
      <c r="N345" s="179">
        <v>39903233.740000002</v>
      </c>
    </row>
    <row r="346" spans="1:14" s="156" customFormat="1" x14ac:dyDescent="0.25">
      <c r="A346" s="156" t="s">
        <v>546</v>
      </c>
      <c r="B346" s="156" t="s">
        <v>184</v>
      </c>
      <c r="C346" s="156" t="s">
        <v>185</v>
      </c>
      <c r="D346" s="156" t="s">
        <v>541</v>
      </c>
      <c r="E346" s="179">
        <v>6300000</v>
      </c>
      <c r="F346" s="179">
        <v>6300000</v>
      </c>
      <c r="G346" s="179">
        <v>6300000</v>
      </c>
      <c r="H346" s="179">
        <v>0</v>
      </c>
      <c r="I346" s="179">
        <v>0</v>
      </c>
      <c r="J346" s="179">
        <v>0</v>
      </c>
      <c r="K346" s="179">
        <v>0</v>
      </c>
      <c r="L346" s="179">
        <v>0</v>
      </c>
      <c r="M346" s="179">
        <v>6300000</v>
      </c>
      <c r="N346" s="179">
        <v>6300000</v>
      </c>
    </row>
    <row r="347" spans="1:14" s="156" customFormat="1" x14ac:dyDescent="0.25">
      <c r="A347" s="156" t="s">
        <v>546</v>
      </c>
      <c r="B347" s="156" t="s">
        <v>186</v>
      </c>
      <c r="C347" s="156" t="s">
        <v>187</v>
      </c>
      <c r="D347" s="156" t="s">
        <v>541</v>
      </c>
      <c r="E347" s="179">
        <v>11141667</v>
      </c>
      <c r="F347" s="179">
        <v>11141667</v>
      </c>
      <c r="G347" s="179">
        <v>11141666.75</v>
      </c>
      <c r="H347" s="179">
        <v>0</v>
      </c>
      <c r="I347" s="179">
        <v>1305000</v>
      </c>
      <c r="J347" s="179">
        <v>0</v>
      </c>
      <c r="K347" s="179">
        <v>390000</v>
      </c>
      <c r="L347" s="179">
        <v>0</v>
      </c>
      <c r="M347" s="179">
        <v>9446667</v>
      </c>
      <c r="N347" s="179">
        <v>9446666.75</v>
      </c>
    </row>
    <row r="348" spans="1:14" s="156" customFormat="1" x14ac:dyDescent="0.25">
      <c r="A348" s="156" t="s">
        <v>546</v>
      </c>
      <c r="B348" s="156" t="s">
        <v>188</v>
      </c>
      <c r="C348" s="156" t="s">
        <v>189</v>
      </c>
      <c r="D348" s="156" t="s">
        <v>541</v>
      </c>
      <c r="E348" s="179">
        <v>40562000</v>
      </c>
      <c r="F348" s="179">
        <v>40562000</v>
      </c>
      <c r="G348" s="179">
        <v>11286475</v>
      </c>
      <c r="H348" s="179">
        <v>0</v>
      </c>
      <c r="I348" s="179">
        <v>11286474.789999999</v>
      </c>
      <c r="J348" s="179">
        <v>0</v>
      </c>
      <c r="K348" s="179">
        <v>0</v>
      </c>
      <c r="L348" s="179">
        <v>0</v>
      </c>
      <c r="M348" s="179">
        <v>29275525.210000001</v>
      </c>
      <c r="N348" s="179">
        <v>0.21</v>
      </c>
    </row>
    <row r="349" spans="1:14" s="156" customFormat="1" x14ac:dyDescent="0.25">
      <c r="A349" s="156" t="s">
        <v>546</v>
      </c>
      <c r="B349" s="156" t="s">
        <v>190</v>
      </c>
      <c r="C349" s="156" t="s">
        <v>191</v>
      </c>
      <c r="D349" s="156" t="s">
        <v>541</v>
      </c>
      <c r="E349" s="179">
        <v>127151483</v>
      </c>
      <c r="F349" s="179">
        <v>127151483</v>
      </c>
      <c r="G349" s="179">
        <v>63575740.75</v>
      </c>
      <c r="H349" s="179">
        <v>0</v>
      </c>
      <c r="I349" s="179">
        <v>44772778.109999999</v>
      </c>
      <c r="J349" s="179">
        <v>0</v>
      </c>
      <c r="K349" s="179">
        <v>839206.40000000002</v>
      </c>
      <c r="L349" s="179">
        <v>839206.40000000002</v>
      </c>
      <c r="M349" s="179">
        <v>81539498.489999995</v>
      </c>
      <c r="N349" s="179">
        <v>17963756.239999998</v>
      </c>
    </row>
    <row r="350" spans="1:14" s="156" customFormat="1" x14ac:dyDescent="0.25">
      <c r="A350" s="156" t="s">
        <v>546</v>
      </c>
      <c r="B350" s="156" t="s">
        <v>192</v>
      </c>
      <c r="C350" s="156" t="s">
        <v>193</v>
      </c>
      <c r="D350" s="156" t="s">
        <v>541</v>
      </c>
      <c r="E350" s="179">
        <v>11126154</v>
      </c>
      <c r="F350" s="179">
        <v>11126154</v>
      </c>
      <c r="G350" s="179">
        <v>2781538.5</v>
      </c>
      <c r="H350" s="179">
        <v>0</v>
      </c>
      <c r="I350" s="179">
        <v>1732219</v>
      </c>
      <c r="J350" s="179">
        <v>0</v>
      </c>
      <c r="K350" s="179">
        <v>78882</v>
      </c>
      <c r="L350" s="179">
        <v>0</v>
      </c>
      <c r="M350" s="179">
        <v>9315053</v>
      </c>
      <c r="N350" s="179">
        <v>970437.5</v>
      </c>
    </row>
    <row r="351" spans="1:14" s="156" customFormat="1" x14ac:dyDescent="0.25">
      <c r="A351" s="156" t="s">
        <v>546</v>
      </c>
      <c r="B351" s="156" t="s">
        <v>194</v>
      </c>
      <c r="C351" s="156" t="s">
        <v>195</v>
      </c>
      <c r="D351" s="156" t="s">
        <v>541</v>
      </c>
      <c r="E351" s="179">
        <v>11126154</v>
      </c>
      <c r="F351" s="179">
        <v>11126154</v>
      </c>
      <c r="G351" s="179">
        <v>2781538.5</v>
      </c>
      <c r="H351" s="179">
        <v>0</v>
      </c>
      <c r="I351" s="179">
        <v>1732219</v>
      </c>
      <c r="J351" s="179">
        <v>0</v>
      </c>
      <c r="K351" s="179">
        <v>78882</v>
      </c>
      <c r="L351" s="179">
        <v>0</v>
      </c>
      <c r="M351" s="179">
        <v>9315053</v>
      </c>
      <c r="N351" s="179">
        <v>970437.5</v>
      </c>
    </row>
    <row r="352" spans="1:14" s="156" customFormat="1" x14ac:dyDescent="0.25">
      <c r="A352" s="156" t="s">
        <v>546</v>
      </c>
      <c r="B352" s="156" t="s">
        <v>196</v>
      </c>
      <c r="C352" s="156" t="s">
        <v>197</v>
      </c>
      <c r="D352" s="156" t="s">
        <v>541</v>
      </c>
      <c r="E352" s="179">
        <v>18666301</v>
      </c>
      <c r="F352" s="179">
        <v>18666301</v>
      </c>
      <c r="G352" s="179">
        <v>6916575.25</v>
      </c>
      <c r="H352" s="179">
        <v>0</v>
      </c>
      <c r="I352" s="179">
        <v>63192743.159999996</v>
      </c>
      <c r="J352" s="179">
        <v>0</v>
      </c>
      <c r="K352" s="179">
        <v>73861.25</v>
      </c>
      <c r="L352" s="179">
        <v>0</v>
      </c>
      <c r="M352" s="179">
        <v>-44600303.409999996</v>
      </c>
      <c r="N352" s="179">
        <v>-56350029.159999996</v>
      </c>
    </row>
    <row r="353" spans="1:14" s="156" customFormat="1" x14ac:dyDescent="0.25">
      <c r="A353" s="156" t="s">
        <v>546</v>
      </c>
      <c r="B353" s="156" t="s">
        <v>360</v>
      </c>
      <c r="C353" s="156" t="s">
        <v>361</v>
      </c>
      <c r="D353" s="156" t="s">
        <v>541</v>
      </c>
      <c r="E353" s="179">
        <v>3000000</v>
      </c>
      <c r="F353" s="179">
        <v>3000000</v>
      </c>
      <c r="G353" s="179">
        <v>3000000</v>
      </c>
      <c r="H353" s="179">
        <v>0</v>
      </c>
      <c r="I353" s="179">
        <v>988552.45</v>
      </c>
      <c r="J353" s="179">
        <v>0</v>
      </c>
      <c r="K353" s="179">
        <v>73861.25</v>
      </c>
      <c r="L353" s="179">
        <v>0</v>
      </c>
      <c r="M353" s="179">
        <v>1937586.3</v>
      </c>
      <c r="N353" s="179">
        <v>1937586.3</v>
      </c>
    </row>
    <row r="354" spans="1:14" s="156" customFormat="1" x14ac:dyDescent="0.25">
      <c r="A354" s="156" t="s">
        <v>546</v>
      </c>
      <c r="B354" s="156" t="s">
        <v>334</v>
      </c>
      <c r="C354" s="156" t="s">
        <v>335</v>
      </c>
      <c r="D354" s="156" t="s">
        <v>541</v>
      </c>
      <c r="E354" s="179">
        <v>1275676</v>
      </c>
      <c r="F354" s="179">
        <v>1275676</v>
      </c>
      <c r="G354" s="179">
        <v>318919</v>
      </c>
      <c r="H354" s="179">
        <v>0</v>
      </c>
      <c r="I354" s="179">
        <v>47166460.710000001</v>
      </c>
      <c r="J354" s="179">
        <v>0</v>
      </c>
      <c r="K354" s="179">
        <v>0</v>
      </c>
      <c r="L354" s="179">
        <v>0</v>
      </c>
      <c r="M354" s="179">
        <v>-45890784.710000001</v>
      </c>
      <c r="N354" s="179">
        <v>-46847541.710000001</v>
      </c>
    </row>
    <row r="355" spans="1:14" s="156" customFormat="1" x14ac:dyDescent="0.25">
      <c r="A355" s="156" t="s">
        <v>546</v>
      </c>
      <c r="B355" s="156" t="s">
        <v>198</v>
      </c>
      <c r="C355" s="156" t="s">
        <v>199</v>
      </c>
      <c r="D355" s="156" t="s">
        <v>541</v>
      </c>
      <c r="E355" s="179">
        <v>14390625</v>
      </c>
      <c r="F355" s="179">
        <v>14390625</v>
      </c>
      <c r="G355" s="179">
        <v>3597656.25</v>
      </c>
      <c r="H355" s="179">
        <v>0</v>
      </c>
      <c r="I355" s="179">
        <v>15037730</v>
      </c>
      <c r="J355" s="179">
        <v>0</v>
      </c>
      <c r="K355" s="179">
        <v>0</v>
      </c>
      <c r="L355" s="179">
        <v>0</v>
      </c>
      <c r="M355" s="183">
        <v>-647105</v>
      </c>
      <c r="N355" s="179">
        <v>-11440073.75</v>
      </c>
    </row>
    <row r="356" spans="1:14" s="156" customFormat="1" x14ac:dyDescent="0.25">
      <c r="A356" s="156" t="s">
        <v>546</v>
      </c>
      <c r="B356" s="156" t="s">
        <v>200</v>
      </c>
      <c r="C356" s="156" t="s">
        <v>201</v>
      </c>
      <c r="D356" s="156" t="s">
        <v>541</v>
      </c>
      <c r="E356" s="179">
        <v>14015826994</v>
      </c>
      <c r="F356" s="179">
        <v>14015826994</v>
      </c>
      <c r="G356" s="179">
        <v>3448088258.5</v>
      </c>
      <c r="H356" s="179">
        <v>776986328.79999995</v>
      </c>
      <c r="I356" s="179">
        <v>865013800.10000002</v>
      </c>
      <c r="J356" s="179">
        <v>161911600.21000001</v>
      </c>
      <c r="K356" s="179">
        <v>930709907.05999994</v>
      </c>
      <c r="L356" s="179">
        <v>601121143.70000005</v>
      </c>
      <c r="M356" s="179">
        <v>11281205357.83</v>
      </c>
      <c r="N356" s="179">
        <v>713466622.33000004</v>
      </c>
    </row>
    <row r="357" spans="1:14" s="156" customFormat="1" x14ac:dyDescent="0.25">
      <c r="A357" s="156" t="s">
        <v>546</v>
      </c>
      <c r="B357" s="156" t="s">
        <v>202</v>
      </c>
      <c r="C357" s="156" t="s">
        <v>203</v>
      </c>
      <c r="D357" s="156" t="s">
        <v>541</v>
      </c>
      <c r="E357" s="179">
        <v>777682724</v>
      </c>
      <c r="F357" s="179">
        <v>777682724</v>
      </c>
      <c r="G357" s="179">
        <v>194420681</v>
      </c>
      <c r="H357" s="179">
        <v>0</v>
      </c>
      <c r="I357" s="179">
        <v>40197875.130000003</v>
      </c>
      <c r="J357" s="179">
        <v>0</v>
      </c>
      <c r="K357" s="179">
        <v>73071805.159999996</v>
      </c>
      <c r="L357" s="179">
        <v>55488030.630000003</v>
      </c>
      <c r="M357" s="179">
        <v>664413043.71000004</v>
      </c>
      <c r="N357" s="179">
        <v>81151000.709999993</v>
      </c>
    </row>
    <row r="358" spans="1:14" s="156" customFormat="1" x14ac:dyDescent="0.25">
      <c r="A358" s="156" t="s">
        <v>546</v>
      </c>
      <c r="B358" s="156" t="s">
        <v>204</v>
      </c>
      <c r="C358" s="156" t="s">
        <v>205</v>
      </c>
      <c r="D358" s="156" t="s">
        <v>541</v>
      </c>
      <c r="E358" s="179">
        <v>543016724</v>
      </c>
      <c r="F358" s="179">
        <v>543016724</v>
      </c>
      <c r="G358" s="179">
        <v>135754181</v>
      </c>
      <c r="H358" s="179">
        <v>0</v>
      </c>
      <c r="I358" s="179">
        <v>40009139.130000003</v>
      </c>
      <c r="J358" s="179">
        <v>0</v>
      </c>
      <c r="K358" s="179">
        <v>72993880.159999996</v>
      </c>
      <c r="L358" s="179">
        <v>55464530.630000003</v>
      </c>
      <c r="M358" s="179">
        <v>430013704.70999998</v>
      </c>
      <c r="N358" s="179">
        <v>22751161.710000001</v>
      </c>
    </row>
    <row r="359" spans="1:14" s="156" customFormat="1" x14ac:dyDescent="0.25">
      <c r="A359" s="156" t="s">
        <v>546</v>
      </c>
      <c r="B359" s="156" t="s">
        <v>206</v>
      </c>
      <c r="C359" s="156" t="s">
        <v>207</v>
      </c>
      <c r="D359" s="156" t="s">
        <v>541</v>
      </c>
      <c r="E359" s="179">
        <v>195656000</v>
      </c>
      <c r="F359" s="179">
        <v>195656000</v>
      </c>
      <c r="G359" s="179">
        <v>48914000</v>
      </c>
      <c r="H359" s="179">
        <v>0</v>
      </c>
      <c r="I359" s="179">
        <v>0</v>
      </c>
      <c r="J359" s="179">
        <v>0</v>
      </c>
      <c r="K359" s="179">
        <v>0</v>
      </c>
      <c r="L359" s="179">
        <v>0</v>
      </c>
      <c r="M359" s="179">
        <v>195656000</v>
      </c>
      <c r="N359" s="179">
        <v>48914000</v>
      </c>
    </row>
    <row r="360" spans="1:14" s="156" customFormat="1" x14ac:dyDescent="0.25">
      <c r="A360" s="156" t="s">
        <v>546</v>
      </c>
      <c r="B360" s="156" t="s">
        <v>362</v>
      </c>
      <c r="C360" s="156" t="s">
        <v>363</v>
      </c>
      <c r="D360" s="156" t="s">
        <v>541</v>
      </c>
      <c r="E360" s="179">
        <v>2674000</v>
      </c>
      <c r="F360" s="179">
        <v>2674000</v>
      </c>
      <c r="G360" s="179">
        <v>668500</v>
      </c>
      <c r="H360" s="179">
        <v>0</v>
      </c>
      <c r="I360" s="179">
        <v>42846</v>
      </c>
      <c r="J360" s="179">
        <v>0</v>
      </c>
      <c r="K360" s="179">
        <v>77925</v>
      </c>
      <c r="L360" s="179">
        <v>23500</v>
      </c>
      <c r="M360" s="179">
        <v>2553229</v>
      </c>
      <c r="N360" s="179">
        <v>547729</v>
      </c>
    </row>
    <row r="361" spans="1:14" s="156" customFormat="1" x14ac:dyDescent="0.25">
      <c r="A361" s="156" t="s">
        <v>546</v>
      </c>
      <c r="B361" s="156" t="s">
        <v>208</v>
      </c>
      <c r="C361" s="156" t="s">
        <v>209</v>
      </c>
      <c r="D361" s="156" t="s">
        <v>541</v>
      </c>
      <c r="E361" s="179">
        <v>30373000</v>
      </c>
      <c r="F361" s="179">
        <v>30373000</v>
      </c>
      <c r="G361" s="179">
        <v>7593250</v>
      </c>
      <c r="H361" s="179">
        <v>0</v>
      </c>
      <c r="I361" s="179">
        <v>145890</v>
      </c>
      <c r="J361" s="179">
        <v>0</v>
      </c>
      <c r="K361" s="179">
        <v>0</v>
      </c>
      <c r="L361" s="179">
        <v>0</v>
      </c>
      <c r="M361" s="179">
        <v>30227110</v>
      </c>
      <c r="N361" s="179">
        <v>7447360</v>
      </c>
    </row>
    <row r="362" spans="1:14" s="156" customFormat="1" x14ac:dyDescent="0.25">
      <c r="A362" s="156" t="s">
        <v>546</v>
      </c>
      <c r="B362" s="156" t="s">
        <v>210</v>
      </c>
      <c r="C362" s="156" t="s">
        <v>211</v>
      </c>
      <c r="D362" s="156" t="s">
        <v>541</v>
      </c>
      <c r="E362" s="179">
        <v>5963000</v>
      </c>
      <c r="F362" s="179">
        <v>5963000</v>
      </c>
      <c r="G362" s="179">
        <v>1490750</v>
      </c>
      <c r="H362" s="179">
        <v>0</v>
      </c>
      <c r="I362" s="179">
        <v>0</v>
      </c>
      <c r="J362" s="179">
        <v>0</v>
      </c>
      <c r="K362" s="179">
        <v>0</v>
      </c>
      <c r="L362" s="179">
        <v>0</v>
      </c>
      <c r="M362" s="179">
        <v>5963000</v>
      </c>
      <c r="N362" s="179">
        <v>1490750</v>
      </c>
    </row>
    <row r="363" spans="1:14" s="156" customFormat="1" x14ac:dyDescent="0.25">
      <c r="A363" s="156" t="s">
        <v>546</v>
      </c>
      <c r="B363" s="156" t="s">
        <v>212</v>
      </c>
      <c r="C363" s="156" t="s">
        <v>213</v>
      </c>
      <c r="D363" s="156" t="s">
        <v>541</v>
      </c>
      <c r="E363" s="179">
        <v>10984366500</v>
      </c>
      <c r="F363" s="179">
        <v>10984366500</v>
      </c>
      <c r="G363" s="179">
        <v>2532474150</v>
      </c>
      <c r="H363" s="179">
        <v>776986328.79999995</v>
      </c>
      <c r="I363" s="179">
        <v>709396720.99000001</v>
      </c>
      <c r="J363" s="179">
        <v>116450666.66</v>
      </c>
      <c r="K363" s="179">
        <v>778381962.25</v>
      </c>
      <c r="L363" s="179">
        <v>489728331.39999998</v>
      </c>
      <c r="M363" s="179">
        <v>8603150821.2999992</v>
      </c>
      <c r="N363" s="179">
        <v>151258471.30000001</v>
      </c>
    </row>
    <row r="364" spans="1:14" s="156" customFormat="1" x14ac:dyDescent="0.25">
      <c r="A364" s="156" t="s">
        <v>546</v>
      </c>
      <c r="B364" s="156" t="s">
        <v>214</v>
      </c>
      <c r="C364" s="156" t="s">
        <v>215</v>
      </c>
      <c r="D364" s="156" t="s">
        <v>541</v>
      </c>
      <c r="E364" s="179">
        <v>10972726000</v>
      </c>
      <c r="F364" s="179">
        <v>10972726000</v>
      </c>
      <c r="G364" s="179">
        <v>2529564025</v>
      </c>
      <c r="H364" s="179">
        <v>776986328.79999995</v>
      </c>
      <c r="I364" s="179">
        <v>709396720.99000001</v>
      </c>
      <c r="J364" s="179">
        <v>116450666.66</v>
      </c>
      <c r="K364" s="179">
        <v>778381962.25</v>
      </c>
      <c r="L364" s="179">
        <v>489728331.39999998</v>
      </c>
      <c r="M364" s="179">
        <v>8591510321.2999992</v>
      </c>
      <c r="N364" s="179">
        <v>148348346.30000001</v>
      </c>
    </row>
    <row r="365" spans="1:14" s="156" customFormat="1" x14ac:dyDescent="0.25">
      <c r="A365" s="156" t="s">
        <v>546</v>
      </c>
      <c r="B365" s="156" t="s">
        <v>364</v>
      </c>
      <c r="C365" s="156" t="s">
        <v>365</v>
      </c>
      <c r="D365" s="156" t="s">
        <v>541</v>
      </c>
      <c r="E365" s="179">
        <v>11640500</v>
      </c>
      <c r="F365" s="179">
        <v>11640500</v>
      </c>
      <c r="G365" s="179">
        <v>2910125</v>
      </c>
      <c r="H365" s="179">
        <v>0</v>
      </c>
      <c r="I365" s="179">
        <v>0</v>
      </c>
      <c r="J365" s="179">
        <v>0</v>
      </c>
      <c r="K365" s="179">
        <v>0</v>
      </c>
      <c r="L365" s="179">
        <v>0</v>
      </c>
      <c r="M365" s="179">
        <v>11640500</v>
      </c>
      <c r="N365" s="179">
        <v>2910125</v>
      </c>
    </row>
    <row r="366" spans="1:14" s="156" customFormat="1" x14ac:dyDescent="0.25">
      <c r="A366" s="156" t="s">
        <v>546</v>
      </c>
      <c r="B366" s="156" t="s">
        <v>216</v>
      </c>
      <c r="C366" s="156" t="s">
        <v>217</v>
      </c>
      <c r="D366" s="156" t="s">
        <v>541</v>
      </c>
      <c r="E366" s="179">
        <v>446867786</v>
      </c>
      <c r="F366" s="179">
        <v>446867786</v>
      </c>
      <c r="G366" s="179">
        <v>100824215.5</v>
      </c>
      <c r="H366" s="179">
        <v>0</v>
      </c>
      <c r="I366" s="179">
        <v>12968098.18</v>
      </c>
      <c r="J366" s="179">
        <v>10515530</v>
      </c>
      <c r="K366" s="179">
        <v>26335949</v>
      </c>
      <c r="L366" s="179">
        <v>15571828</v>
      </c>
      <c r="M366" s="179">
        <v>397048208.81999999</v>
      </c>
      <c r="N366" s="179">
        <v>51004638.32</v>
      </c>
    </row>
    <row r="367" spans="1:14" s="156" customFormat="1" x14ac:dyDescent="0.25">
      <c r="A367" s="156" t="s">
        <v>546</v>
      </c>
      <c r="B367" s="156" t="s">
        <v>218</v>
      </c>
      <c r="C367" s="156" t="s">
        <v>219</v>
      </c>
      <c r="D367" s="156" t="s">
        <v>541</v>
      </c>
      <c r="E367" s="179">
        <v>122902000</v>
      </c>
      <c r="F367" s="179">
        <v>122902000</v>
      </c>
      <c r="G367" s="179">
        <v>28643820</v>
      </c>
      <c r="H367" s="179">
        <v>0</v>
      </c>
      <c r="I367" s="179">
        <v>3009224</v>
      </c>
      <c r="J367" s="179">
        <v>0</v>
      </c>
      <c r="K367" s="179">
        <v>3306875</v>
      </c>
      <c r="L367" s="179">
        <v>0</v>
      </c>
      <c r="M367" s="179">
        <v>116585901</v>
      </c>
      <c r="N367" s="179">
        <v>22327721</v>
      </c>
    </row>
    <row r="368" spans="1:14" s="156" customFormat="1" x14ac:dyDescent="0.25">
      <c r="A368" s="156" t="s">
        <v>546</v>
      </c>
      <c r="B368" s="156" t="s">
        <v>336</v>
      </c>
      <c r="C368" s="156" t="s">
        <v>337</v>
      </c>
      <c r="D368" s="156" t="s">
        <v>541</v>
      </c>
      <c r="E368" s="179">
        <v>50168000</v>
      </c>
      <c r="F368" s="179">
        <v>50168000</v>
      </c>
      <c r="G368" s="179">
        <v>12542000</v>
      </c>
      <c r="H368" s="179">
        <v>0</v>
      </c>
      <c r="I368" s="179">
        <v>2687883</v>
      </c>
      <c r="J368" s="179">
        <v>1247760</v>
      </c>
      <c r="K368" s="179">
        <v>0</v>
      </c>
      <c r="L368" s="179">
        <v>0</v>
      </c>
      <c r="M368" s="179">
        <v>46232357</v>
      </c>
      <c r="N368" s="179">
        <v>8606357</v>
      </c>
    </row>
    <row r="369" spans="1:14" s="156" customFormat="1" x14ac:dyDescent="0.25">
      <c r="A369" s="156" t="s">
        <v>546</v>
      </c>
      <c r="B369" s="156" t="s">
        <v>338</v>
      </c>
      <c r="C369" s="156" t="s">
        <v>339</v>
      </c>
      <c r="D369" s="156" t="s">
        <v>541</v>
      </c>
      <c r="E369" s="179">
        <v>89195672</v>
      </c>
      <c r="F369" s="179">
        <v>89195672</v>
      </c>
      <c r="G369" s="179">
        <v>39170598</v>
      </c>
      <c r="H369" s="179">
        <v>0</v>
      </c>
      <c r="I369" s="179">
        <v>6955000</v>
      </c>
      <c r="J369" s="179">
        <v>9267770</v>
      </c>
      <c r="K369" s="179">
        <v>22947828</v>
      </c>
      <c r="L369" s="179">
        <v>15571828</v>
      </c>
      <c r="M369" s="179">
        <v>50025074</v>
      </c>
      <c r="N369" s="179">
        <v>0</v>
      </c>
    </row>
    <row r="370" spans="1:14" s="156" customFormat="1" x14ac:dyDescent="0.25">
      <c r="A370" s="156" t="s">
        <v>546</v>
      </c>
      <c r="B370" s="156" t="s">
        <v>220</v>
      </c>
      <c r="C370" s="156" t="s">
        <v>221</v>
      </c>
      <c r="D370" s="156" t="s">
        <v>541</v>
      </c>
      <c r="E370" s="179">
        <v>90316000</v>
      </c>
      <c r="F370" s="179">
        <v>90316000</v>
      </c>
      <c r="G370" s="179">
        <v>7789000</v>
      </c>
      <c r="H370" s="179">
        <v>0</v>
      </c>
      <c r="I370" s="179">
        <v>292627</v>
      </c>
      <c r="J370" s="179">
        <v>0</v>
      </c>
      <c r="K370" s="179">
        <v>81246</v>
      </c>
      <c r="L370" s="179">
        <v>0</v>
      </c>
      <c r="M370" s="179">
        <v>89942127</v>
      </c>
      <c r="N370" s="179">
        <v>7415127</v>
      </c>
    </row>
    <row r="371" spans="1:14" s="156" customFormat="1" x14ac:dyDescent="0.25">
      <c r="A371" s="156" t="s">
        <v>546</v>
      </c>
      <c r="B371" s="156" t="s">
        <v>222</v>
      </c>
      <c r="C371" s="156" t="s">
        <v>223</v>
      </c>
      <c r="D371" s="156" t="s">
        <v>541</v>
      </c>
      <c r="E371" s="179">
        <v>7059000</v>
      </c>
      <c r="F371" s="179">
        <v>7059000</v>
      </c>
      <c r="G371" s="179">
        <v>2481183</v>
      </c>
      <c r="H371" s="179">
        <v>0</v>
      </c>
      <c r="I371" s="179">
        <v>0</v>
      </c>
      <c r="J371" s="179">
        <v>0</v>
      </c>
      <c r="K371" s="179">
        <v>0</v>
      </c>
      <c r="L371" s="179">
        <v>0</v>
      </c>
      <c r="M371" s="179">
        <v>7059000</v>
      </c>
      <c r="N371" s="179">
        <v>2481183</v>
      </c>
    </row>
    <row r="372" spans="1:14" s="156" customFormat="1" x14ac:dyDescent="0.25">
      <c r="A372" s="156" t="s">
        <v>546</v>
      </c>
      <c r="B372" s="156" t="s">
        <v>224</v>
      </c>
      <c r="C372" s="156" t="s">
        <v>225</v>
      </c>
      <c r="D372" s="156" t="s">
        <v>541</v>
      </c>
      <c r="E372" s="179">
        <v>61279000</v>
      </c>
      <c r="F372" s="179">
        <v>61279000</v>
      </c>
      <c r="G372" s="179">
        <v>3710586</v>
      </c>
      <c r="H372" s="179">
        <v>0</v>
      </c>
      <c r="I372" s="179">
        <v>23364.18</v>
      </c>
      <c r="J372" s="179">
        <v>0</v>
      </c>
      <c r="K372" s="179">
        <v>0</v>
      </c>
      <c r="L372" s="179">
        <v>0</v>
      </c>
      <c r="M372" s="179">
        <v>61255635.82</v>
      </c>
      <c r="N372" s="179">
        <v>3687221.82</v>
      </c>
    </row>
    <row r="373" spans="1:14" s="156" customFormat="1" x14ac:dyDescent="0.25">
      <c r="A373" s="156" t="s">
        <v>546</v>
      </c>
      <c r="B373" s="156" t="s">
        <v>226</v>
      </c>
      <c r="C373" s="156" t="s">
        <v>227</v>
      </c>
      <c r="D373" s="156" t="s">
        <v>541</v>
      </c>
      <c r="E373" s="179">
        <v>25948114</v>
      </c>
      <c r="F373" s="179">
        <v>25948114</v>
      </c>
      <c r="G373" s="179">
        <v>6487028.5</v>
      </c>
      <c r="H373" s="179">
        <v>0</v>
      </c>
      <c r="I373" s="179">
        <v>0</v>
      </c>
      <c r="J373" s="179">
        <v>0</v>
      </c>
      <c r="K373" s="179">
        <v>0</v>
      </c>
      <c r="L373" s="179">
        <v>0</v>
      </c>
      <c r="M373" s="179">
        <v>25948114</v>
      </c>
      <c r="N373" s="179">
        <v>6487028.5</v>
      </c>
    </row>
    <row r="374" spans="1:14" s="156" customFormat="1" x14ac:dyDescent="0.25">
      <c r="A374" s="156" t="s">
        <v>546</v>
      </c>
      <c r="B374" s="156" t="s">
        <v>228</v>
      </c>
      <c r="C374" s="156" t="s">
        <v>229</v>
      </c>
      <c r="D374" s="156" t="s">
        <v>541</v>
      </c>
      <c r="E374" s="179">
        <v>150560000</v>
      </c>
      <c r="F374" s="179">
        <v>150560000</v>
      </c>
      <c r="G374" s="179">
        <v>65328080</v>
      </c>
      <c r="H374" s="179">
        <v>0</v>
      </c>
      <c r="I374" s="179">
        <v>24168517.219999999</v>
      </c>
      <c r="J374" s="179">
        <v>5568500</v>
      </c>
      <c r="K374" s="179">
        <v>12005143.449999999</v>
      </c>
      <c r="L374" s="179">
        <v>832538.47</v>
      </c>
      <c r="M374" s="179">
        <v>108817839.33</v>
      </c>
      <c r="N374" s="179">
        <v>23585919.329999998</v>
      </c>
    </row>
    <row r="375" spans="1:14" s="156" customFormat="1" x14ac:dyDescent="0.25">
      <c r="A375" s="156" t="s">
        <v>546</v>
      </c>
      <c r="B375" s="156" t="s">
        <v>230</v>
      </c>
      <c r="C375" s="156" t="s">
        <v>231</v>
      </c>
      <c r="D375" s="156" t="s">
        <v>541</v>
      </c>
      <c r="E375" s="179">
        <v>53615000</v>
      </c>
      <c r="F375" s="179">
        <v>53615000</v>
      </c>
      <c r="G375" s="179">
        <v>16855580</v>
      </c>
      <c r="H375" s="179">
        <v>0</v>
      </c>
      <c r="I375" s="179">
        <v>7540000</v>
      </c>
      <c r="J375" s="179">
        <v>5568500</v>
      </c>
      <c r="K375" s="179">
        <v>3747080</v>
      </c>
      <c r="L375" s="179">
        <v>0</v>
      </c>
      <c r="M375" s="179">
        <v>36759420</v>
      </c>
      <c r="N375" s="179">
        <v>0</v>
      </c>
    </row>
    <row r="376" spans="1:14" s="156" customFormat="1" x14ac:dyDescent="0.25">
      <c r="A376" s="156" t="s">
        <v>546</v>
      </c>
      <c r="B376" s="156" t="s">
        <v>232</v>
      </c>
      <c r="C376" s="156" t="s">
        <v>233</v>
      </c>
      <c r="D376" s="156" t="s">
        <v>541</v>
      </c>
      <c r="E376" s="179">
        <v>96945000</v>
      </c>
      <c r="F376" s="179">
        <v>96945000</v>
      </c>
      <c r="G376" s="179">
        <v>48472500</v>
      </c>
      <c r="H376" s="179">
        <v>0</v>
      </c>
      <c r="I376" s="179">
        <v>16628517.220000001</v>
      </c>
      <c r="J376" s="179">
        <v>0</v>
      </c>
      <c r="K376" s="179">
        <v>8258063.4500000002</v>
      </c>
      <c r="L376" s="179">
        <v>832538.47</v>
      </c>
      <c r="M376" s="179">
        <v>72058419.329999998</v>
      </c>
      <c r="N376" s="179">
        <v>23585919.329999998</v>
      </c>
    </row>
    <row r="377" spans="1:14" s="156" customFormat="1" x14ac:dyDescent="0.25">
      <c r="A377" s="156" t="s">
        <v>546</v>
      </c>
      <c r="B377" s="156" t="s">
        <v>234</v>
      </c>
      <c r="C377" s="156" t="s">
        <v>601</v>
      </c>
      <c r="D377" s="156" t="s">
        <v>541</v>
      </c>
      <c r="E377" s="179">
        <v>1656349984</v>
      </c>
      <c r="F377" s="179">
        <v>1656349984</v>
      </c>
      <c r="G377" s="179">
        <v>555041132</v>
      </c>
      <c r="H377" s="179">
        <v>0</v>
      </c>
      <c r="I377" s="179">
        <v>78282588.579999998</v>
      </c>
      <c r="J377" s="179">
        <v>29376903.550000001</v>
      </c>
      <c r="K377" s="179">
        <v>40915047.200000003</v>
      </c>
      <c r="L377" s="179">
        <v>39500415.200000003</v>
      </c>
      <c r="M377" s="179">
        <v>1507775444.6700001</v>
      </c>
      <c r="N377" s="179">
        <v>406466592.67000002</v>
      </c>
    </row>
    <row r="378" spans="1:14" s="156" customFormat="1" x14ac:dyDescent="0.25">
      <c r="A378" s="156" t="s">
        <v>546</v>
      </c>
      <c r="B378" s="156" t="s">
        <v>235</v>
      </c>
      <c r="C378" s="156" t="s">
        <v>236</v>
      </c>
      <c r="D378" s="156" t="s">
        <v>541</v>
      </c>
      <c r="E378" s="179">
        <v>34070136</v>
      </c>
      <c r="F378" s="179">
        <v>34070136</v>
      </c>
      <c r="G378" s="179">
        <v>8517534</v>
      </c>
      <c r="H378" s="179">
        <v>0</v>
      </c>
      <c r="I378" s="179">
        <v>0</v>
      </c>
      <c r="J378" s="179">
        <v>0</v>
      </c>
      <c r="K378" s="179">
        <v>0</v>
      </c>
      <c r="L378" s="179">
        <v>0</v>
      </c>
      <c r="M378" s="179">
        <v>34070136</v>
      </c>
      <c r="N378" s="179">
        <v>8517534</v>
      </c>
    </row>
    <row r="379" spans="1:14" s="156" customFormat="1" x14ac:dyDescent="0.25">
      <c r="A379" s="156" t="s">
        <v>546</v>
      </c>
      <c r="B379" s="156" t="s">
        <v>237</v>
      </c>
      <c r="C379" s="156" t="s">
        <v>238</v>
      </c>
      <c r="D379" s="156" t="s">
        <v>541</v>
      </c>
      <c r="E379" s="179">
        <v>65363019</v>
      </c>
      <c r="F379" s="179">
        <v>65363019</v>
      </c>
      <c r="G379" s="179">
        <v>16340754.75</v>
      </c>
      <c r="H379" s="179">
        <v>0</v>
      </c>
      <c r="I379" s="179">
        <v>1059074.54</v>
      </c>
      <c r="J379" s="179">
        <v>0</v>
      </c>
      <c r="K379" s="179">
        <v>4345797.17</v>
      </c>
      <c r="L379" s="179">
        <v>3607165.17</v>
      </c>
      <c r="M379" s="179">
        <v>59958147.289999999</v>
      </c>
      <c r="N379" s="179">
        <v>10935883.039999999</v>
      </c>
    </row>
    <row r="380" spans="1:14" s="156" customFormat="1" x14ac:dyDescent="0.25">
      <c r="A380" s="156" t="s">
        <v>546</v>
      </c>
      <c r="B380" s="156" t="s">
        <v>239</v>
      </c>
      <c r="C380" s="156" t="s">
        <v>240</v>
      </c>
      <c r="D380" s="156" t="s">
        <v>541</v>
      </c>
      <c r="E380" s="179">
        <v>146259000</v>
      </c>
      <c r="F380" s="179">
        <v>146259000</v>
      </c>
      <c r="G380" s="179">
        <v>36564750</v>
      </c>
      <c r="H380" s="179">
        <v>0</v>
      </c>
      <c r="I380" s="179">
        <v>20520814.640000001</v>
      </c>
      <c r="J380" s="179">
        <v>0</v>
      </c>
      <c r="K380" s="179">
        <v>0</v>
      </c>
      <c r="L380" s="179">
        <v>0</v>
      </c>
      <c r="M380" s="179">
        <v>125738185.36</v>
      </c>
      <c r="N380" s="179">
        <v>16043935.359999999</v>
      </c>
    </row>
    <row r="381" spans="1:14" s="156" customFormat="1" x14ac:dyDescent="0.25">
      <c r="A381" s="156" t="s">
        <v>546</v>
      </c>
      <c r="B381" s="156" t="s">
        <v>241</v>
      </c>
      <c r="C381" s="156" t="s">
        <v>242</v>
      </c>
      <c r="D381" s="156" t="s">
        <v>541</v>
      </c>
      <c r="E381" s="179">
        <v>643150000</v>
      </c>
      <c r="F381" s="179">
        <v>643150000</v>
      </c>
      <c r="G381" s="179">
        <v>293912817</v>
      </c>
      <c r="H381" s="179">
        <v>0</v>
      </c>
      <c r="I381" s="179">
        <v>4880482</v>
      </c>
      <c r="J381" s="179">
        <v>0</v>
      </c>
      <c r="K381" s="179">
        <v>676000</v>
      </c>
      <c r="L381" s="179">
        <v>0</v>
      </c>
      <c r="M381" s="179">
        <v>637593518</v>
      </c>
      <c r="N381" s="179">
        <v>288356335</v>
      </c>
    </row>
    <row r="382" spans="1:14" s="156" customFormat="1" x14ac:dyDescent="0.25">
      <c r="A382" s="156" t="s">
        <v>546</v>
      </c>
      <c r="B382" s="156" t="s">
        <v>243</v>
      </c>
      <c r="C382" s="156" t="s">
        <v>244</v>
      </c>
      <c r="D382" s="156" t="s">
        <v>541</v>
      </c>
      <c r="E382" s="179">
        <v>302355000</v>
      </c>
      <c r="F382" s="179">
        <v>302355000</v>
      </c>
      <c r="G382" s="179">
        <v>75588750</v>
      </c>
      <c r="H382" s="179">
        <v>0</v>
      </c>
      <c r="I382" s="179">
        <v>6526957.5</v>
      </c>
      <c r="J382" s="179">
        <v>0</v>
      </c>
      <c r="K382" s="179">
        <v>27766714.699999999</v>
      </c>
      <c r="L382" s="179">
        <v>27766714.699999999</v>
      </c>
      <c r="M382" s="179">
        <v>268061327.80000001</v>
      </c>
      <c r="N382" s="179">
        <v>41295077.799999997</v>
      </c>
    </row>
    <row r="383" spans="1:14" s="156" customFormat="1" x14ac:dyDescent="0.25">
      <c r="A383" s="156" t="s">
        <v>546</v>
      </c>
      <c r="B383" s="156" t="s">
        <v>245</v>
      </c>
      <c r="C383" s="156" t="s">
        <v>246</v>
      </c>
      <c r="D383" s="156" t="s">
        <v>541</v>
      </c>
      <c r="E383" s="179">
        <v>182921000</v>
      </c>
      <c r="F383" s="179">
        <v>182921000</v>
      </c>
      <c r="G383" s="179">
        <v>45730250</v>
      </c>
      <c r="H383" s="179">
        <v>0</v>
      </c>
      <c r="I383" s="179">
        <v>123476</v>
      </c>
      <c r="J383" s="179">
        <v>0</v>
      </c>
      <c r="K383" s="179">
        <v>297017.25</v>
      </c>
      <c r="L383" s="179">
        <v>297017.25</v>
      </c>
      <c r="M383" s="179">
        <v>182500506.75</v>
      </c>
      <c r="N383" s="179">
        <v>45309756.75</v>
      </c>
    </row>
    <row r="384" spans="1:14" s="156" customFormat="1" x14ac:dyDescent="0.25">
      <c r="A384" s="156" t="s">
        <v>546</v>
      </c>
      <c r="B384" s="156" t="s">
        <v>247</v>
      </c>
      <c r="C384" s="156" t="s">
        <v>248</v>
      </c>
      <c r="D384" s="156" t="s">
        <v>541</v>
      </c>
      <c r="E384" s="179">
        <v>92727347</v>
      </c>
      <c r="F384" s="179">
        <v>92727347</v>
      </c>
      <c r="G384" s="179">
        <v>23181836.75</v>
      </c>
      <c r="H384" s="179">
        <v>0</v>
      </c>
      <c r="I384" s="179">
        <v>19174617.219999999</v>
      </c>
      <c r="J384" s="179">
        <v>14830959.550000001</v>
      </c>
      <c r="K384" s="179">
        <v>0</v>
      </c>
      <c r="L384" s="179">
        <v>0</v>
      </c>
      <c r="M384" s="179">
        <v>58721770.229999997</v>
      </c>
      <c r="N384" s="179">
        <v>-10823740.02</v>
      </c>
    </row>
    <row r="385" spans="1:14" s="156" customFormat="1" x14ac:dyDescent="0.25">
      <c r="A385" s="156" t="s">
        <v>546</v>
      </c>
      <c r="B385" s="156" t="s">
        <v>249</v>
      </c>
      <c r="C385" s="156" t="s">
        <v>250</v>
      </c>
      <c r="D385" s="156" t="s">
        <v>541</v>
      </c>
      <c r="E385" s="179">
        <v>189504482</v>
      </c>
      <c r="F385" s="179">
        <v>189504482</v>
      </c>
      <c r="G385" s="179">
        <v>55204439.5</v>
      </c>
      <c r="H385" s="179">
        <v>0</v>
      </c>
      <c r="I385" s="179">
        <v>25997166.68</v>
      </c>
      <c r="J385" s="179">
        <v>14545944</v>
      </c>
      <c r="K385" s="179">
        <v>7829518.0800000001</v>
      </c>
      <c r="L385" s="179">
        <v>7829518.0800000001</v>
      </c>
      <c r="M385" s="179">
        <v>141131853.24000001</v>
      </c>
      <c r="N385" s="179">
        <v>6831810.7400000002</v>
      </c>
    </row>
    <row r="386" spans="1:14" s="156" customFormat="1" x14ac:dyDescent="0.25">
      <c r="A386" s="156" t="s">
        <v>546</v>
      </c>
      <c r="B386" s="156" t="s">
        <v>279</v>
      </c>
      <c r="C386" s="156" t="s">
        <v>280</v>
      </c>
      <c r="D386" s="156" t="s">
        <v>541</v>
      </c>
      <c r="E386" s="179">
        <v>883769579</v>
      </c>
      <c r="F386" s="179">
        <v>883769579</v>
      </c>
      <c r="G386" s="179">
        <v>322694618.75</v>
      </c>
      <c r="H386" s="179">
        <v>0</v>
      </c>
      <c r="I386" s="179">
        <v>677426650.38999999</v>
      </c>
      <c r="J386" s="179">
        <v>3103828</v>
      </c>
      <c r="K386" s="179">
        <v>85818756.659999996</v>
      </c>
      <c r="L386" s="179">
        <v>11689566.67</v>
      </c>
      <c r="M386" s="179">
        <v>117420343.95</v>
      </c>
      <c r="N386" s="184">
        <v>-443654616.30000001</v>
      </c>
    </row>
    <row r="387" spans="1:14" s="156" customFormat="1" x14ac:dyDescent="0.25">
      <c r="A387" s="156" t="s">
        <v>546</v>
      </c>
      <c r="B387" s="156" t="s">
        <v>281</v>
      </c>
      <c r="C387" s="156" t="s">
        <v>282</v>
      </c>
      <c r="D387" s="156" t="s">
        <v>541</v>
      </c>
      <c r="E387" s="179">
        <v>667187579</v>
      </c>
      <c r="F387" s="179">
        <v>667187579</v>
      </c>
      <c r="G387" s="179">
        <v>262483118.75</v>
      </c>
      <c r="H387" s="179">
        <v>0</v>
      </c>
      <c r="I387" s="179">
        <v>35465632.68</v>
      </c>
      <c r="J387" s="179">
        <v>3103828</v>
      </c>
      <c r="K387" s="179">
        <v>82672618.459999993</v>
      </c>
      <c r="L387" s="179">
        <v>9217427.4700000007</v>
      </c>
      <c r="M387" s="179">
        <v>545945499.86000001</v>
      </c>
      <c r="N387" s="179">
        <v>141241039.61000001</v>
      </c>
    </row>
    <row r="388" spans="1:14" s="156" customFormat="1" x14ac:dyDescent="0.25">
      <c r="A388" s="156" t="s">
        <v>546</v>
      </c>
      <c r="B388" s="156" t="s">
        <v>283</v>
      </c>
      <c r="C388" s="156" t="s">
        <v>284</v>
      </c>
      <c r="D388" s="156" t="s">
        <v>543</v>
      </c>
      <c r="E388" s="179">
        <v>33062000</v>
      </c>
      <c r="F388" s="179">
        <v>33062000</v>
      </c>
      <c r="G388" s="179">
        <v>19951724</v>
      </c>
      <c r="H388" s="179">
        <v>0</v>
      </c>
      <c r="I388" s="179">
        <v>0</v>
      </c>
      <c r="J388" s="179">
        <v>0</v>
      </c>
      <c r="K388" s="179">
        <v>0</v>
      </c>
      <c r="L388" s="179">
        <v>0</v>
      </c>
      <c r="M388" s="179">
        <v>33062000</v>
      </c>
      <c r="N388" s="179">
        <v>19951724</v>
      </c>
    </row>
    <row r="389" spans="1:14" s="156" customFormat="1" x14ac:dyDescent="0.25">
      <c r="A389" s="156" t="s">
        <v>546</v>
      </c>
      <c r="B389" s="156" t="s">
        <v>398</v>
      </c>
      <c r="C389" s="156" t="s">
        <v>501</v>
      </c>
      <c r="D389" s="156" t="s">
        <v>543</v>
      </c>
      <c r="E389" s="179">
        <v>72100000</v>
      </c>
      <c r="F389" s="179">
        <v>72100000</v>
      </c>
      <c r="G389" s="179">
        <v>18025000</v>
      </c>
      <c r="H389" s="179">
        <v>0</v>
      </c>
      <c r="I389" s="179">
        <v>0</v>
      </c>
      <c r="J389" s="179">
        <v>0</v>
      </c>
      <c r="K389" s="179">
        <v>16883370</v>
      </c>
      <c r="L389" s="179">
        <v>0</v>
      </c>
      <c r="M389" s="179">
        <v>55216630</v>
      </c>
      <c r="N389" s="179">
        <v>1141630</v>
      </c>
    </row>
    <row r="390" spans="1:14" s="156" customFormat="1" x14ac:dyDescent="0.25">
      <c r="A390" s="156" t="s">
        <v>546</v>
      </c>
      <c r="B390" s="156" t="s">
        <v>285</v>
      </c>
      <c r="C390" s="156" t="s">
        <v>286</v>
      </c>
      <c r="D390" s="156" t="s">
        <v>541</v>
      </c>
      <c r="E390" s="179">
        <v>0</v>
      </c>
      <c r="F390" s="179">
        <v>0</v>
      </c>
      <c r="G390" s="179">
        <v>0</v>
      </c>
      <c r="H390" s="179">
        <v>0</v>
      </c>
      <c r="I390" s="179">
        <v>0</v>
      </c>
      <c r="J390" s="179">
        <v>0</v>
      </c>
      <c r="K390" s="179">
        <v>0</v>
      </c>
      <c r="L390" s="179">
        <v>0</v>
      </c>
      <c r="M390" s="179">
        <v>0</v>
      </c>
      <c r="N390" s="179">
        <v>0</v>
      </c>
    </row>
    <row r="391" spans="1:14" s="156" customFormat="1" x14ac:dyDescent="0.25">
      <c r="A391" s="156" t="s">
        <v>546</v>
      </c>
      <c r="B391" s="156" t="s">
        <v>285</v>
      </c>
      <c r="C391" s="156" t="s">
        <v>286</v>
      </c>
      <c r="D391" s="156" t="s">
        <v>543</v>
      </c>
      <c r="E391" s="179">
        <v>147248000</v>
      </c>
      <c r="F391" s="179">
        <v>147248000</v>
      </c>
      <c r="G391" s="179">
        <v>36812000</v>
      </c>
      <c r="H391" s="179">
        <v>0</v>
      </c>
      <c r="I391" s="179">
        <v>16197.33</v>
      </c>
      <c r="J391" s="179">
        <v>0</v>
      </c>
      <c r="K391" s="179">
        <v>0</v>
      </c>
      <c r="L391" s="179">
        <v>0</v>
      </c>
      <c r="M391" s="179">
        <v>147231802.66999999</v>
      </c>
      <c r="N391" s="179">
        <v>36795802.670000002</v>
      </c>
    </row>
    <row r="392" spans="1:14" s="156" customFormat="1" x14ac:dyDescent="0.25">
      <c r="A392" s="156" t="s">
        <v>546</v>
      </c>
      <c r="B392" s="156" t="s">
        <v>287</v>
      </c>
      <c r="C392" s="156" t="s">
        <v>288</v>
      </c>
      <c r="D392" s="156" t="s">
        <v>541</v>
      </c>
      <c r="E392" s="179">
        <v>0</v>
      </c>
      <c r="F392" s="179">
        <v>0</v>
      </c>
      <c r="G392" s="179">
        <v>0</v>
      </c>
      <c r="H392" s="179">
        <v>0</v>
      </c>
      <c r="I392" s="179">
        <v>0</v>
      </c>
      <c r="J392" s="179">
        <v>0</v>
      </c>
      <c r="K392" s="179">
        <v>0</v>
      </c>
      <c r="L392" s="179">
        <v>0</v>
      </c>
      <c r="M392" s="179">
        <v>0</v>
      </c>
      <c r="N392" s="179">
        <v>0</v>
      </c>
    </row>
    <row r="393" spans="1:14" s="156" customFormat="1" x14ac:dyDescent="0.25">
      <c r="A393" s="156" t="s">
        <v>546</v>
      </c>
      <c r="B393" s="156" t="s">
        <v>287</v>
      </c>
      <c r="C393" s="156" t="s">
        <v>288</v>
      </c>
      <c r="D393" s="156" t="s">
        <v>543</v>
      </c>
      <c r="E393" s="179">
        <v>69415579</v>
      </c>
      <c r="F393" s="179">
        <v>69415579</v>
      </c>
      <c r="G393" s="179">
        <v>59353894.75</v>
      </c>
      <c r="H393" s="179">
        <v>0</v>
      </c>
      <c r="I393" s="179">
        <v>8448600</v>
      </c>
      <c r="J393" s="179">
        <v>0</v>
      </c>
      <c r="K393" s="179">
        <v>2306404</v>
      </c>
      <c r="L393" s="179">
        <v>2306404</v>
      </c>
      <c r="M393" s="179">
        <v>58660575</v>
      </c>
      <c r="N393" s="179">
        <v>48598890.75</v>
      </c>
    </row>
    <row r="394" spans="1:14" s="156" customFormat="1" x14ac:dyDescent="0.25">
      <c r="A394" s="156" t="s">
        <v>546</v>
      </c>
      <c r="B394" s="156" t="s">
        <v>289</v>
      </c>
      <c r="C394" s="156" t="s">
        <v>290</v>
      </c>
      <c r="D394" s="156" t="s">
        <v>543</v>
      </c>
      <c r="E394" s="179">
        <v>21137000</v>
      </c>
      <c r="F394" s="179">
        <v>21137000</v>
      </c>
      <c r="G394" s="179">
        <v>21137000</v>
      </c>
      <c r="H394" s="179">
        <v>0</v>
      </c>
      <c r="I394" s="179">
        <v>0</v>
      </c>
      <c r="J394" s="179">
        <v>0</v>
      </c>
      <c r="K394" s="179">
        <v>13982594.789999999</v>
      </c>
      <c r="L394" s="179">
        <v>0</v>
      </c>
      <c r="M394" s="179">
        <v>7154405.21</v>
      </c>
      <c r="N394" s="179">
        <v>7154405.21</v>
      </c>
    </row>
    <row r="395" spans="1:14" s="156" customFormat="1" x14ac:dyDescent="0.25">
      <c r="A395" s="156" t="s">
        <v>546</v>
      </c>
      <c r="B395" s="156" t="s">
        <v>291</v>
      </c>
      <c r="C395" s="156" t="s">
        <v>292</v>
      </c>
      <c r="D395" s="156" t="s">
        <v>543</v>
      </c>
      <c r="E395" s="179">
        <v>29458000</v>
      </c>
      <c r="F395" s="179">
        <v>29458000</v>
      </c>
      <c r="G395" s="179">
        <v>29458000</v>
      </c>
      <c r="H395" s="179">
        <v>0</v>
      </c>
      <c r="I395" s="179">
        <v>9214906.1400000006</v>
      </c>
      <c r="J395" s="179">
        <v>3103828</v>
      </c>
      <c r="K395" s="179">
        <v>4013437.56</v>
      </c>
      <c r="L395" s="179">
        <v>1393335</v>
      </c>
      <c r="M395" s="179">
        <v>13125828.300000001</v>
      </c>
      <c r="N395" s="179">
        <v>13125828.300000001</v>
      </c>
    </row>
    <row r="396" spans="1:14" s="156" customFormat="1" x14ac:dyDescent="0.25">
      <c r="A396" s="156" t="s">
        <v>546</v>
      </c>
      <c r="B396" s="156" t="s">
        <v>293</v>
      </c>
      <c r="C396" s="156" t="s">
        <v>294</v>
      </c>
      <c r="D396" s="156" t="s">
        <v>543</v>
      </c>
      <c r="E396" s="179">
        <v>5405000</v>
      </c>
      <c r="F396" s="179">
        <v>5405000</v>
      </c>
      <c r="G396" s="179">
        <v>5405000</v>
      </c>
      <c r="H396" s="179">
        <v>0</v>
      </c>
      <c r="I396" s="179">
        <v>3981450</v>
      </c>
      <c r="J396" s="179">
        <v>0</v>
      </c>
      <c r="K396" s="179">
        <v>0</v>
      </c>
      <c r="L396" s="179">
        <v>0</v>
      </c>
      <c r="M396" s="179">
        <v>1423550</v>
      </c>
      <c r="N396" s="179">
        <v>1423550</v>
      </c>
    </row>
    <row r="397" spans="1:14" s="156" customFormat="1" x14ac:dyDescent="0.25">
      <c r="A397" s="156" t="s">
        <v>546</v>
      </c>
      <c r="B397" s="156" t="s">
        <v>295</v>
      </c>
      <c r="C397" s="156" t="s">
        <v>296</v>
      </c>
      <c r="D397" s="156" t="s">
        <v>543</v>
      </c>
      <c r="E397" s="179">
        <v>289362000</v>
      </c>
      <c r="F397" s="179">
        <v>289362000</v>
      </c>
      <c r="G397" s="179">
        <v>72340500</v>
      </c>
      <c r="H397" s="179">
        <v>0</v>
      </c>
      <c r="I397" s="179">
        <v>13804479.210000001</v>
      </c>
      <c r="J397" s="179">
        <v>0</v>
      </c>
      <c r="K397" s="179">
        <v>45486812.109999999</v>
      </c>
      <c r="L397" s="179">
        <v>5517688.4699999997</v>
      </c>
      <c r="M397" s="179">
        <v>230070708.68000001</v>
      </c>
      <c r="N397" s="179">
        <v>13049208.68</v>
      </c>
    </row>
    <row r="398" spans="1:14" s="156" customFormat="1" x14ac:dyDescent="0.25">
      <c r="A398" s="156" t="s">
        <v>546</v>
      </c>
      <c r="B398" s="156" t="s">
        <v>297</v>
      </c>
      <c r="C398" s="156" t="s">
        <v>298</v>
      </c>
      <c r="D398" s="156" t="s">
        <v>543</v>
      </c>
      <c r="E398" s="179">
        <v>8088000</v>
      </c>
      <c r="F398" s="179">
        <v>8088000</v>
      </c>
      <c r="G398" s="179">
        <v>8088000</v>
      </c>
      <c r="H398" s="179">
        <v>0</v>
      </c>
      <c r="I398" s="179">
        <v>641961017.71000004</v>
      </c>
      <c r="J398" s="179">
        <v>0</v>
      </c>
      <c r="K398" s="179">
        <v>673999</v>
      </c>
      <c r="L398" s="179">
        <v>0</v>
      </c>
      <c r="M398" s="179">
        <v>-634547016.71000004</v>
      </c>
      <c r="N398" s="179">
        <v>-634547016.71000004</v>
      </c>
    </row>
    <row r="399" spans="1:14" s="156" customFormat="1" x14ac:dyDescent="0.25">
      <c r="A399" s="156" t="s">
        <v>546</v>
      </c>
      <c r="B399" s="156" t="s">
        <v>299</v>
      </c>
      <c r="C399" s="156" t="s">
        <v>300</v>
      </c>
      <c r="D399" s="156" t="s">
        <v>543</v>
      </c>
      <c r="E399" s="179">
        <v>0</v>
      </c>
      <c r="F399" s="179">
        <v>0</v>
      </c>
      <c r="G399" s="179">
        <v>0</v>
      </c>
      <c r="H399" s="179">
        <v>0</v>
      </c>
      <c r="I399" s="179">
        <v>640613017.71000004</v>
      </c>
      <c r="J399" s="179">
        <v>0</v>
      </c>
      <c r="K399" s="179">
        <v>0</v>
      </c>
      <c r="L399" s="179">
        <v>0</v>
      </c>
      <c r="M399" s="179">
        <v>-640613017.71000004</v>
      </c>
      <c r="N399" s="179">
        <v>-640613017.71000004</v>
      </c>
    </row>
    <row r="400" spans="1:14" s="156" customFormat="1" x14ac:dyDescent="0.25">
      <c r="A400" s="156" t="s">
        <v>546</v>
      </c>
      <c r="B400" s="156" t="s">
        <v>366</v>
      </c>
      <c r="C400" s="156" t="s">
        <v>367</v>
      </c>
      <c r="D400" s="156" t="s">
        <v>543</v>
      </c>
      <c r="E400" s="179">
        <v>8088000</v>
      </c>
      <c r="F400" s="179">
        <v>8088000</v>
      </c>
      <c r="G400" s="179">
        <v>8088000</v>
      </c>
      <c r="H400" s="179">
        <v>0</v>
      </c>
      <c r="I400" s="179">
        <v>1348000</v>
      </c>
      <c r="J400" s="179">
        <v>0</v>
      </c>
      <c r="K400" s="179">
        <v>673999</v>
      </c>
      <c r="L400" s="179">
        <v>0</v>
      </c>
      <c r="M400" s="179">
        <v>6066001</v>
      </c>
      <c r="N400" s="179">
        <v>6066001</v>
      </c>
    </row>
    <row r="401" spans="1:14" s="156" customFormat="1" x14ac:dyDescent="0.25">
      <c r="A401" s="156" t="s">
        <v>546</v>
      </c>
      <c r="B401" s="156" t="s">
        <v>340</v>
      </c>
      <c r="C401" s="156" t="s">
        <v>341</v>
      </c>
      <c r="D401" s="156" t="s">
        <v>543</v>
      </c>
      <c r="E401" s="179">
        <v>208494000</v>
      </c>
      <c r="F401" s="179">
        <v>208494000</v>
      </c>
      <c r="G401" s="179">
        <v>52123500</v>
      </c>
      <c r="H401" s="179">
        <v>0</v>
      </c>
      <c r="I401" s="179">
        <v>0</v>
      </c>
      <c r="J401" s="179">
        <v>0</v>
      </c>
      <c r="K401" s="179">
        <v>2472139.2000000002</v>
      </c>
      <c r="L401" s="179">
        <v>2472139.2000000002</v>
      </c>
      <c r="M401" s="179">
        <v>206021860.80000001</v>
      </c>
      <c r="N401" s="179">
        <v>49651360.799999997</v>
      </c>
    </row>
    <row r="402" spans="1:14" s="156" customFormat="1" x14ac:dyDescent="0.25">
      <c r="A402" s="156" t="s">
        <v>546</v>
      </c>
      <c r="B402" s="156" t="s">
        <v>342</v>
      </c>
      <c r="C402" s="156" t="s">
        <v>343</v>
      </c>
      <c r="D402" s="156" t="s">
        <v>543</v>
      </c>
      <c r="E402" s="179">
        <v>208494000</v>
      </c>
      <c r="F402" s="179">
        <v>208494000</v>
      </c>
      <c r="G402" s="179">
        <v>52123500</v>
      </c>
      <c r="H402" s="179">
        <v>0</v>
      </c>
      <c r="I402" s="179">
        <v>0</v>
      </c>
      <c r="J402" s="179">
        <v>0</v>
      </c>
      <c r="K402" s="179">
        <v>2472139.2000000002</v>
      </c>
      <c r="L402" s="179">
        <v>2472139.2000000002</v>
      </c>
      <c r="M402" s="179">
        <v>206021860.80000001</v>
      </c>
      <c r="N402" s="179">
        <v>49651360.799999997</v>
      </c>
    </row>
    <row r="403" spans="1:14" s="156" customFormat="1" x14ac:dyDescent="0.25">
      <c r="A403" s="156" t="s">
        <v>546</v>
      </c>
      <c r="B403" s="156" t="s">
        <v>251</v>
      </c>
      <c r="C403" s="156" t="s">
        <v>252</v>
      </c>
      <c r="D403" s="156" t="s">
        <v>541</v>
      </c>
      <c r="E403" s="179">
        <v>11597046000</v>
      </c>
      <c r="F403" s="179">
        <v>11597046000</v>
      </c>
      <c r="G403" s="179">
        <v>4299740810.25</v>
      </c>
      <c r="H403" s="179">
        <v>0</v>
      </c>
      <c r="I403" s="179">
        <v>3779645220.9200001</v>
      </c>
      <c r="J403" s="179">
        <v>0</v>
      </c>
      <c r="K403" s="179">
        <v>389799904.57999998</v>
      </c>
      <c r="L403" s="179">
        <v>383757145.26999998</v>
      </c>
      <c r="M403" s="179">
        <v>7427600874.5</v>
      </c>
      <c r="N403" s="179">
        <v>130295684.75</v>
      </c>
    </row>
    <row r="404" spans="1:14" s="156" customFormat="1" x14ac:dyDescent="0.25">
      <c r="A404" s="156" t="s">
        <v>546</v>
      </c>
      <c r="B404" s="156" t="s">
        <v>253</v>
      </c>
      <c r="C404" s="156" t="s">
        <v>254</v>
      </c>
      <c r="D404" s="156" t="s">
        <v>541</v>
      </c>
      <c r="E404" s="179">
        <v>9955805000</v>
      </c>
      <c r="F404" s="179">
        <v>9955805000</v>
      </c>
      <c r="G404" s="179">
        <v>3875805000</v>
      </c>
      <c r="H404" s="179">
        <v>0</v>
      </c>
      <c r="I404" s="179">
        <v>3700824707</v>
      </c>
      <c r="J404" s="179">
        <v>0</v>
      </c>
      <c r="K404" s="179">
        <v>174980293</v>
      </c>
      <c r="L404" s="179">
        <v>174980293</v>
      </c>
      <c r="M404" s="179">
        <v>6080000000</v>
      </c>
      <c r="N404" s="179">
        <v>0</v>
      </c>
    </row>
    <row r="405" spans="1:14" s="156" customFormat="1" x14ac:dyDescent="0.25">
      <c r="A405" s="156" t="s">
        <v>546</v>
      </c>
      <c r="B405" s="156" t="s">
        <v>368</v>
      </c>
      <c r="C405" s="156" t="s">
        <v>369</v>
      </c>
      <c r="D405" s="156" t="s">
        <v>541</v>
      </c>
      <c r="E405" s="179">
        <v>80000000</v>
      </c>
      <c r="F405" s="179">
        <v>80000000</v>
      </c>
      <c r="G405" s="179">
        <v>0</v>
      </c>
      <c r="H405" s="179">
        <v>0</v>
      </c>
      <c r="I405" s="179">
        <v>0</v>
      </c>
      <c r="J405" s="179">
        <v>0</v>
      </c>
      <c r="K405" s="179">
        <v>0</v>
      </c>
      <c r="L405" s="179">
        <v>0</v>
      </c>
      <c r="M405" s="179">
        <v>80000000</v>
      </c>
      <c r="N405" s="179">
        <v>0</v>
      </c>
    </row>
    <row r="406" spans="1:14" s="156" customFormat="1" x14ac:dyDescent="0.25">
      <c r="A406" s="156" t="s">
        <v>546</v>
      </c>
      <c r="B406" s="156" t="s">
        <v>370</v>
      </c>
      <c r="C406" s="156" t="s">
        <v>602</v>
      </c>
      <c r="D406" s="156" t="s">
        <v>541</v>
      </c>
      <c r="E406" s="179">
        <v>673849000</v>
      </c>
      <c r="F406" s="179">
        <v>673849000</v>
      </c>
      <c r="G406" s="179">
        <v>673849000</v>
      </c>
      <c r="H406" s="179">
        <v>0</v>
      </c>
      <c r="I406" s="179">
        <v>528227816</v>
      </c>
      <c r="J406" s="179">
        <v>0</v>
      </c>
      <c r="K406" s="179">
        <v>145621184</v>
      </c>
      <c r="L406" s="179">
        <v>145621184</v>
      </c>
      <c r="M406" s="179">
        <v>0</v>
      </c>
      <c r="N406" s="179">
        <v>0</v>
      </c>
    </row>
    <row r="407" spans="1:14" s="156" customFormat="1" x14ac:dyDescent="0.25">
      <c r="A407" s="156" t="s">
        <v>546</v>
      </c>
      <c r="B407" s="156" t="s">
        <v>371</v>
      </c>
      <c r="C407" s="156" t="s">
        <v>603</v>
      </c>
      <c r="D407" s="156" t="s">
        <v>541</v>
      </c>
      <c r="E407" s="179">
        <v>135856000</v>
      </c>
      <c r="F407" s="179">
        <v>135856000</v>
      </c>
      <c r="G407" s="179">
        <v>135856000</v>
      </c>
      <c r="H407" s="179">
        <v>0</v>
      </c>
      <c r="I407" s="179">
        <v>106496891</v>
      </c>
      <c r="J407" s="179">
        <v>0</v>
      </c>
      <c r="K407" s="179">
        <v>29359109</v>
      </c>
      <c r="L407" s="179">
        <v>29359109</v>
      </c>
      <c r="M407" s="179">
        <v>0</v>
      </c>
      <c r="N407" s="179">
        <v>0</v>
      </c>
    </row>
    <row r="408" spans="1:14" s="156" customFormat="1" x14ac:dyDescent="0.25">
      <c r="A408" s="156" t="s">
        <v>546</v>
      </c>
      <c r="B408" s="156" t="s">
        <v>606</v>
      </c>
      <c r="C408" s="156" t="s">
        <v>608</v>
      </c>
      <c r="D408" s="156" t="s">
        <v>543</v>
      </c>
      <c r="E408" s="179">
        <v>9066100000</v>
      </c>
      <c r="F408" s="179">
        <v>9066100000</v>
      </c>
      <c r="G408" s="179">
        <v>3066100000</v>
      </c>
      <c r="H408" s="179">
        <v>0</v>
      </c>
      <c r="I408" s="179">
        <v>3066100000</v>
      </c>
      <c r="J408" s="179">
        <v>0</v>
      </c>
      <c r="K408" s="179">
        <v>0</v>
      </c>
      <c r="L408" s="179">
        <v>0</v>
      </c>
      <c r="M408" s="179">
        <v>6000000000</v>
      </c>
      <c r="N408" s="179">
        <v>0</v>
      </c>
    </row>
    <row r="409" spans="1:14" s="156" customFormat="1" x14ac:dyDescent="0.25">
      <c r="A409" s="156" t="s">
        <v>546</v>
      </c>
      <c r="B409" s="156" t="s">
        <v>372</v>
      </c>
      <c r="C409" s="156" t="s">
        <v>373</v>
      </c>
      <c r="D409" s="156" t="s">
        <v>541</v>
      </c>
      <c r="E409" s="179">
        <v>550000000</v>
      </c>
      <c r="F409" s="179">
        <v>550000000</v>
      </c>
      <c r="G409" s="179">
        <v>137500000</v>
      </c>
      <c r="H409" s="179">
        <v>0</v>
      </c>
      <c r="I409" s="179">
        <v>60000000</v>
      </c>
      <c r="J409" s="179">
        <v>0</v>
      </c>
      <c r="K409" s="179">
        <v>45000000</v>
      </c>
      <c r="L409" s="179">
        <v>45000000</v>
      </c>
      <c r="M409" s="179">
        <v>445000000</v>
      </c>
      <c r="N409" s="179">
        <v>32500000</v>
      </c>
    </row>
    <row r="410" spans="1:14" s="156" customFormat="1" x14ac:dyDescent="0.25">
      <c r="A410" s="156" t="s">
        <v>546</v>
      </c>
      <c r="B410" s="156" t="s">
        <v>374</v>
      </c>
      <c r="C410" s="156" t="s">
        <v>375</v>
      </c>
      <c r="D410" s="156" t="s">
        <v>541</v>
      </c>
      <c r="E410" s="179">
        <v>550000000</v>
      </c>
      <c r="F410" s="179">
        <v>550000000</v>
      </c>
      <c r="G410" s="179">
        <v>137500000</v>
      </c>
      <c r="H410" s="179">
        <v>0</v>
      </c>
      <c r="I410" s="179">
        <v>60000000</v>
      </c>
      <c r="J410" s="179">
        <v>0</v>
      </c>
      <c r="K410" s="179">
        <v>45000000</v>
      </c>
      <c r="L410" s="179">
        <v>45000000</v>
      </c>
      <c r="M410" s="179">
        <v>445000000</v>
      </c>
      <c r="N410" s="179">
        <v>32500000</v>
      </c>
    </row>
    <row r="411" spans="1:14" s="156" customFormat="1" x14ac:dyDescent="0.25">
      <c r="A411" s="156" t="s">
        <v>546</v>
      </c>
      <c r="B411" s="156" t="s">
        <v>261</v>
      </c>
      <c r="C411" s="156" t="s">
        <v>262</v>
      </c>
      <c r="D411" s="156" t="s">
        <v>541</v>
      </c>
      <c r="E411" s="179">
        <v>1002889000</v>
      </c>
      <c r="F411" s="179">
        <v>1002889000</v>
      </c>
      <c r="G411" s="179">
        <v>215597810.25</v>
      </c>
      <c r="H411" s="179">
        <v>0</v>
      </c>
      <c r="I411" s="179">
        <v>2423143.87</v>
      </c>
      <c r="J411" s="179">
        <v>0</v>
      </c>
      <c r="K411" s="179">
        <v>108035461.13</v>
      </c>
      <c r="L411" s="179">
        <v>101992701.81999999</v>
      </c>
      <c r="M411" s="179">
        <v>892430395</v>
      </c>
      <c r="N411" s="179">
        <v>105139205.25</v>
      </c>
    </row>
    <row r="412" spans="1:14" s="156" customFormat="1" x14ac:dyDescent="0.25">
      <c r="A412" s="156" t="s">
        <v>546</v>
      </c>
      <c r="B412" s="156" t="s">
        <v>263</v>
      </c>
      <c r="C412" s="156" t="s">
        <v>264</v>
      </c>
      <c r="D412" s="156" t="s">
        <v>541</v>
      </c>
      <c r="E412" s="179">
        <v>657462000</v>
      </c>
      <c r="F412" s="179">
        <v>657462000</v>
      </c>
      <c r="G412" s="179">
        <v>60093173</v>
      </c>
      <c r="H412" s="179">
        <v>0</v>
      </c>
      <c r="I412" s="179">
        <v>2423143.87</v>
      </c>
      <c r="J412" s="179">
        <v>0</v>
      </c>
      <c r="K412" s="179">
        <v>57670029.130000003</v>
      </c>
      <c r="L412" s="179">
        <v>51627269.82</v>
      </c>
      <c r="M412" s="179">
        <v>597368827</v>
      </c>
      <c r="N412" s="179">
        <v>0</v>
      </c>
    </row>
    <row r="413" spans="1:14" s="156" customFormat="1" x14ac:dyDescent="0.25">
      <c r="A413" s="156" t="s">
        <v>546</v>
      </c>
      <c r="B413" s="156" t="s">
        <v>265</v>
      </c>
      <c r="C413" s="156" t="s">
        <v>266</v>
      </c>
      <c r="D413" s="156" t="s">
        <v>541</v>
      </c>
      <c r="E413" s="179">
        <v>345427000</v>
      </c>
      <c r="F413" s="179">
        <v>345427000</v>
      </c>
      <c r="G413" s="179">
        <v>155504637.25</v>
      </c>
      <c r="H413" s="179">
        <v>0</v>
      </c>
      <c r="I413" s="179">
        <v>0</v>
      </c>
      <c r="J413" s="179">
        <v>0</v>
      </c>
      <c r="K413" s="179">
        <v>50365432</v>
      </c>
      <c r="L413" s="179">
        <v>50365432</v>
      </c>
      <c r="M413" s="179">
        <v>295061568</v>
      </c>
      <c r="N413" s="179">
        <v>105139205.25</v>
      </c>
    </row>
    <row r="414" spans="1:14" s="156" customFormat="1" x14ac:dyDescent="0.25">
      <c r="A414" s="156" t="s">
        <v>546</v>
      </c>
      <c r="B414" s="156" t="s">
        <v>267</v>
      </c>
      <c r="C414" s="156" t="s">
        <v>268</v>
      </c>
      <c r="D414" s="156" t="s">
        <v>541</v>
      </c>
      <c r="E414" s="179">
        <v>88352000</v>
      </c>
      <c r="F414" s="179">
        <v>88352000</v>
      </c>
      <c r="G414" s="179">
        <v>70838000</v>
      </c>
      <c r="H414" s="179">
        <v>0</v>
      </c>
      <c r="I414" s="179">
        <v>16397370.050000001</v>
      </c>
      <c r="J414" s="179">
        <v>0</v>
      </c>
      <c r="K414" s="179">
        <v>61784150.450000003</v>
      </c>
      <c r="L414" s="179">
        <v>61784150.450000003</v>
      </c>
      <c r="M414" s="179">
        <v>10170479.5</v>
      </c>
      <c r="N414" s="184">
        <v>-7343520.5</v>
      </c>
    </row>
    <row r="415" spans="1:14" s="156" customFormat="1" x14ac:dyDescent="0.25">
      <c r="A415" s="156" t="s">
        <v>546</v>
      </c>
      <c r="B415" s="156" t="s">
        <v>269</v>
      </c>
      <c r="C415" s="156" t="s">
        <v>270</v>
      </c>
      <c r="D415" s="156" t="s">
        <v>541</v>
      </c>
      <c r="E415" s="179">
        <v>65000000</v>
      </c>
      <c r="F415" s="179">
        <v>65000000</v>
      </c>
      <c r="G415" s="179">
        <v>65000000</v>
      </c>
      <c r="H415" s="179">
        <v>0</v>
      </c>
      <c r="I415" s="179">
        <v>3215849.55</v>
      </c>
      <c r="J415" s="179">
        <v>0</v>
      </c>
      <c r="K415" s="179">
        <v>61784150.450000003</v>
      </c>
      <c r="L415" s="179">
        <v>61784150.450000003</v>
      </c>
      <c r="M415" s="179">
        <v>0</v>
      </c>
      <c r="N415" s="179">
        <v>0</v>
      </c>
    </row>
    <row r="416" spans="1:14" s="156" customFormat="1" x14ac:dyDescent="0.25">
      <c r="A416" s="156" t="s">
        <v>546</v>
      </c>
      <c r="B416" s="156" t="s">
        <v>271</v>
      </c>
      <c r="C416" s="156" t="s">
        <v>272</v>
      </c>
      <c r="D416" s="156" t="s">
        <v>541</v>
      </c>
      <c r="E416" s="179">
        <v>23352000</v>
      </c>
      <c r="F416" s="179">
        <v>23352000</v>
      </c>
      <c r="G416" s="179">
        <v>5838000</v>
      </c>
      <c r="H416" s="179">
        <v>0</v>
      </c>
      <c r="I416" s="179">
        <v>13181520.5</v>
      </c>
      <c r="J416" s="179">
        <v>0</v>
      </c>
      <c r="K416" s="179">
        <v>0</v>
      </c>
      <c r="L416" s="179">
        <v>0</v>
      </c>
      <c r="M416" s="179">
        <v>10170479.5</v>
      </c>
      <c r="N416" s="184">
        <v>-7343520.5</v>
      </c>
    </row>
    <row r="417" spans="1:14" s="156" customFormat="1" x14ac:dyDescent="0.25">
      <c r="A417" s="156" t="s">
        <v>546</v>
      </c>
      <c r="B417" s="156" t="s">
        <v>376</v>
      </c>
      <c r="C417" s="156" t="s">
        <v>377</v>
      </c>
      <c r="D417" s="156" t="s">
        <v>543</v>
      </c>
      <c r="E417" s="179">
        <v>573100000</v>
      </c>
      <c r="F417" s="179">
        <v>573100000</v>
      </c>
      <c r="G417" s="179">
        <v>662500</v>
      </c>
      <c r="H417" s="179">
        <v>0</v>
      </c>
      <c r="I417" s="179">
        <v>0</v>
      </c>
      <c r="J417" s="179">
        <v>0</v>
      </c>
      <c r="K417" s="179">
        <v>0</v>
      </c>
      <c r="L417" s="179">
        <v>0</v>
      </c>
      <c r="M417" s="179">
        <v>573100000</v>
      </c>
      <c r="N417" s="179">
        <v>662500</v>
      </c>
    </row>
    <row r="418" spans="1:14" s="156" customFormat="1" x14ac:dyDescent="0.25">
      <c r="A418" s="156" t="s">
        <v>546</v>
      </c>
      <c r="B418" s="156" t="s">
        <v>378</v>
      </c>
      <c r="C418" s="156" t="s">
        <v>379</v>
      </c>
      <c r="D418" s="156" t="s">
        <v>543</v>
      </c>
      <c r="E418" s="179">
        <v>573100000</v>
      </c>
      <c r="F418" s="179">
        <v>573100000</v>
      </c>
      <c r="G418" s="179">
        <v>662500</v>
      </c>
      <c r="H418" s="179">
        <v>0</v>
      </c>
      <c r="I418" s="179">
        <v>0</v>
      </c>
      <c r="J418" s="179">
        <v>0</v>
      </c>
      <c r="K418" s="179">
        <v>0</v>
      </c>
      <c r="L418" s="179">
        <v>0</v>
      </c>
      <c r="M418" s="179">
        <v>573100000</v>
      </c>
      <c r="N418" s="179">
        <v>662500</v>
      </c>
    </row>
    <row r="419" spans="1:14" s="156" customFormat="1" x14ac:dyDescent="0.25">
      <c r="A419" s="156" t="s">
        <v>546</v>
      </c>
      <c r="B419" s="156" t="s">
        <v>380</v>
      </c>
      <c r="C419" s="156" t="s">
        <v>381</v>
      </c>
      <c r="D419" s="156" t="s">
        <v>543</v>
      </c>
      <c r="E419" s="179">
        <v>573100000</v>
      </c>
      <c r="F419" s="179">
        <v>573100000</v>
      </c>
      <c r="G419" s="179">
        <v>662500</v>
      </c>
      <c r="H419" s="179">
        <v>0</v>
      </c>
      <c r="I419" s="179">
        <v>0</v>
      </c>
      <c r="J419" s="179">
        <v>0</v>
      </c>
      <c r="K419" s="179">
        <v>0</v>
      </c>
      <c r="L419" s="179">
        <v>0</v>
      </c>
      <c r="M419" s="179">
        <v>573100000</v>
      </c>
      <c r="N419" s="179">
        <v>662500</v>
      </c>
    </row>
    <row r="420" spans="1:14" s="156" customFormat="1" x14ac:dyDescent="0.25">
      <c r="A420" s="156">
        <v>214784</v>
      </c>
      <c r="B420" s="156" t="s">
        <v>587</v>
      </c>
      <c r="C420" s="156" t="s">
        <v>587</v>
      </c>
      <c r="D420" s="156" t="s">
        <v>541</v>
      </c>
      <c r="E420" s="179">
        <v>13837611334</v>
      </c>
      <c r="F420" s="179">
        <v>13837611334</v>
      </c>
      <c r="G420" s="179">
        <v>13598899369</v>
      </c>
      <c r="H420" s="179">
        <v>0</v>
      </c>
      <c r="I420" s="179">
        <v>1838194546.02</v>
      </c>
      <c r="J420" s="179">
        <v>0</v>
      </c>
      <c r="K420" s="179">
        <v>2700725595.96</v>
      </c>
      <c r="L420" s="179">
        <v>2700725595.96</v>
      </c>
      <c r="M420" s="179">
        <v>9298691192.0200005</v>
      </c>
      <c r="N420" s="179">
        <v>9059979227.0200005</v>
      </c>
    </row>
    <row r="421" spans="1:14" s="156" customFormat="1" x14ac:dyDescent="0.25">
      <c r="A421" s="156" t="s">
        <v>547</v>
      </c>
      <c r="B421" s="156" t="s">
        <v>92</v>
      </c>
      <c r="C421" s="156" t="s">
        <v>93</v>
      </c>
      <c r="D421" s="156" t="s">
        <v>541</v>
      </c>
      <c r="E421" s="179">
        <v>13313316000</v>
      </c>
      <c r="F421" s="179">
        <v>13313316000</v>
      </c>
      <c r="G421" s="179">
        <v>13313316000</v>
      </c>
      <c r="H421" s="179">
        <v>0</v>
      </c>
      <c r="I421" s="179">
        <v>1662073986.25</v>
      </c>
      <c r="J421" s="179">
        <v>0</v>
      </c>
      <c r="K421" s="179">
        <v>2641440294.9299998</v>
      </c>
      <c r="L421" s="179">
        <v>2641440294.9299998</v>
      </c>
      <c r="M421" s="179">
        <v>9009801718.8199997</v>
      </c>
      <c r="N421" s="179">
        <v>9009801718.8199997</v>
      </c>
    </row>
    <row r="422" spans="1:14" s="156" customFormat="1" x14ac:dyDescent="0.25">
      <c r="A422" s="156" t="s">
        <v>547</v>
      </c>
      <c r="B422" s="156" t="s">
        <v>94</v>
      </c>
      <c r="C422" s="156" t="s">
        <v>95</v>
      </c>
      <c r="D422" s="156" t="s">
        <v>541</v>
      </c>
      <c r="E422" s="179">
        <v>4473382000</v>
      </c>
      <c r="F422" s="179">
        <v>4473382000</v>
      </c>
      <c r="G422" s="179">
        <v>4473382000</v>
      </c>
      <c r="H422" s="179">
        <v>0</v>
      </c>
      <c r="I422" s="179">
        <v>0</v>
      </c>
      <c r="J422" s="179">
        <v>0</v>
      </c>
      <c r="K422" s="179">
        <v>671007695.76999998</v>
      </c>
      <c r="L422" s="179">
        <v>671007695.76999998</v>
      </c>
      <c r="M422" s="179">
        <v>3802374304.23</v>
      </c>
      <c r="N422" s="179">
        <v>3802374304.23</v>
      </c>
    </row>
    <row r="423" spans="1:14" s="156" customFormat="1" x14ac:dyDescent="0.25">
      <c r="A423" s="156" t="s">
        <v>547</v>
      </c>
      <c r="B423" s="156" t="s">
        <v>96</v>
      </c>
      <c r="C423" s="156" t="s">
        <v>97</v>
      </c>
      <c r="D423" s="156" t="s">
        <v>541</v>
      </c>
      <c r="E423" s="179">
        <v>4473382000</v>
      </c>
      <c r="F423" s="179">
        <v>4473382000</v>
      </c>
      <c r="G423" s="179">
        <v>4473382000</v>
      </c>
      <c r="H423" s="179">
        <v>0</v>
      </c>
      <c r="I423" s="179">
        <v>0</v>
      </c>
      <c r="J423" s="179">
        <v>0</v>
      </c>
      <c r="K423" s="179">
        <v>671007695.76999998</v>
      </c>
      <c r="L423" s="179">
        <v>671007695.76999998</v>
      </c>
      <c r="M423" s="179">
        <v>3802374304.23</v>
      </c>
      <c r="N423" s="179">
        <v>3802374304.23</v>
      </c>
    </row>
    <row r="424" spans="1:14" s="156" customFormat="1" x14ac:dyDescent="0.25">
      <c r="A424" s="156" t="s">
        <v>547</v>
      </c>
      <c r="B424" s="156" t="s">
        <v>102</v>
      </c>
      <c r="C424" s="156" t="s">
        <v>103</v>
      </c>
      <c r="D424" s="156" t="s">
        <v>541</v>
      </c>
      <c r="E424" s="179">
        <v>6745487000</v>
      </c>
      <c r="F424" s="179">
        <v>6745487000</v>
      </c>
      <c r="G424" s="179">
        <v>6745487000</v>
      </c>
      <c r="H424" s="179">
        <v>0</v>
      </c>
      <c r="I424" s="179">
        <v>0</v>
      </c>
      <c r="J424" s="179">
        <v>0</v>
      </c>
      <c r="K424" s="179">
        <v>1538059585.4100001</v>
      </c>
      <c r="L424" s="179">
        <v>1538059585.4100001</v>
      </c>
      <c r="M424" s="179">
        <v>5207427414.5900002</v>
      </c>
      <c r="N424" s="179">
        <v>5207427414.5900002</v>
      </c>
    </row>
    <row r="425" spans="1:14" s="156" customFormat="1" x14ac:dyDescent="0.25">
      <c r="A425" s="156" t="s">
        <v>547</v>
      </c>
      <c r="B425" s="156" t="s">
        <v>104</v>
      </c>
      <c r="C425" s="156" t="s">
        <v>105</v>
      </c>
      <c r="D425" s="156" t="s">
        <v>541</v>
      </c>
      <c r="E425" s="179">
        <v>1460185000</v>
      </c>
      <c r="F425" s="179">
        <v>1460185000</v>
      </c>
      <c r="G425" s="179">
        <v>1460185000</v>
      </c>
      <c r="H425" s="179">
        <v>0</v>
      </c>
      <c r="I425" s="179">
        <v>0</v>
      </c>
      <c r="J425" s="179">
        <v>0</v>
      </c>
      <c r="K425" s="179">
        <v>221036248.19</v>
      </c>
      <c r="L425" s="179">
        <v>221036248.19</v>
      </c>
      <c r="M425" s="179">
        <v>1239148751.8099999</v>
      </c>
      <c r="N425" s="179">
        <v>1239148751.8099999</v>
      </c>
    </row>
    <row r="426" spans="1:14" s="156" customFormat="1" x14ac:dyDescent="0.25">
      <c r="A426" s="156" t="s">
        <v>547</v>
      </c>
      <c r="B426" s="156" t="s">
        <v>106</v>
      </c>
      <c r="C426" s="156" t="s">
        <v>107</v>
      </c>
      <c r="D426" s="156" t="s">
        <v>541</v>
      </c>
      <c r="E426" s="179">
        <v>2519609000</v>
      </c>
      <c r="F426" s="179">
        <v>2519609000</v>
      </c>
      <c r="G426" s="179">
        <v>2519609000</v>
      </c>
      <c r="H426" s="179">
        <v>0</v>
      </c>
      <c r="I426" s="179">
        <v>0</v>
      </c>
      <c r="J426" s="179">
        <v>0</v>
      </c>
      <c r="K426" s="179">
        <v>392186931.25</v>
      </c>
      <c r="L426" s="179">
        <v>392186931.25</v>
      </c>
      <c r="M426" s="179">
        <v>2127422068.75</v>
      </c>
      <c r="N426" s="179">
        <v>2127422068.75</v>
      </c>
    </row>
    <row r="427" spans="1:14" s="156" customFormat="1" x14ac:dyDescent="0.25">
      <c r="A427" s="156" t="s">
        <v>547</v>
      </c>
      <c r="B427" s="156" t="s">
        <v>112</v>
      </c>
      <c r="C427" s="156" t="s">
        <v>113</v>
      </c>
      <c r="D427" s="156" t="s">
        <v>543</v>
      </c>
      <c r="E427" s="179">
        <v>830335000</v>
      </c>
      <c r="F427" s="179">
        <v>830335000</v>
      </c>
      <c r="G427" s="179">
        <v>830335000</v>
      </c>
      <c r="H427" s="179">
        <v>0</v>
      </c>
      <c r="I427" s="179">
        <v>0</v>
      </c>
      <c r="J427" s="179">
        <v>0</v>
      </c>
      <c r="K427" s="179">
        <v>0</v>
      </c>
      <c r="L427" s="179">
        <v>0</v>
      </c>
      <c r="M427" s="179">
        <v>830335000</v>
      </c>
      <c r="N427" s="179">
        <v>830335000</v>
      </c>
    </row>
    <row r="428" spans="1:14" s="156" customFormat="1" x14ac:dyDescent="0.25">
      <c r="A428" s="156" t="s">
        <v>547</v>
      </c>
      <c r="B428" s="156" t="s">
        <v>108</v>
      </c>
      <c r="C428" s="156" t="s">
        <v>109</v>
      </c>
      <c r="D428" s="156" t="s">
        <v>541</v>
      </c>
      <c r="E428" s="179">
        <v>738904000</v>
      </c>
      <c r="F428" s="179">
        <v>738904000</v>
      </c>
      <c r="G428" s="179">
        <v>738904000</v>
      </c>
      <c r="H428" s="179">
        <v>0</v>
      </c>
      <c r="I428" s="179">
        <v>0</v>
      </c>
      <c r="J428" s="179">
        <v>0</v>
      </c>
      <c r="K428" s="179">
        <v>737016521.14999998</v>
      </c>
      <c r="L428" s="179">
        <v>737016521.14999998</v>
      </c>
      <c r="M428" s="179">
        <v>1887478.85</v>
      </c>
      <c r="N428" s="179">
        <v>1887478.85</v>
      </c>
    </row>
    <row r="429" spans="1:14" s="156" customFormat="1" x14ac:dyDescent="0.25">
      <c r="A429" s="156" t="s">
        <v>547</v>
      </c>
      <c r="B429" s="156" t="s">
        <v>110</v>
      </c>
      <c r="C429" s="156" t="s">
        <v>111</v>
      </c>
      <c r="D429" s="156" t="s">
        <v>541</v>
      </c>
      <c r="E429" s="179">
        <v>1196454000</v>
      </c>
      <c r="F429" s="179">
        <v>1196454000</v>
      </c>
      <c r="G429" s="179">
        <v>1196454000</v>
      </c>
      <c r="H429" s="179">
        <v>0</v>
      </c>
      <c r="I429" s="179">
        <v>0</v>
      </c>
      <c r="J429" s="179">
        <v>0</v>
      </c>
      <c r="K429" s="179">
        <v>187819884.81999999</v>
      </c>
      <c r="L429" s="179">
        <v>187819884.81999999</v>
      </c>
      <c r="M429" s="179">
        <v>1008634115.1799999</v>
      </c>
      <c r="N429" s="179">
        <v>1008634115.1799999</v>
      </c>
    </row>
    <row r="430" spans="1:14" s="156" customFormat="1" x14ac:dyDescent="0.25">
      <c r="A430" s="156" t="s">
        <v>547</v>
      </c>
      <c r="B430" s="156" t="s">
        <v>114</v>
      </c>
      <c r="C430" s="156" t="s">
        <v>115</v>
      </c>
      <c r="D430" s="156" t="s">
        <v>541</v>
      </c>
      <c r="E430" s="179">
        <v>1012881000</v>
      </c>
      <c r="F430" s="179">
        <v>1012881000</v>
      </c>
      <c r="G430" s="179">
        <v>1012881000</v>
      </c>
      <c r="H430" s="179">
        <v>0</v>
      </c>
      <c r="I430" s="179">
        <v>796193959</v>
      </c>
      <c r="J430" s="179">
        <v>0</v>
      </c>
      <c r="K430" s="179">
        <v>216687041</v>
      </c>
      <c r="L430" s="179">
        <v>216687041</v>
      </c>
      <c r="M430" s="179">
        <v>0</v>
      </c>
      <c r="N430" s="179">
        <v>0</v>
      </c>
    </row>
    <row r="431" spans="1:14" s="156" customFormat="1" x14ac:dyDescent="0.25">
      <c r="A431" s="156" t="s">
        <v>547</v>
      </c>
      <c r="B431" s="156" t="s">
        <v>382</v>
      </c>
      <c r="C431" s="156" t="s">
        <v>597</v>
      </c>
      <c r="D431" s="156" t="s">
        <v>541</v>
      </c>
      <c r="E431" s="179">
        <v>960939000</v>
      </c>
      <c r="F431" s="179">
        <v>960939000</v>
      </c>
      <c r="G431" s="179">
        <v>960939000</v>
      </c>
      <c r="H431" s="179">
        <v>0</v>
      </c>
      <c r="I431" s="179">
        <v>755363687</v>
      </c>
      <c r="J431" s="179">
        <v>0</v>
      </c>
      <c r="K431" s="179">
        <v>205575313</v>
      </c>
      <c r="L431" s="179">
        <v>205575313</v>
      </c>
      <c r="M431" s="179">
        <v>0</v>
      </c>
      <c r="N431" s="179">
        <v>0</v>
      </c>
    </row>
    <row r="432" spans="1:14" s="156" customFormat="1" x14ac:dyDescent="0.25">
      <c r="A432" s="156" t="s">
        <v>547</v>
      </c>
      <c r="B432" s="156" t="s">
        <v>383</v>
      </c>
      <c r="C432" s="156" t="s">
        <v>583</v>
      </c>
      <c r="D432" s="156" t="s">
        <v>541</v>
      </c>
      <c r="E432" s="179">
        <v>51942000</v>
      </c>
      <c r="F432" s="179">
        <v>51942000</v>
      </c>
      <c r="G432" s="179">
        <v>51942000</v>
      </c>
      <c r="H432" s="179">
        <v>0</v>
      </c>
      <c r="I432" s="179">
        <v>40830272</v>
      </c>
      <c r="J432" s="179">
        <v>0</v>
      </c>
      <c r="K432" s="179">
        <v>11111728</v>
      </c>
      <c r="L432" s="179">
        <v>11111728</v>
      </c>
      <c r="M432" s="179">
        <v>0</v>
      </c>
      <c r="N432" s="179">
        <v>0</v>
      </c>
    </row>
    <row r="433" spans="1:14" s="156" customFormat="1" x14ac:dyDescent="0.25">
      <c r="A433" s="156" t="s">
        <v>547</v>
      </c>
      <c r="B433" s="156" t="s">
        <v>118</v>
      </c>
      <c r="C433" s="156" t="s">
        <v>119</v>
      </c>
      <c r="D433" s="156" t="s">
        <v>541</v>
      </c>
      <c r="E433" s="179">
        <v>1081566000</v>
      </c>
      <c r="F433" s="179">
        <v>1081566000</v>
      </c>
      <c r="G433" s="179">
        <v>1081566000</v>
      </c>
      <c r="H433" s="179">
        <v>0</v>
      </c>
      <c r="I433" s="179">
        <v>865880027.25</v>
      </c>
      <c r="J433" s="179">
        <v>0</v>
      </c>
      <c r="K433" s="179">
        <v>215685972.75</v>
      </c>
      <c r="L433" s="179">
        <v>215685972.75</v>
      </c>
      <c r="M433" s="179">
        <v>0</v>
      </c>
      <c r="N433" s="179">
        <v>0</v>
      </c>
    </row>
    <row r="434" spans="1:14" s="156" customFormat="1" x14ac:dyDescent="0.25">
      <c r="A434" s="156" t="s">
        <v>547</v>
      </c>
      <c r="B434" s="156" t="s">
        <v>384</v>
      </c>
      <c r="C434" s="156" t="s">
        <v>598</v>
      </c>
      <c r="D434" s="156" t="s">
        <v>541</v>
      </c>
      <c r="E434" s="179">
        <v>527737000</v>
      </c>
      <c r="F434" s="179">
        <v>527737000</v>
      </c>
      <c r="G434" s="179">
        <v>527737000</v>
      </c>
      <c r="H434" s="179">
        <v>0</v>
      </c>
      <c r="I434" s="179">
        <v>431784146</v>
      </c>
      <c r="J434" s="179">
        <v>0</v>
      </c>
      <c r="K434" s="179">
        <v>95952854</v>
      </c>
      <c r="L434" s="179">
        <v>95952854</v>
      </c>
      <c r="M434" s="179">
        <v>0</v>
      </c>
      <c r="N434" s="179">
        <v>0</v>
      </c>
    </row>
    <row r="435" spans="1:14" s="156" customFormat="1" x14ac:dyDescent="0.25">
      <c r="A435" s="156" t="s">
        <v>547</v>
      </c>
      <c r="B435" s="156" t="s">
        <v>385</v>
      </c>
      <c r="C435" s="156" t="s">
        <v>599</v>
      </c>
      <c r="D435" s="156" t="s">
        <v>541</v>
      </c>
      <c r="E435" s="179">
        <v>155828000</v>
      </c>
      <c r="F435" s="179">
        <v>155828000</v>
      </c>
      <c r="G435" s="179">
        <v>155828000</v>
      </c>
      <c r="H435" s="179">
        <v>0</v>
      </c>
      <c r="I435" s="179">
        <v>122492804</v>
      </c>
      <c r="J435" s="179">
        <v>0</v>
      </c>
      <c r="K435" s="179">
        <v>33335196</v>
      </c>
      <c r="L435" s="179">
        <v>33335196</v>
      </c>
      <c r="M435" s="179">
        <v>0</v>
      </c>
      <c r="N435" s="179">
        <v>0</v>
      </c>
    </row>
    <row r="436" spans="1:14" s="156" customFormat="1" x14ac:dyDescent="0.25">
      <c r="A436" s="156" t="s">
        <v>547</v>
      </c>
      <c r="B436" s="156" t="s">
        <v>386</v>
      </c>
      <c r="C436" s="156" t="s">
        <v>600</v>
      </c>
      <c r="D436" s="156" t="s">
        <v>541</v>
      </c>
      <c r="E436" s="179">
        <v>311656000</v>
      </c>
      <c r="F436" s="179">
        <v>311656000</v>
      </c>
      <c r="G436" s="179">
        <v>311656000</v>
      </c>
      <c r="H436" s="179">
        <v>0</v>
      </c>
      <c r="I436" s="179">
        <v>244985644</v>
      </c>
      <c r="J436" s="179">
        <v>0</v>
      </c>
      <c r="K436" s="179">
        <v>66670356</v>
      </c>
      <c r="L436" s="179">
        <v>66670356</v>
      </c>
      <c r="M436" s="179">
        <v>0</v>
      </c>
      <c r="N436" s="179">
        <v>0</v>
      </c>
    </row>
    <row r="437" spans="1:14" s="156" customFormat="1" x14ac:dyDescent="0.25">
      <c r="A437" s="156" t="s">
        <v>547</v>
      </c>
      <c r="B437" s="156" t="s">
        <v>387</v>
      </c>
      <c r="C437" s="156" t="s">
        <v>388</v>
      </c>
      <c r="D437" s="156" t="s">
        <v>541</v>
      </c>
      <c r="E437" s="179">
        <v>86345000</v>
      </c>
      <c r="F437" s="179">
        <v>86345000</v>
      </c>
      <c r="G437" s="179">
        <v>86345000</v>
      </c>
      <c r="H437" s="179">
        <v>0</v>
      </c>
      <c r="I437" s="179">
        <v>66617433.25</v>
      </c>
      <c r="J437" s="179">
        <v>0</v>
      </c>
      <c r="K437" s="179">
        <v>19727566.75</v>
      </c>
      <c r="L437" s="179">
        <v>19727566.75</v>
      </c>
      <c r="M437" s="179">
        <v>0</v>
      </c>
      <c r="N437" s="179">
        <v>0</v>
      </c>
    </row>
    <row r="438" spans="1:14" s="156" customFormat="1" x14ac:dyDescent="0.25">
      <c r="A438" s="156" t="s">
        <v>547</v>
      </c>
      <c r="B438" s="156" t="s">
        <v>123</v>
      </c>
      <c r="C438" s="156" t="s">
        <v>124</v>
      </c>
      <c r="D438" s="156" t="s">
        <v>541</v>
      </c>
      <c r="E438" s="179">
        <v>31730334</v>
      </c>
      <c r="F438" s="179">
        <v>31730334</v>
      </c>
      <c r="G438" s="179">
        <v>0</v>
      </c>
      <c r="H438" s="179">
        <v>0</v>
      </c>
      <c r="I438" s="179">
        <v>410517</v>
      </c>
      <c r="J438" s="179">
        <v>0</v>
      </c>
      <c r="K438" s="179">
        <v>0</v>
      </c>
      <c r="L438" s="179">
        <v>0</v>
      </c>
      <c r="M438" s="179">
        <v>31319817</v>
      </c>
      <c r="N438" s="183">
        <v>-410517</v>
      </c>
    </row>
    <row r="439" spans="1:14" s="156" customFormat="1" x14ac:dyDescent="0.25">
      <c r="A439" s="156" t="s">
        <v>547</v>
      </c>
      <c r="B439" s="156" t="s">
        <v>168</v>
      </c>
      <c r="C439" s="156" t="s">
        <v>169</v>
      </c>
      <c r="D439" s="156" t="s">
        <v>541</v>
      </c>
      <c r="E439" s="179">
        <v>31730334</v>
      </c>
      <c r="F439" s="179">
        <v>31730334</v>
      </c>
      <c r="G439" s="179">
        <v>0</v>
      </c>
      <c r="H439" s="179">
        <v>0</v>
      </c>
      <c r="I439" s="179">
        <v>410517</v>
      </c>
      <c r="J439" s="179">
        <v>0</v>
      </c>
      <c r="K439" s="179">
        <v>0</v>
      </c>
      <c r="L439" s="179">
        <v>0</v>
      </c>
      <c r="M439" s="179">
        <v>31319817</v>
      </c>
      <c r="N439" s="183">
        <v>-410517</v>
      </c>
    </row>
    <row r="440" spans="1:14" s="156" customFormat="1" x14ac:dyDescent="0.25">
      <c r="A440" s="156" t="s">
        <v>547</v>
      </c>
      <c r="B440" s="156" t="s">
        <v>170</v>
      </c>
      <c r="C440" s="156" t="s">
        <v>171</v>
      </c>
      <c r="D440" s="156" t="s">
        <v>541</v>
      </c>
      <c r="E440" s="179">
        <v>31730334</v>
      </c>
      <c r="F440" s="179">
        <v>31730334</v>
      </c>
      <c r="G440" s="179">
        <v>0</v>
      </c>
      <c r="H440" s="179">
        <v>0</v>
      </c>
      <c r="I440" s="179">
        <v>410517</v>
      </c>
      <c r="J440" s="179">
        <v>0</v>
      </c>
      <c r="K440" s="179">
        <v>0</v>
      </c>
      <c r="L440" s="179">
        <v>0</v>
      </c>
      <c r="M440" s="179">
        <v>31319817</v>
      </c>
      <c r="N440" s="183">
        <v>-410517</v>
      </c>
    </row>
    <row r="441" spans="1:14" s="156" customFormat="1" x14ac:dyDescent="0.25">
      <c r="A441" s="156" t="s">
        <v>547</v>
      </c>
      <c r="B441" s="156" t="s">
        <v>251</v>
      </c>
      <c r="C441" s="156" t="s">
        <v>252</v>
      </c>
      <c r="D441" s="156" t="s">
        <v>541</v>
      </c>
      <c r="E441" s="179">
        <v>492565000</v>
      </c>
      <c r="F441" s="179">
        <v>492565000</v>
      </c>
      <c r="G441" s="179">
        <v>285583369</v>
      </c>
      <c r="H441" s="179">
        <v>0</v>
      </c>
      <c r="I441" s="179">
        <v>175710042.77000001</v>
      </c>
      <c r="J441" s="179">
        <v>0</v>
      </c>
      <c r="K441" s="179">
        <v>59285301.030000001</v>
      </c>
      <c r="L441" s="179">
        <v>59285301.030000001</v>
      </c>
      <c r="M441" s="179">
        <v>257569656.19999999</v>
      </c>
      <c r="N441" s="179">
        <v>50588025.200000003</v>
      </c>
    </row>
    <row r="442" spans="1:14" s="156" customFormat="1" x14ac:dyDescent="0.25">
      <c r="A442" s="156" t="s">
        <v>547</v>
      </c>
      <c r="B442" s="156" t="s">
        <v>253</v>
      </c>
      <c r="C442" s="156" t="s">
        <v>254</v>
      </c>
      <c r="D442" s="156" t="s">
        <v>541</v>
      </c>
      <c r="E442" s="179">
        <v>154788000</v>
      </c>
      <c r="F442" s="179">
        <v>154788000</v>
      </c>
      <c r="G442" s="179">
        <v>154788000</v>
      </c>
      <c r="H442" s="179">
        <v>0</v>
      </c>
      <c r="I442" s="179">
        <v>131467380.88</v>
      </c>
      <c r="J442" s="179">
        <v>0</v>
      </c>
      <c r="K442" s="179">
        <v>23320619.120000001</v>
      </c>
      <c r="L442" s="179">
        <v>23320619.120000001</v>
      </c>
      <c r="M442" s="179">
        <v>0</v>
      </c>
      <c r="N442" s="179">
        <v>0</v>
      </c>
    </row>
    <row r="443" spans="1:14" s="156" customFormat="1" x14ac:dyDescent="0.25">
      <c r="A443" s="156" t="s">
        <v>547</v>
      </c>
      <c r="B443" s="156" t="s">
        <v>389</v>
      </c>
      <c r="C443" s="156" t="s">
        <v>602</v>
      </c>
      <c r="D443" s="156" t="s">
        <v>541</v>
      </c>
      <c r="E443" s="179">
        <v>128817000</v>
      </c>
      <c r="F443" s="179">
        <v>128817000</v>
      </c>
      <c r="G443" s="179">
        <v>128817000</v>
      </c>
      <c r="H443" s="179">
        <v>0</v>
      </c>
      <c r="I443" s="179">
        <v>111052314.11</v>
      </c>
      <c r="J443" s="179">
        <v>0</v>
      </c>
      <c r="K443" s="179">
        <v>17764685.890000001</v>
      </c>
      <c r="L443" s="179">
        <v>17764685.890000001</v>
      </c>
      <c r="M443" s="179">
        <v>0</v>
      </c>
      <c r="N443" s="179">
        <v>0</v>
      </c>
    </row>
    <row r="444" spans="1:14" s="156" customFormat="1" x14ac:dyDescent="0.25">
      <c r="A444" s="156" t="s">
        <v>547</v>
      </c>
      <c r="B444" s="156" t="s">
        <v>390</v>
      </c>
      <c r="C444" s="156" t="s">
        <v>603</v>
      </c>
      <c r="D444" s="156" t="s">
        <v>541</v>
      </c>
      <c r="E444" s="179">
        <v>25971000</v>
      </c>
      <c r="F444" s="179">
        <v>25971000</v>
      </c>
      <c r="G444" s="179">
        <v>25971000</v>
      </c>
      <c r="H444" s="179">
        <v>0</v>
      </c>
      <c r="I444" s="179">
        <v>20415066.77</v>
      </c>
      <c r="J444" s="179">
        <v>0</v>
      </c>
      <c r="K444" s="179">
        <v>5555933.2300000004</v>
      </c>
      <c r="L444" s="179">
        <v>5555933.2300000004</v>
      </c>
      <c r="M444" s="179">
        <v>0</v>
      </c>
      <c r="N444" s="179">
        <v>0</v>
      </c>
    </row>
    <row r="445" spans="1:14" s="156" customFormat="1" x14ac:dyDescent="0.25">
      <c r="A445" s="156" t="s">
        <v>547</v>
      </c>
      <c r="B445" s="156" t="s">
        <v>261</v>
      </c>
      <c r="C445" s="156" t="s">
        <v>262</v>
      </c>
      <c r="D445" s="156" t="s">
        <v>541</v>
      </c>
      <c r="E445" s="179">
        <v>312777000</v>
      </c>
      <c r="F445" s="179">
        <v>312777000</v>
      </c>
      <c r="G445" s="179">
        <v>124545369</v>
      </c>
      <c r="H445" s="179">
        <v>0</v>
      </c>
      <c r="I445" s="179">
        <v>38035916.829999998</v>
      </c>
      <c r="J445" s="179">
        <v>0</v>
      </c>
      <c r="K445" s="179">
        <v>35921426.969999999</v>
      </c>
      <c r="L445" s="179">
        <v>35921426.969999999</v>
      </c>
      <c r="M445" s="179">
        <v>238819656.19999999</v>
      </c>
      <c r="N445" s="179">
        <v>50588025.200000003</v>
      </c>
    </row>
    <row r="446" spans="1:14" s="156" customFormat="1" x14ac:dyDescent="0.25">
      <c r="A446" s="156" t="s">
        <v>547</v>
      </c>
      <c r="B446" s="156" t="s">
        <v>263</v>
      </c>
      <c r="C446" s="156" t="s">
        <v>264</v>
      </c>
      <c r="D446" s="156" t="s">
        <v>541</v>
      </c>
      <c r="E446" s="179">
        <v>239389000</v>
      </c>
      <c r="F446" s="179">
        <v>239389000</v>
      </c>
      <c r="G446" s="179">
        <v>67779834</v>
      </c>
      <c r="H446" s="179">
        <v>0</v>
      </c>
      <c r="I446" s="179">
        <v>38035916.829999998</v>
      </c>
      <c r="J446" s="179">
        <v>0</v>
      </c>
      <c r="K446" s="179">
        <v>29743915.170000002</v>
      </c>
      <c r="L446" s="179">
        <v>29743915.170000002</v>
      </c>
      <c r="M446" s="179">
        <v>171609168</v>
      </c>
      <c r="N446" s="179">
        <v>2</v>
      </c>
    </row>
    <row r="447" spans="1:14" s="156" customFormat="1" x14ac:dyDescent="0.25">
      <c r="A447" s="156" t="s">
        <v>547</v>
      </c>
      <c r="B447" s="156" t="s">
        <v>265</v>
      </c>
      <c r="C447" s="156" t="s">
        <v>266</v>
      </c>
      <c r="D447" s="156" t="s">
        <v>541</v>
      </c>
      <c r="E447" s="179">
        <v>73388000</v>
      </c>
      <c r="F447" s="179">
        <v>73388000</v>
      </c>
      <c r="G447" s="179">
        <v>56765535</v>
      </c>
      <c r="H447" s="179">
        <v>0</v>
      </c>
      <c r="I447" s="179">
        <v>0</v>
      </c>
      <c r="J447" s="179">
        <v>0</v>
      </c>
      <c r="K447" s="179">
        <v>6177511.7999999998</v>
      </c>
      <c r="L447" s="179">
        <v>6177511.7999999998</v>
      </c>
      <c r="M447" s="179">
        <v>67210488.200000003</v>
      </c>
      <c r="N447" s="179">
        <v>50588023.200000003</v>
      </c>
    </row>
    <row r="448" spans="1:14" s="156" customFormat="1" x14ac:dyDescent="0.25">
      <c r="A448" s="156" t="s">
        <v>547</v>
      </c>
      <c r="B448" s="156" t="s">
        <v>267</v>
      </c>
      <c r="C448" s="156" t="s">
        <v>268</v>
      </c>
      <c r="D448" s="156" t="s">
        <v>541</v>
      </c>
      <c r="E448" s="179">
        <v>25000000</v>
      </c>
      <c r="F448" s="179">
        <v>25000000</v>
      </c>
      <c r="G448" s="179">
        <v>6250000</v>
      </c>
      <c r="H448" s="179">
        <v>0</v>
      </c>
      <c r="I448" s="179">
        <v>6206745.0599999996</v>
      </c>
      <c r="J448" s="179">
        <v>0</v>
      </c>
      <c r="K448" s="179">
        <v>43254.94</v>
      </c>
      <c r="L448" s="179">
        <v>43254.94</v>
      </c>
      <c r="M448" s="179">
        <v>18750000</v>
      </c>
      <c r="N448" s="179">
        <v>0</v>
      </c>
    </row>
    <row r="449" spans="1:14" s="156" customFormat="1" x14ac:dyDescent="0.25">
      <c r="A449" s="156" t="s">
        <v>547</v>
      </c>
      <c r="B449" s="156" t="s">
        <v>269</v>
      </c>
      <c r="C449" s="156" t="s">
        <v>270</v>
      </c>
      <c r="D449" s="156" t="s">
        <v>541</v>
      </c>
      <c r="E449" s="179">
        <v>10000000</v>
      </c>
      <c r="F449" s="179">
        <v>10000000</v>
      </c>
      <c r="G449" s="179">
        <v>2500000</v>
      </c>
      <c r="H449" s="179">
        <v>0</v>
      </c>
      <c r="I449" s="179">
        <v>2500000</v>
      </c>
      <c r="J449" s="179">
        <v>0</v>
      </c>
      <c r="K449" s="179">
        <v>0</v>
      </c>
      <c r="L449" s="179">
        <v>0</v>
      </c>
      <c r="M449" s="179">
        <v>7500000</v>
      </c>
      <c r="N449" s="179">
        <v>0</v>
      </c>
    </row>
    <row r="450" spans="1:14" s="156" customFormat="1" x14ac:dyDescent="0.25">
      <c r="A450" s="156" t="s">
        <v>547</v>
      </c>
      <c r="B450" s="156" t="s">
        <v>271</v>
      </c>
      <c r="C450" s="156" t="s">
        <v>272</v>
      </c>
      <c r="D450" s="156" t="s">
        <v>541</v>
      </c>
      <c r="E450" s="179">
        <v>15000000</v>
      </c>
      <c r="F450" s="179">
        <v>15000000</v>
      </c>
      <c r="G450" s="179">
        <v>3750000</v>
      </c>
      <c r="H450" s="179">
        <v>0</v>
      </c>
      <c r="I450" s="179">
        <v>3706745.06</v>
      </c>
      <c r="J450" s="179">
        <v>0</v>
      </c>
      <c r="K450" s="179">
        <v>43254.94</v>
      </c>
      <c r="L450" s="179">
        <v>43254.94</v>
      </c>
      <c r="M450" s="179">
        <v>11250000</v>
      </c>
      <c r="N450" s="179">
        <v>0</v>
      </c>
    </row>
    <row r="451" spans="1:14" s="156" customFormat="1" x14ac:dyDescent="0.25">
      <c r="A451" s="180" t="s">
        <v>587</v>
      </c>
      <c r="B451" s="180" t="s">
        <v>587</v>
      </c>
      <c r="C451" s="180" t="s">
        <v>587</v>
      </c>
      <c r="D451" s="180" t="s">
        <v>587</v>
      </c>
      <c r="E451" s="181">
        <v>675435665000</v>
      </c>
      <c r="F451" s="181">
        <v>675435665000</v>
      </c>
      <c r="G451" s="181">
        <v>532512515449.25</v>
      </c>
      <c r="H451" s="181">
        <v>3995278190.1500001</v>
      </c>
      <c r="I451" s="181">
        <v>90892176252</v>
      </c>
      <c r="J451" s="181">
        <v>909446608.29999995</v>
      </c>
      <c r="K451" s="181">
        <v>109478381908.75</v>
      </c>
      <c r="L451" s="181">
        <v>103903470100.89999</v>
      </c>
      <c r="M451" s="181">
        <v>470160382040.79999</v>
      </c>
      <c r="N451" s="181">
        <v>327237232490.04999</v>
      </c>
    </row>
  </sheetData>
  <conditionalFormatting sqref="K2:K45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ED49-C266-4A37-AB42-B6BE678121FA}">
  <dimension ref="A1:N475"/>
  <sheetViews>
    <sheetView workbookViewId="0">
      <selection activeCell="K3" sqref="K3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138283902690</v>
      </c>
      <c r="F2" s="179">
        <v>134302218983</v>
      </c>
      <c r="G2" s="179">
        <v>134296244482</v>
      </c>
      <c r="H2" s="179">
        <v>0</v>
      </c>
      <c r="I2" s="179">
        <v>3940029257.7199998</v>
      </c>
      <c r="J2" s="179">
        <v>0</v>
      </c>
      <c r="K2" s="179">
        <v>123842516565.67</v>
      </c>
      <c r="L2" s="179">
        <v>118856946867.02</v>
      </c>
      <c r="M2" s="179">
        <v>6519673159.6099997</v>
      </c>
      <c r="N2" s="179">
        <v>6513698658.6099997</v>
      </c>
    </row>
    <row r="3" spans="1:14" s="156" customFormat="1" x14ac:dyDescent="0.25">
      <c r="A3" s="156">
        <v>214779</v>
      </c>
      <c r="B3" s="156" t="s">
        <v>587</v>
      </c>
      <c r="C3" s="156" t="s">
        <v>587</v>
      </c>
      <c r="D3" s="156" t="s">
        <v>541</v>
      </c>
      <c r="E3" s="179">
        <v>2837761000</v>
      </c>
      <c r="F3" s="179">
        <v>2608813216</v>
      </c>
      <c r="G3" s="179">
        <v>2608813216</v>
      </c>
      <c r="H3" s="179">
        <v>0</v>
      </c>
      <c r="I3" s="179">
        <v>36261843.689999998</v>
      </c>
      <c r="J3" s="179">
        <v>0</v>
      </c>
      <c r="K3" s="182">
        <v>2334886845.4299998</v>
      </c>
      <c r="L3" s="179">
        <v>2285270006.3699999</v>
      </c>
      <c r="M3" s="179">
        <v>237664526.88</v>
      </c>
      <c r="N3" s="179">
        <v>237664526.88</v>
      </c>
    </row>
    <row r="4" spans="1:14" s="156" customFormat="1" x14ac:dyDescent="0.25">
      <c r="A4" s="156" t="s">
        <v>542</v>
      </c>
      <c r="B4" s="156" t="s">
        <v>92</v>
      </c>
      <c r="C4" s="156" t="s">
        <v>93</v>
      </c>
      <c r="D4" s="156" t="s">
        <v>541</v>
      </c>
      <c r="E4" s="179">
        <v>1576957000</v>
      </c>
      <c r="F4" s="179">
        <v>1380844650</v>
      </c>
      <c r="G4" s="179">
        <v>1380844650</v>
      </c>
      <c r="H4" s="179">
        <v>0</v>
      </c>
      <c r="I4" s="179">
        <v>0</v>
      </c>
      <c r="J4" s="179">
        <v>0</v>
      </c>
      <c r="K4" s="179">
        <v>1253172385.3099999</v>
      </c>
      <c r="L4" s="179">
        <v>1253172385.3099999</v>
      </c>
      <c r="M4" s="179">
        <v>127672264.69</v>
      </c>
      <c r="N4" s="179">
        <v>127672264.69</v>
      </c>
    </row>
    <row r="5" spans="1:14" s="156" customFormat="1" x14ac:dyDescent="0.25">
      <c r="A5" s="156" t="s">
        <v>542</v>
      </c>
      <c r="B5" s="156" t="s">
        <v>94</v>
      </c>
      <c r="C5" s="156" t="s">
        <v>95</v>
      </c>
      <c r="D5" s="156" t="s">
        <v>541</v>
      </c>
      <c r="E5" s="179">
        <v>611601000</v>
      </c>
      <c r="F5" s="179">
        <v>561866650</v>
      </c>
      <c r="G5" s="179">
        <v>561866650</v>
      </c>
      <c r="H5" s="179">
        <v>0</v>
      </c>
      <c r="I5" s="179">
        <v>0</v>
      </c>
      <c r="J5" s="179">
        <v>0</v>
      </c>
      <c r="K5" s="179">
        <v>491925013.44999999</v>
      </c>
      <c r="L5" s="179">
        <v>491925013.44999999</v>
      </c>
      <c r="M5" s="179">
        <v>69941636.549999997</v>
      </c>
      <c r="N5" s="179">
        <v>69941636.549999997</v>
      </c>
    </row>
    <row r="6" spans="1:14" s="156" customFormat="1" x14ac:dyDescent="0.25">
      <c r="A6" s="156" t="s">
        <v>542</v>
      </c>
      <c r="B6" s="156" t="s">
        <v>96</v>
      </c>
      <c r="C6" s="156" t="s">
        <v>97</v>
      </c>
      <c r="D6" s="156" t="s">
        <v>541</v>
      </c>
      <c r="E6" s="179">
        <v>611601000</v>
      </c>
      <c r="F6" s="179">
        <v>561866650</v>
      </c>
      <c r="G6" s="179">
        <v>561866650</v>
      </c>
      <c r="H6" s="179">
        <v>0</v>
      </c>
      <c r="I6" s="179">
        <v>0</v>
      </c>
      <c r="J6" s="179">
        <v>0</v>
      </c>
      <c r="K6" s="179">
        <v>491925013.44999999</v>
      </c>
      <c r="L6" s="179">
        <v>491925013.44999999</v>
      </c>
      <c r="M6" s="179">
        <v>69941636.549999997</v>
      </c>
      <c r="N6" s="179">
        <v>69941636.549999997</v>
      </c>
    </row>
    <row r="7" spans="1:14" s="156" customFormat="1" x14ac:dyDescent="0.25">
      <c r="A7" s="156" t="s">
        <v>542</v>
      </c>
      <c r="B7" s="156" t="s">
        <v>102</v>
      </c>
      <c r="C7" s="156" t="s">
        <v>103</v>
      </c>
      <c r="D7" s="156" t="s">
        <v>541</v>
      </c>
      <c r="E7" s="179">
        <v>726302000</v>
      </c>
      <c r="F7" s="179">
        <v>604862000</v>
      </c>
      <c r="G7" s="179">
        <v>604862000</v>
      </c>
      <c r="H7" s="179">
        <v>0</v>
      </c>
      <c r="I7" s="179">
        <v>0</v>
      </c>
      <c r="J7" s="179">
        <v>0</v>
      </c>
      <c r="K7" s="179">
        <v>569988187.86000001</v>
      </c>
      <c r="L7" s="179">
        <v>569988187.86000001</v>
      </c>
      <c r="M7" s="179">
        <v>34873812.140000001</v>
      </c>
      <c r="N7" s="179">
        <v>34873812.140000001</v>
      </c>
    </row>
    <row r="8" spans="1:14" s="156" customFormat="1" x14ac:dyDescent="0.25">
      <c r="A8" s="156" t="s">
        <v>542</v>
      </c>
      <c r="B8" s="156" t="s">
        <v>104</v>
      </c>
      <c r="C8" s="156" t="s">
        <v>105</v>
      </c>
      <c r="D8" s="156" t="s">
        <v>541</v>
      </c>
      <c r="E8" s="179">
        <v>167585000</v>
      </c>
      <c r="F8" s="179">
        <v>123085000</v>
      </c>
      <c r="G8" s="179">
        <v>123085000</v>
      </c>
      <c r="H8" s="179">
        <v>0</v>
      </c>
      <c r="I8" s="179">
        <v>0</v>
      </c>
      <c r="J8" s="179">
        <v>0</v>
      </c>
      <c r="K8" s="179">
        <v>113626374.72</v>
      </c>
      <c r="L8" s="179">
        <v>113626374.72</v>
      </c>
      <c r="M8" s="179">
        <v>9458625.2799999993</v>
      </c>
      <c r="N8" s="179">
        <v>9458625.2799999993</v>
      </c>
    </row>
    <row r="9" spans="1:14" s="156" customFormat="1" x14ac:dyDescent="0.25">
      <c r="A9" s="156" t="s">
        <v>542</v>
      </c>
      <c r="B9" s="156" t="s">
        <v>106</v>
      </c>
      <c r="C9" s="156" t="s">
        <v>107</v>
      </c>
      <c r="D9" s="156" t="s">
        <v>541</v>
      </c>
      <c r="E9" s="179">
        <v>320119000</v>
      </c>
      <c r="F9" s="179">
        <v>264319000</v>
      </c>
      <c r="G9" s="179">
        <v>264319000</v>
      </c>
      <c r="H9" s="179">
        <v>0</v>
      </c>
      <c r="I9" s="179">
        <v>0</v>
      </c>
      <c r="J9" s="179">
        <v>0</v>
      </c>
      <c r="K9" s="179">
        <v>246796649.41</v>
      </c>
      <c r="L9" s="179">
        <v>246796649.41</v>
      </c>
      <c r="M9" s="179">
        <v>17522350.59</v>
      </c>
      <c r="N9" s="179">
        <v>17522350.59</v>
      </c>
    </row>
    <row r="10" spans="1:14" s="156" customFormat="1" x14ac:dyDescent="0.25">
      <c r="A10" s="156" t="s">
        <v>542</v>
      </c>
      <c r="B10" s="156" t="s">
        <v>108</v>
      </c>
      <c r="C10" s="156" t="s">
        <v>109</v>
      </c>
      <c r="D10" s="156" t="s">
        <v>541</v>
      </c>
      <c r="E10" s="179">
        <v>83553000</v>
      </c>
      <c r="F10" s="179">
        <v>85053000</v>
      </c>
      <c r="G10" s="179">
        <v>85053000</v>
      </c>
      <c r="H10" s="179">
        <v>0</v>
      </c>
      <c r="I10" s="179">
        <v>0</v>
      </c>
      <c r="J10" s="179">
        <v>0</v>
      </c>
      <c r="K10" s="179">
        <v>84044163.719999999</v>
      </c>
      <c r="L10" s="179">
        <v>84044163.719999999</v>
      </c>
      <c r="M10" s="179">
        <v>1008836.28</v>
      </c>
      <c r="N10" s="179">
        <v>1008836.28</v>
      </c>
    </row>
    <row r="11" spans="1:14" s="156" customFormat="1" x14ac:dyDescent="0.25">
      <c r="A11" s="156" t="s">
        <v>542</v>
      </c>
      <c r="B11" s="156" t="s">
        <v>110</v>
      </c>
      <c r="C11" s="156" t="s">
        <v>111</v>
      </c>
      <c r="D11" s="156" t="s">
        <v>541</v>
      </c>
      <c r="E11" s="179">
        <v>53833000</v>
      </c>
      <c r="F11" s="179">
        <v>44833000</v>
      </c>
      <c r="G11" s="179">
        <v>44833000</v>
      </c>
      <c r="H11" s="179">
        <v>0</v>
      </c>
      <c r="I11" s="179">
        <v>0</v>
      </c>
      <c r="J11" s="179">
        <v>0</v>
      </c>
      <c r="K11" s="179">
        <v>41485882.520000003</v>
      </c>
      <c r="L11" s="179">
        <v>41485882.520000003</v>
      </c>
      <c r="M11" s="179">
        <v>3347117.48</v>
      </c>
      <c r="N11" s="179">
        <v>3347117.48</v>
      </c>
    </row>
    <row r="12" spans="1:14" s="156" customFormat="1" x14ac:dyDescent="0.25">
      <c r="A12" s="156" t="s">
        <v>542</v>
      </c>
      <c r="B12" s="156" t="s">
        <v>112</v>
      </c>
      <c r="C12" s="156" t="s">
        <v>113</v>
      </c>
      <c r="D12" s="156" t="s">
        <v>543</v>
      </c>
      <c r="E12" s="179">
        <v>101212000</v>
      </c>
      <c r="F12" s="179">
        <v>87572000</v>
      </c>
      <c r="G12" s="179">
        <v>87572000</v>
      </c>
      <c r="H12" s="179">
        <v>0</v>
      </c>
      <c r="I12" s="179">
        <v>0</v>
      </c>
      <c r="J12" s="179">
        <v>0</v>
      </c>
      <c r="K12" s="179">
        <v>84035117.489999995</v>
      </c>
      <c r="L12" s="179">
        <v>84035117.489999995</v>
      </c>
      <c r="M12" s="179">
        <v>3536882.51</v>
      </c>
      <c r="N12" s="179">
        <v>3536882.51</v>
      </c>
    </row>
    <row r="13" spans="1:14" s="156" customFormat="1" x14ac:dyDescent="0.25">
      <c r="A13" s="156" t="s">
        <v>542</v>
      </c>
      <c r="B13" s="156" t="s">
        <v>114</v>
      </c>
      <c r="C13" s="156" t="s">
        <v>115</v>
      </c>
      <c r="D13" s="156" t="s">
        <v>541</v>
      </c>
      <c r="E13" s="179">
        <v>120578000</v>
      </c>
      <c r="F13" s="179">
        <v>107930000</v>
      </c>
      <c r="G13" s="179">
        <v>107930000</v>
      </c>
      <c r="H13" s="179">
        <v>0</v>
      </c>
      <c r="I13" s="179">
        <v>0</v>
      </c>
      <c r="J13" s="179">
        <v>0</v>
      </c>
      <c r="K13" s="179">
        <v>96470600</v>
      </c>
      <c r="L13" s="179">
        <v>96470600</v>
      </c>
      <c r="M13" s="179">
        <v>11459400</v>
      </c>
      <c r="N13" s="179">
        <v>11459400</v>
      </c>
    </row>
    <row r="14" spans="1:14" s="156" customFormat="1" x14ac:dyDescent="0.25">
      <c r="A14" s="156" t="s">
        <v>542</v>
      </c>
      <c r="B14" s="156" t="s">
        <v>116</v>
      </c>
      <c r="C14" s="156" t="s">
        <v>620</v>
      </c>
      <c r="D14" s="156" t="s">
        <v>541</v>
      </c>
      <c r="E14" s="179">
        <v>114394000</v>
      </c>
      <c r="F14" s="179">
        <v>102394000</v>
      </c>
      <c r="G14" s="179">
        <v>102394000</v>
      </c>
      <c r="H14" s="179">
        <v>0</v>
      </c>
      <c r="I14" s="179">
        <v>0</v>
      </c>
      <c r="J14" s="179">
        <v>0</v>
      </c>
      <c r="K14" s="179">
        <v>91523398</v>
      </c>
      <c r="L14" s="179">
        <v>91523398</v>
      </c>
      <c r="M14" s="179">
        <v>10870602</v>
      </c>
      <c r="N14" s="179">
        <v>10870602</v>
      </c>
    </row>
    <row r="15" spans="1:14" s="156" customFormat="1" x14ac:dyDescent="0.25">
      <c r="A15" s="156" t="s">
        <v>542</v>
      </c>
      <c r="B15" s="156" t="s">
        <v>117</v>
      </c>
      <c r="C15" s="156" t="s">
        <v>583</v>
      </c>
      <c r="D15" s="156" t="s">
        <v>541</v>
      </c>
      <c r="E15" s="179">
        <v>6184000</v>
      </c>
      <c r="F15" s="179">
        <v>5536000</v>
      </c>
      <c r="G15" s="179">
        <v>5536000</v>
      </c>
      <c r="H15" s="179">
        <v>0</v>
      </c>
      <c r="I15" s="179">
        <v>0</v>
      </c>
      <c r="J15" s="179">
        <v>0</v>
      </c>
      <c r="K15" s="179">
        <v>4947202</v>
      </c>
      <c r="L15" s="179">
        <v>4947202</v>
      </c>
      <c r="M15" s="179">
        <v>588798</v>
      </c>
      <c r="N15" s="179">
        <v>588798</v>
      </c>
    </row>
    <row r="16" spans="1:14" s="156" customFormat="1" x14ac:dyDescent="0.25">
      <c r="A16" s="156" t="s">
        <v>542</v>
      </c>
      <c r="B16" s="156" t="s">
        <v>118</v>
      </c>
      <c r="C16" s="156" t="s">
        <v>119</v>
      </c>
      <c r="D16" s="156" t="s">
        <v>541</v>
      </c>
      <c r="E16" s="179">
        <v>118476000</v>
      </c>
      <c r="F16" s="179">
        <v>106186000</v>
      </c>
      <c r="G16" s="179">
        <v>106186000</v>
      </c>
      <c r="H16" s="179">
        <v>0</v>
      </c>
      <c r="I16" s="179">
        <v>0</v>
      </c>
      <c r="J16" s="179">
        <v>0</v>
      </c>
      <c r="K16" s="179">
        <v>94788584</v>
      </c>
      <c r="L16" s="179">
        <v>94788584</v>
      </c>
      <c r="M16" s="179">
        <v>11397416</v>
      </c>
      <c r="N16" s="179">
        <v>11397416</v>
      </c>
    </row>
    <row r="17" spans="1:14" s="156" customFormat="1" x14ac:dyDescent="0.25">
      <c r="A17" s="156" t="s">
        <v>542</v>
      </c>
      <c r="B17" s="156" t="s">
        <v>120</v>
      </c>
      <c r="C17" s="156" t="s">
        <v>621</v>
      </c>
      <c r="D17" s="156" t="s">
        <v>541</v>
      </c>
      <c r="E17" s="179">
        <v>62824000</v>
      </c>
      <c r="F17" s="179">
        <v>56274000</v>
      </c>
      <c r="G17" s="179">
        <v>56274000</v>
      </c>
      <c r="H17" s="179">
        <v>0</v>
      </c>
      <c r="I17" s="179">
        <v>0</v>
      </c>
      <c r="J17" s="179">
        <v>0</v>
      </c>
      <c r="K17" s="179">
        <v>50263662</v>
      </c>
      <c r="L17" s="179">
        <v>50263662</v>
      </c>
      <c r="M17" s="179">
        <v>6010338</v>
      </c>
      <c r="N17" s="179">
        <v>6010338</v>
      </c>
    </row>
    <row r="18" spans="1:14" s="156" customFormat="1" x14ac:dyDescent="0.25">
      <c r="A18" s="156" t="s">
        <v>542</v>
      </c>
      <c r="B18" s="156" t="s">
        <v>121</v>
      </c>
      <c r="C18" s="156" t="s">
        <v>622</v>
      </c>
      <c r="D18" s="156" t="s">
        <v>541</v>
      </c>
      <c r="E18" s="179">
        <v>18551000</v>
      </c>
      <c r="F18" s="179">
        <v>16641000</v>
      </c>
      <c r="G18" s="179">
        <v>16641000</v>
      </c>
      <c r="H18" s="179">
        <v>0</v>
      </c>
      <c r="I18" s="179">
        <v>0</v>
      </c>
      <c r="J18" s="179">
        <v>0</v>
      </c>
      <c r="K18" s="179">
        <v>14841656</v>
      </c>
      <c r="L18" s="179">
        <v>14841656</v>
      </c>
      <c r="M18" s="179">
        <v>1799344</v>
      </c>
      <c r="N18" s="179">
        <v>1799344</v>
      </c>
    </row>
    <row r="19" spans="1:14" s="156" customFormat="1" x14ac:dyDescent="0.25">
      <c r="A19" s="156" t="s">
        <v>542</v>
      </c>
      <c r="B19" s="156" t="s">
        <v>122</v>
      </c>
      <c r="C19" s="156" t="s">
        <v>623</v>
      </c>
      <c r="D19" s="156" t="s">
        <v>541</v>
      </c>
      <c r="E19" s="179">
        <v>37101000</v>
      </c>
      <c r="F19" s="179">
        <v>33271000</v>
      </c>
      <c r="G19" s="179">
        <v>33271000</v>
      </c>
      <c r="H19" s="179">
        <v>0</v>
      </c>
      <c r="I19" s="179">
        <v>0</v>
      </c>
      <c r="J19" s="179">
        <v>0</v>
      </c>
      <c r="K19" s="179">
        <v>29683266</v>
      </c>
      <c r="L19" s="179">
        <v>29683266</v>
      </c>
      <c r="M19" s="179">
        <v>3587734</v>
      </c>
      <c r="N19" s="179">
        <v>3587734</v>
      </c>
    </row>
    <row r="20" spans="1:14" s="156" customFormat="1" x14ac:dyDescent="0.25">
      <c r="A20" s="156" t="s">
        <v>542</v>
      </c>
      <c r="B20" s="156" t="s">
        <v>123</v>
      </c>
      <c r="C20" s="156" t="s">
        <v>124</v>
      </c>
      <c r="D20" s="156" t="s">
        <v>541</v>
      </c>
      <c r="E20" s="179">
        <v>428982000</v>
      </c>
      <c r="F20" s="179">
        <v>395995580</v>
      </c>
      <c r="G20" s="179">
        <v>395995580</v>
      </c>
      <c r="H20" s="179">
        <v>0</v>
      </c>
      <c r="I20" s="179">
        <v>34616931.890000001</v>
      </c>
      <c r="J20" s="179">
        <v>0</v>
      </c>
      <c r="K20" s="179">
        <v>316936556.88</v>
      </c>
      <c r="L20" s="179">
        <v>268601795.60000002</v>
      </c>
      <c r="M20" s="179">
        <v>44442091.229999997</v>
      </c>
      <c r="N20" s="179">
        <v>44442091.229999997</v>
      </c>
    </row>
    <row r="21" spans="1:14" s="156" customFormat="1" x14ac:dyDescent="0.25">
      <c r="A21" s="156" t="s">
        <v>542</v>
      </c>
      <c r="B21" s="156" t="s">
        <v>125</v>
      </c>
      <c r="C21" s="156" t="s">
        <v>126</v>
      </c>
      <c r="D21" s="156" t="s">
        <v>541</v>
      </c>
      <c r="E21" s="179">
        <v>155080000</v>
      </c>
      <c r="F21" s="179">
        <v>148786375</v>
      </c>
      <c r="G21" s="179">
        <v>148786375</v>
      </c>
      <c r="H21" s="179">
        <v>0</v>
      </c>
      <c r="I21" s="179">
        <v>10056255.789999999</v>
      </c>
      <c r="J21" s="179">
        <v>0</v>
      </c>
      <c r="K21" s="179">
        <v>128132648.91</v>
      </c>
      <c r="L21" s="179">
        <v>101233318.33</v>
      </c>
      <c r="M21" s="179">
        <v>10597470.300000001</v>
      </c>
      <c r="N21" s="179">
        <v>10597470.300000001</v>
      </c>
    </row>
    <row r="22" spans="1:14" s="156" customFormat="1" x14ac:dyDescent="0.25">
      <c r="A22" s="156" t="s">
        <v>542</v>
      </c>
      <c r="B22" s="156" t="s">
        <v>127</v>
      </c>
      <c r="C22" s="156" t="s">
        <v>128</v>
      </c>
      <c r="D22" s="156" t="s">
        <v>541</v>
      </c>
      <c r="E22" s="179">
        <v>155000000</v>
      </c>
      <c r="F22" s="179">
        <v>148715000</v>
      </c>
      <c r="G22" s="179">
        <v>148715000</v>
      </c>
      <c r="H22" s="179">
        <v>0</v>
      </c>
      <c r="I22" s="179">
        <v>10056255.789999999</v>
      </c>
      <c r="J22" s="179">
        <v>0</v>
      </c>
      <c r="K22" s="179">
        <v>128061273.91</v>
      </c>
      <c r="L22" s="179">
        <v>101161943.33</v>
      </c>
      <c r="M22" s="179">
        <v>10597470.300000001</v>
      </c>
      <c r="N22" s="179">
        <v>10597470.300000001</v>
      </c>
    </row>
    <row r="23" spans="1:14" s="156" customFormat="1" x14ac:dyDescent="0.25">
      <c r="A23" s="156" t="s">
        <v>542</v>
      </c>
      <c r="B23" s="156" t="s">
        <v>129</v>
      </c>
      <c r="C23" s="156" t="s">
        <v>130</v>
      </c>
      <c r="D23" s="156" t="s">
        <v>541</v>
      </c>
      <c r="E23" s="179">
        <v>80000</v>
      </c>
      <c r="F23" s="179">
        <v>71375</v>
      </c>
      <c r="G23" s="179">
        <v>71375</v>
      </c>
      <c r="H23" s="179">
        <v>0</v>
      </c>
      <c r="I23" s="179">
        <v>0</v>
      </c>
      <c r="J23" s="179">
        <v>0</v>
      </c>
      <c r="K23" s="179">
        <v>71375</v>
      </c>
      <c r="L23" s="179">
        <v>71375</v>
      </c>
      <c r="M23" s="179">
        <v>0</v>
      </c>
      <c r="N23" s="179">
        <v>0</v>
      </c>
    </row>
    <row r="24" spans="1:14" s="156" customFormat="1" x14ac:dyDescent="0.25">
      <c r="A24" s="156" t="s">
        <v>542</v>
      </c>
      <c r="B24" s="156" t="s">
        <v>131</v>
      </c>
      <c r="C24" s="156" t="s">
        <v>132</v>
      </c>
      <c r="D24" s="156" t="s">
        <v>541</v>
      </c>
      <c r="E24" s="179">
        <v>148625000</v>
      </c>
      <c r="F24" s="179">
        <v>148375200</v>
      </c>
      <c r="G24" s="179">
        <v>148375200</v>
      </c>
      <c r="H24" s="179">
        <v>0</v>
      </c>
      <c r="I24" s="179">
        <v>18942284.09</v>
      </c>
      <c r="J24" s="179">
        <v>0</v>
      </c>
      <c r="K24" s="179">
        <v>116012315.91</v>
      </c>
      <c r="L24" s="179">
        <v>106548934</v>
      </c>
      <c r="M24" s="179">
        <v>13420600</v>
      </c>
      <c r="N24" s="179">
        <v>13420600</v>
      </c>
    </row>
    <row r="25" spans="1:14" s="156" customFormat="1" x14ac:dyDescent="0.25">
      <c r="A25" s="156" t="s">
        <v>542</v>
      </c>
      <c r="B25" s="156" t="s">
        <v>133</v>
      </c>
      <c r="C25" s="156" t="s">
        <v>134</v>
      </c>
      <c r="D25" s="156" t="s">
        <v>541</v>
      </c>
      <c r="E25" s="179">
        <v>6000000</v>
      </c>
      <c r="F25" s="179">
        <v>6000000</v>
      </c>
      <c r="G25" s="179">
        <v>6000000</v>
      </c>
      <c r="H25" s="179">
        <v>0</v>
      </c>
      <c r="I25" s="179">
        <v>697844</v>
      </c>
      <c r="J25" s="179">
        <v>0</v>
      </c>
      <c r="K25" s="179">
        <v>5302156</v>
      </c>
      <c r="L25" s="179">
        <v>5302156</v>
      </c>
      <c r="M25" s="179">
        <v>0</v>
      </c>
      <c r="N25" s="179">
        <v>0</v>
      </c>
    </row>
    <row r="26" spans="1:14" s="156" customFormat="1" x14ac:dyDescent="0.25">
      <c r="A26" s="156" t="s">
        <v>542</v>
      </c>
      <c r="B26" s="156" t="s">
        <v>135</v>
      </c>
      <c r="C26" s="156" t="s">
        <v>136</v>
      </c>
      <c r="D26" s="156" t="s">
        <v>541</v>
      </c>
      <c r="E26" s="179">
        <v>62000000</v>
      </c>
      <c r="F26" s="179">
        <v>62000000</v>
      </c>
      <c r="G26" s="179">
        <v>62000000</v>
      </c>
      <c r="H26" s="179">
        <v>0</v>
      </c>
      <c r="I26" s="179">
        <v>6157930</v>
      </c>
      <c r="J26" s="179">
        <v>0</v>
      </c>
      <c r="K26" s="179">
        <v>49342070</v>
      </c>
      <c r="L26" s="179">
        <v>45333545</v>
      </c>
      <c r="M26" s="179">
        <v>6500000</v>
      </c>
      <c r="N26" s="179">
        <v>6500000</v>
      </c>
    </row>
    <row r="27" spans="1:14" s="156" customFormat="1" x14ac:dyDescent="0.25">
      <c r="A27" s="156" t="s">
        <v>542</v>
      </c>
      <c r="B27" s="156" t="s">
        <v>137</v>
      </c>
      <c r="C27" s="156" t="s">
        <v>138</v>
      </c>
      <c r="D27" s="156" t="s">
        <v>541</v>
      </c>
      <c r="E27" s="179">
        <v>25000</v>
      </c>
      <c r="F27" s="179">
        <v>25000</v>
      </c>
      <c r="G27" s="179">
        <v>25000</v>
      </c>
      <c r="H27" s="179">
        <v>0</v>
      </c>
      <c r="I27" s="179">
        <v>0</v>
      </c>
      <c r="J27" s="179">
        <v>0</v>
      </c>
      <c r="K27" s="179">
        <v>16000</v>
      </c>
      <c r="L27" s="179">
        <v>16000</v>
      </c>
      <c r="M27" s="179">
        <v>9000</v>
      </c>
      <c r="N27" s="179">
        <v>9000</v>
      </c>
    </row>
    <row r="28" spans="1:14" s="156" customFormat="1" x14ac:dyDescent="0.25">
      <c r="A28" s="156" t="s">
        <v>542</v>
      </c>
      <c r="B28" s="156" t="s">
        <v>139</v>
      </c>
      <c r="C28" s="156" t="s">
        <v>140</v>
      </c>
      <c r="D28" s="156" t="s">
        <v>541</v>
      </c>
      <c r="E28" s="179">
        <v>80000000</v>
      </c>
      <c r="F28" s="179">
        <v>80000000</v>
      </c>
      <c r="G28" s="179">
        <v>80000000</v>
      </c>
      <c r="H28" s="179">
        <v>0</v>
      </c>
      <c r="I28" s="179">
        <v>12056510.09</v>
      </c>
      <c r="J28" s="179">
        <v>0</v>
      </c>
      <c r="K28" s="179">
        <v>61296489.909999996</v>
      </c>
      <c r="L28" s="179">
        <v>55841633</v>
      </c>
      <c r="M28" s="179">
        <v>6647000</v>
      </c>
      <c r="N28" s="179">
        <v>6647000</v>
      </c>
    </row>
    <row r="29" spans="1:14" s="156" customFormat="1" x14ac:dyDescent="0.25">
      <c r="A29" s="156" t="s">
        <v>542</v>
      </c>
      <c r="B29" s="156" t="s">
        <v>141</v>
      </c>
      <c r="C29" s="156" t="s">
        <v>142</v>
      </c>
      <c r="D29" s="156" t="s">
        <v>541</v>
      </c>
      <c r="E29" s="179">
        <v>600000</v>
      </c>
      <c r="F29" s="179">
        <v>350200</v>
      </c>
      <c r="G29" s="179">
        <v>350200</v>
      </c>
      <c r="H29" s="179">
        <v>0</v>
      </c>
      <c r="I29" s="179">
        <v>30000</v>
      </c>
      <c r="J29" s="179">
        <v>0</v>
      </c>
      <c r="K29" s="179">
        <v>55600</v>
      </c>
      <c r="L29" s="179">
        <v>55600</v>
      </c>
      <c r="M29" s="179">
        <v>264600</v>
      </c>
      <c r="N29" s="179">
        <v>264600</v>
      </c>
    </row>
    <row r="30" spans="1:14" s="156" customFormat="1" x14ac:dyDescent="0.25">
      <c r="A30" s="156" t="s">
        <v>542</v>
      </c>
      <c r="B30" s="156" t="s">
        <v>143</v>
      </c>
      <c r="C30" s="156" t="s">
        <v>144</v>
      </c>
      <c r="D30" s="156" t="s">
        <v>541</v>
      </c>
      <c r="E30" s="179">
        <v>10550000</v>
      </c>
      <c r="F30" s="179">
        <v>12994120</v>
      </c>
      <c r="G30" s="179">
        <v>12994120</v>
      </c>
      <c r="H30" s="179">
        <v>0</v>
      </c>
      <c r="I30" s="179">
        <v>204761</v>
      </c>
      <c r="J30" s="179">
        <v>0</v>
      </c>
      <c r="K30" s="179">
        <v>12386564</v>
      </c>
      <c r="L30" s="179">
        <v>11076014</v>
      </c>
      <c r="M30" s="179">
        <v>402795</v>
      </c>
      <c r="N30" s="179">
        <v>402795</v>
      </c>
    </row>
    <row r="31" spans="1:14" s="156" customFormat="1" x14ac:dyDescent="0.25">
      <c r="A31" s="156" t="s">
        <v>542</v>
      </c>
      <c r="B31" s="156" t="s">
        <v>145</v>
      </c>
      <c r="C31" s="156" t="s">
        <v>146</v>
      </c>
      <c r="D31" s="156" t="s">
        <v>541</v>
      </c>
      <c r="E31" s="179">
        <v>8000000</v>
      </c>
      <c r="F31" s="179">
        <v>10444120</v>
      </c>
      <c r="G31" s="179">
        <v>10444120</v>
      </c>
      <c r="H31" s="179">
        <v>0</v>
      </c>
      <c r="I31" s="179">
        <v>198761</v>
      </c>
      <c r="J31" s="179">
        <v>0</v>
      </c>
      <c r="K31" s="179">
        <v>10112390</v>
      </c>
      <c r="L31" s="179">
        <v>9787020</v>
      </c>
      <c r="M31" s="179">
        <v>132969</v>
      </c>
      <c r="N31" s="179">
        <v>132969</v>
      </c>
    </row>
    <row r="32" spans="1:14" s="156" customFormat="1" x14ac:dyDescent="0.25">
      <c r="A32" s="156" t="s">
        <v>542</v>
      </c>
      <c r="B32" s="156" t="s">
        <v>147</v>
      </c>
      <c r="C32" s="156" t="s">
        <v>148</v>
      </c>
      <c r="D32" s="156" t="s">
        <v>541</v>
      </c>
      <c r="E32" s="179">
        <v>2500000</v>
      </c>
      <c r="F32" s="179">
        <v>2500000</v>
      </c>
      <c r="G32" s="179">
        <v>2500000</v>
      </c>
      <c r="H32" s="179">
        <v>0</v>
      </c>
      <c r="I32" s="179">
        <v>6000</v>
      </c>
      <c r="J32" s="179">
        <v>0</v>
      </c>
      <c r="K32" s="179">
        <v>2266180</v>
      </c>
      <c r="L32" s="179">
        <v>1281000</v>
      </c>
      <c r="M32" s="179">
        <v>227820</v>
      </c>
      <c r="N32" s="179">
        <v>227820</v>
      </c>
    </row>
    <row r="33" spans="1:14" s="156" customFormat="1" x14ac:dyDescent="0.25">
      <c r="A33" s="156" t="s">
        <v>542</v>
      </c>
      <c r="B33" s="156" t="s">
        <v>149</v>
      </c>
      <c r="C33" s="156" t="s">
        <v>150</v>
      </c>
      <c r="D33" s="156" t="s">
        <v>541</v>
      </c>
      <c r="E33" s="179">
        <v>50000</v>
      </c>
      <c r="F33" s="179">
        <v>50000</v>
      </c>
      <c r="G33" s="179">
        <v>50000</v>
      </c>
      <c r="H33" s="179">
        <v>0</v>
      </c>
      <c r="I33" s="179">
        <v>0</v>
      </c>
      <c r="J33" s="179">
        <v>0</v>
      </c>
      <c r="K33" s="179">
        <v>7994</v>
      </c>
      <c r="L33" s="179">
        <v>7994</v>
      </c>
      <c r="M33" s="179">
        <v>42006</v>
      </c>
      <c r="N33" s="179">
        <v>42006</v>
      </c>
    </row>
    <row r="34" spans="1:14" s="156" customFormat="1" x14ac:dyDescent="0.25">
      <c r="A34" s="156" t="s">
        <v>542</v>
      </c>
      <c r="B34" s="156" t="s">
        <v>151</v>
      </c>
      <c r="C34" s="156" t="s">
        <v>152</v>
      </c>
      <c r="D34" s="156" t="s">
        <v>541</v>
      </c>
      <c r="E34" s="179">
        <v>8740000</v>
      </c>
      <c r="F34" s="179">
        <v>4240000</v>
      </c>
      <c r="G34" s="179">
        <v>4240000</v>
      </c>
      <c r="H34" s="179">
        <v>0</v>
      </c>
      <c r="I34" s="179">
        <v>625950</v>
      </c>
      <c r="J34" s="179">
        <v>0</v>
      </c>
      <c r="K34" s="179">
        <v>1308946</v>
      </c>
      <c r="L34" s="179">
        <v>1308946</v>
      </c>
      <c r="M34" s="179">
        <v>2305104</v>
      </c>
      <c r="N34" s="179">
        <v>2305104</v>
      </c>
    </row>
    <row r="35" spans="1:14" s="156" customFormat="1" x14ac:dyDescent="0.25">
      <c r="A35" s="156" t="s">
        <v>542</v>
      </c>
      <c r="B35" s="156" t="s">
        <v>154</v>
      </c>
      <c r="C35" s="156" t="s">
        <v>155</v>
      </c>
      <c r="D35" s="156" t="s">
        <v>541</v>
      </c>
      <c r="E35" s="179">
        <v>1000000</v>
      </c>
      <c r="F35" s="179">
        <v>1000000</v>
      </c>
      <c r="G35" s="179">
        <v>1000000</v>
      </c>
      <c r="H35" s="179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1000000</v>
      </c>
      <c r="N35" s="179">
        <v>1000000</v>
      </c>
    </row>
    <row r="36" spans="1:14" s="156" customFormat="1" x14ac:dyDescent="0.25">
      <c r="A36" s="156" t="s">
        <v>542</v>
      </c>
      <c r="B36" s="156" t="s">
        <v>156</v>
      </c>
      <c r="C36" s="156" t="s">
        <v>157</v>
      </c>
      <c r="D36" s="156" t="s">
        <v>541</v>
      </c>
      <c r="E36" s="179">
        <v>7740000</v>
      </c>
      <c r="F36" s="179">
        <v>3240000</v>
      </c>
      <c r="G36" s="179">
        <v>3240000</v>
      </c>
      <c r="H36" s="179">
        <v>0</v>
      </c>
      <c r="I36" s="179">
        <v>625950</v>
      </c>
      <c r="J36" s="179">
        <v>0</v>
      </c>
      <c r="K36" s="179">
        <v>1308946</v>
      </c>
      <c r="L36" s="179">
        <v>1308946</v>
      </c>
      <c r="M36" s="179">
        <v>1305104</v>
      </c>
      <c r="N36" s="179">
        <v>1305104</v>
      </c>
    </row>
    <row r="37" spans="1:14" s="156" customFormat="1" x14ac:dyDescent="0.25">
      <c r="A37" s="156" t="s">
        <v>542</v>
      </c>
      <c r="B37" s="156" t="s">
        <v>158</v>
      </c>
      <c r="C37" s="156" t="s">
        <v>159</v>
      </c>
      <c r="D37" s="156" t="s">
        <v>541</v>
      </c>
      <c r="E37" s="179">
        <v>25100000</v>
      </c>
      <c r="F37" s="179">
        <v>21340885</v>
      </c>
      <c r="G37" s="179">
        <v>21340885</v>
      </c>
      <c r="H37" s="179">
        <v>0</v>
      </c>
      <c r="I37" s="179">
        <v>949857.01</v>
      </c>
      <c r="J37" s="179">
        <v>0</v>
      </c>
      <c r="K37" s="179">
        <v>14648062.699999999</v>
      </c>
      <c r="L37" s="179">
        <v>14648062.699999999</v>
      </c>
      <c r="M37" s="179">
        <v>5742965.29</v>
      </c>
      <c r="N37" s="179">
        <v>5742965.29</v>
      </c>
    </row>
    <row r="38" spans="1:14" s="156" customFormat="1" x14ac:dyDescent="0.25">
      <c r="A38" s="156" t="s">
        <v>542</v>
      </c>
      <c r="B38" s="156" t="s">
        <v>160</v>
      </c>
      <c r="C38" s="156" t="s">
        <v>161</v>
      </c>
      <c r="D38" s="156" t="s">
        <v>541</v>
      </c>
      <c r="E38" s="179">
        <v>100000</v>
      </c>
      <c r="F38" s="179">
        <v>100000</v>
      </c>
      <c r="G38" s="179">
        <v>100000</v>
      </c>
      <c r="H38" s="179">
        <v>0</v>
      </c>
      <c r="I38" s="179">
        <v>0</v>
      </c>
      <c r="J38" s="179">
        <v>0</v>
      </c>
      <c r="K38" s="179">
        <v>44110</v>
      </c>
      <c r="L38" s="179">
        <v>44110</v>
      </c>
      <c r="M38" s="179">
        <v>55890</v>
      </c>
      <c r="N38" s="179">
        <v>55890</v>
      </c>
    </row>
    <row r="39" spans="1:14" s="156" customFormat="1" x14ac:dyDescent="0.25">
      <c r="A39" s="156" t="s">
        <v>542</v>
      </c>
      <c r="B39" s="156" t="s">
        <v>162</v>
      </c>
      <c r="C39" s="156" t="s">
        <v>163</v>
      </c>
      <c r="D39" s="156" t="s">
        <v>541</v>
      </c>
      <c r="E39" s="179">
        <v>10000000</v>
      </c>
      <c r="F39" s="179">
        <v>7454100</v>
      </c>
      <c r="G39" s="179">
        <v>7454100</v>
      </c>
      <c r="H39" s="179">
        <v>0</v>
      </c>
      <c r="I39" s="179">
        <v>228200</v>
      </c>
      <c r="J39" s="179">
        <v>0</v>
      </c>
      <c r="K39" s="179">
        <v>6000650</v>
      </c>
      <c r="L39" s="179">
        <v>6000650</v>
      </c>
      <c r="M39" s="179">
        <v>1225250</v>
      </c>
      <c r="N39" s="179">
        <v>1225250</v>
      </c>
    </row>
    <row r="40" spans="1:14" s="156" customFormat="1" x14ac:dyDescent="0.25">
      <c r="A40" s="156" t="s">
        <v>542</v>
      </c>
      <c r="B40" s="156" t="s">
        <v>164</v>
      </c>
      <c r="C40" s="156" t="s">
        <v>165</v>
      </c>
      <c r="D40" s="156" t="s">
        <v>541</v>
      </c>
      <c r="E40" s="179">
        <v>7000000</v>
      </c>
      <c r="F40" s="179">
        <v>6248313</v>
      </c>
      <c r="G40" s="179">
        <v>6248313</v>
      </c>
      <c r="H40" s="179">
        <v>0</v>
      </c>
      <c r="I40" s="179">
        <v>147093</v>
      </c>
      <c r="J40" s="179">
        <v>0</v>
      </c>
      <c r="K40" s="179">
        <v>4064778.21</v>
      </c>
      <c r="L40" s="179">
        <v>4064778.21</v>
      </c>
      <c r="M40" s="179">
        <v>2036441.79</v>
      </c>
      <c r="N40" s="179">
        <v>2036441.79</v>
      </c>
    </row>
    <row r="41" spans="1:14" s="156" customFormat="1" x14ac:dyDescent="0.25">
      <c r="A41" s="156" t="s">
        <v>542</v>
      </c>
      <c r="B41" s="156" t="s">
        <v>166</v>
      </c>
      <c r="C41" s="156" t="s">
        <v>167</v>
      </c>
      <c r="D41" s="156" t="s">
        <v>541</v>
      </c>
      <c r="E41" s="179">
        <v>8000000</v>
      </c>
      <c r="F41" s="179">
        <v>7538472</v>
      </c>
      <c r="G41" s="179">
        <v>7538472</v>
      </c>
      <c r="H41" s="179">
        <v>0</v>
      </c>
      <c r="I41" s="179">
        <v>574564.01</v>
      </c>
      <c r="J41" s="179">
        <v>0</v>
      </c>
      <c r="K41" s="179">
        <v>4538524.49</v>
      </c>
      <c r="L41" s="179">
        <v>4538524.49</v>
      </c>
      <c r="M41" s="179">
        <v>2425383.5</v>
      </c>
      <c r="N41" s="179">
        <v>2425383.5</v>
      </c>
    </row>
    <row r="42" spans="1:14" s="156" customFormat="1" x14ac:dyDescent="0.25">
      <c r="A42" s="156" t="s">
        <v>542</v>
      </c>
      <c r="B42" s="156" t="s">
        <v>168</v>
      </c>
      <c r="C42" s="156" t="s">
        <v>169</v>
      </c>
      <c r="D42" s="156" t="s">
        <v>541</v>
      </c>
      <c r="E42" s="179">
        <v>48000000</v>
      </c>
      <c r="F42" s="179">
        <v>28000000</v>
      </c>
      <c r="G42" s="179">
        <v>28000000</v>
      </c>
      <c r="H42" s="179">
        <v>0</v>
      </c>
      <c r="I42" s="179">
        <v>612040</v>
      </c>
      <c r="J42" s="179">
        <v>0</v>
      </c>
      <c r="K42" s="179">
        <v>23085053.600000001</v>
      </c>
      <c r="L42" s="179">
        <v>17694456.600000001</v>
      </c>
      <c r="M42" s="179">
        <v>4302906.4000000004</v>
      </c>
      <c r="N42" s="179">
        <v>4302906.4000000004</v>
      </c>
    </row>
    <row r="43" spans="1:14" s="156" customFormat="1" x14ac:dyDescent="0.25">
      <c r="A43" s="156" t="s">
        <v>542</v>
      </c>
      <c r="B43" s="156" t="s">
        <v>170</v>
      </c>
      <c r="C43" s="156" t="s">
        <v>171</v>
      </c>
      <c r="D43" s="156" t="s">
        <v>541</v>
      </c>
      <c r="E43" s="179">
        <v>48000000</v>
      </c>
      <c r="F43" s="179">
        <v>28000000</v>
      </c>
      <c r="G43" s="179">
        <v>28000000</v>
      </c>
      <c r="H43" s="179">
        <v>0</v>
      </c>
      <c r="I43" s="179">
        <v>612040</v>
      </c>
      <c r="J43" s="179">
        <v>0</v>
      </c>
      <c r="K43" s="179">
        <v>23085053.600000001</v>
      </c>
      <c r="L43" s="179">
        <v>17694456.600000001</v>
      </c>
      <c r="M43" s="179">
        <v>4302906.4000000004</v>
      </c>
      <c r="N43" s="179">
        <v>4302906.4000000004</v>
      </c>
    </row>
    <row r="44" spans="1:14" s="156" customFormat="1" x14ac:dyDescent="0.25">
      <c r="A44" s="156" t="s">
        <v>542</v>
      </c>
      <c r="B44" s="156" t="s">
        <v>172</v>
      </c>
      <c r="C44" s="156" t="s">
        <v>173</v>
      </c>
      <c r="D44" s="156" t="s">
        <v>541</v>
      </c>
      <c r="E44" s="179">
        <v>7397000</v>
      </c>
      <c r="F44" s="179">
        <v>7472000</v>
      </c>
      <c r="G44" s="179">
        <v>7472000</v>
      </c>
      <c r="H44" s="179">
        <v>0</v>
      </c>
      <c r="I44" s="179">
        <v>100000</v>
      </c>
      <c r="J44" s="179">
        <v>0</v>
      </c>
      <c r="K44" s="179">
        <v>6067678.0599999996</v>
      </c>
      <c r="L44" s="179">
        <v>4203904.97</v>
      </c>
      <c r="M44" s="179">
        <v>1304321.94</v>
      </c>
      <c r="N44" s="179">
        <v>1304321.94</v>
      </c>
    </row>
    <row r="45" spans="1:14" s="156" customFormat="1" x14ac:dyDescent="0.25">
      <c r="A45" s="156" t="s">
        <v>542</v>
      </c>
      <c r="B45" s="156" t="s">
        <v>309</v>
      </c>
      <c r="C45" s="156" t="s">
        <v>310</v>
      </c>
      <c r="D45" s="156" t="s">
        <v>541</v>
      </c>
      <c r="E45" s="179">
        <v>5000000</v>
      </c>
      <c r="F45" s="179">
        <v>5000000</v>
      </c>
      <c r="G45" s="179">
        <v>5000000</v>
      </c>
      <c r="H45" s="179">
        <v>0</v>
      </c>
      <c r="I45" s="179">
        <v>0</v>
      </c>
      <c r="J45" s="179">
        <v>0</v>
      </c>
      <c r="K45" s="179">
        <v>4910000</v>
      </c>
      <c r="L45" s="179">
        <v>3420000</v>
      </c>
      <c r="M45" s="179">
        <v>90000</v>
      </c>
      <c r="N45" s="179">
        <v>90000</v>
      </c>
    </row>
    <row r="46" spans="1:14" s="156" customFormat="1" x14ac:dyDescent="0.25">
      <c r="A46" s="156" t="s">
        <v>542</v>
      </c>
      <c r="B46" s="156" t="s">
        <v>174</v>
      </c>
      <c r="C46" s="156" t="s">
        <v>175</v>
      </c>
      <c r="D46" s="156" t="s">
        <v>541</v>
      </c>
      <c r="E46" s="179">
        <v>1797000</v>
      </c>
      <c r="F46" s="179">
        <v>1872000</v>
      </c>
      <c r="G46" s="179">
        <v>1872000</v>
      </c>
      <c r="H46" s="179">
        <v>0</v>
      </c>
      <c r="I46" s="179">
        <v>0</v>
      </c>
      <c r="J46" s="179">
        <v>0</v>
      </c>
      <c r="K46" s="179">
        <v>972813.09</v>
      </c>
      <c r="L46" s="179">
        <v>599040</v>
      </c>
      <c r="M46" s="179">
        <v>899186.91</v>
      </c>
      <c r="N46" s="179">
        <v>899186.91</v>
      </c>
    </row>
    <row r="47" spans="1:14" s="156" customFormat="1" x14ac:dyDescent="0.25">
      <c r="A47" s="156" t="s">
        <v>542</v>
      </c>
      <c r="B47" s="156" t="s">
        <v>176</v>
      </c>
      <c r="C47" s="156" t="s">
        <v>177</v>
      </c>
      <c r="D47" s="156" t="s">
        <v>541</v>
      </c>
      <c r="E47" s="179">
        <v>600000</v>
      </c>
      <c r="F47" s="179">
        <v>600000</v>
      </c>
      <c r="G47" s="179">
        <v>600000</v>
      </c>
      <c r="H47" s="179">
        <v>0</v>
      </c>
      <c r="I47" s="179">
        <v>100000</v>
      </c>
      <c r="J47" s="179">
        <v>0</v>
      </c>
      <c r="K47" s="179">
        <v>184864.97</v>
      </c>
      <c r="L47" s="179">
        <v>184864.97</v>
      </c>
      <c r="M47" s="179">
        <v>315135.03000000003</v>
      </c>
      <c r="N47" s="179">
        <v>315135.03000000003</v>
      </c>
    </row>
    <row r="48" spans="1:14" s="156" customFormat="1" x14ac:dyDescent="0.25">
      <c r="A48" s="156" t="s">
        <v>542</v>
      </c>
      <c r="B48" s="156" t="s">
        <v>178</v>
      </c>
      <c r="C48" s="156" t="s">
        <v>179</v>
      </c>
      <c r="D48" s="156" t="s">
        <v>541</v>
      </c>
      <c r="E48" s="179">
        <v>22990000</v>
      </c>
      <c r="F48" s="179">
        <v>22287000</v>
      </c>
      <c r="G48" s="179">
        <v>22287000</v>
      </c>
      <c r="H48" s="179">
        <v>0</v>
      </c>
      <c r="I48" s="179">
        <v>1075100</v>
      </c>
      <c r="J48" s="179">
        <v>0</v>
      </c>
      <c r="K48" s="179">
        <v>14845971.699999999</v>
      </c>
      <c r="L48" s="179">
        <v>11688159</v>
      </c>
      <c r="M48" s="179">
        <v>6365928.2999999998</v>
      </c>
      <c r="N48" s="179">
        <v>6365928.2999999998</v>
      </c>
    </row>
    <row r="49" spans="1:14" s="156" customFormat="1" x14ac:dyDescent="0.25">
      <c r="A49" s="156" t="s">
        <v>542</v>
      </c>
      <c r="B49" s="156" t="s">
        <v>182</v>
      </c>
      <c r="C49" s="156" t="s">
        <v>183</v>
      </c>
      <c r="D49" s="156" t="s">
        <v>541</v>
      </c>
      <c r="E49" s="179">
        <v>16000000</v>
      </c>
      <c r="F49" s="179">
        <v>15250000</v>
      </c>
      <c r="G49" s="179">
        <v>15250000</v>
      </c>
      <c r="H49" s="179">
        <v>0</v>
      </c>
      <c r="I49" s="179">
        <v>547500</v>
      </c>
      <c r="J49" s="179">
        <v>0</v>
      </c>
      <c r="K49" s="179">
        <v>11040293</v>
      </c>
      <c r="L49" s="179">
        <v>8916886</v>
      </c>
      <c r="M49" s="179">
        <v>3662207</v>
      </c>
      <c r="N49" s="179">
        <v>3662207</v>
      </c>
    </row>
    <row r="50" spans="1:14" s="156" customFormat="1" x14ac:dyDescent="0.25">
      <c r="A50" s="156" t="s">
        <v>542</v>
      </c>
      <c r="B50" s="156" t="s">
        <v>184</v>
      </c>
      <c r="C50" s="156" t="s">
        <v>185</v>
      </c>
      <c r="D50" s="156" t="s">
        <v>541</v>
      </c>
      <c r="E50" s="179">
        <v>0</v>
      </c>
      <c r="F50" s="179">
        <v>150000</v>
      </c>
      <c r="G50" s="179">
        <v>150000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79">
        <v>150000</v>
      </c>
      <c r="N50" s="179">
        <v>150000</v>
      </c>
    </row>
    <row r="51" spans="1:14" s="156" customFormat="1" x14ac:dyDescent="0.25">
      <c r="A51" s="156" t="s">
        <v>542</v>
      </c>
      <c r="B51" s="156" t="s">
        <v>186</v>
      </c>
      <c r="C51" s="156" t="s">
        <v>187</v>
      </c>
      <c r="D51" s="156" t="s">
        <v>541</v>
      </c>
      <c r="E51" s="179">
        <v>4000000</v>
      </c>
      <c r="F51" s="179">
        <v>3850000</v>
      </c>
      <c r="G51" s="179">
        <v>3850000</v>
      </c>
      <c r="H51" s="179">
        <v>0</v>
      </c>
      <c r="I51" s="179">
        <v>527600</v>
      </c>
      <c r="J51" s="179">
        <v>0</v>
      </c>
      <c r="K51" s="179">
        <v>3098873</v>
      </c>
      <c r="L51" s="179">
        <v>2771273</v>
      </c>
      <c r="M51" s="179">
        <v>223527</v>
      </c>
      <c r="N51" s="179">
        <v>223527</v>
      </c>
    </row>
    <row r="52" spans="1:14" s="156" customFormat="1" x14ac:dyDescent="0.25">
      <c r="A52" s="156" t="s">
        <v>542</v>
      </c>
      <c r="B52" s="156" t="s">
        <v>188</v>
      </c>
      <c r="C52" s="156" t="s">
        <v>189</v>
      </c>
      <c r="D52" s="156" t="s">
        <v>541</v>
      </c>
      <c r="E52" s="179">
        <v>290000</v>
      </c>
      <c r="F52" s="179">
        <v>337000</v>
      </c>
      <c r="G52" s="179">
        <v>337000</v>
      </c>
      <c r="H52" s="179">
        <v>0</v>
      </c>
      <c r="I52" s="179">
        <v>0</v>
      </c>
      <c r="J52" s="179">
        <v>0</v>
      </c>
      <c r="K52" s="179">
        <v>322575</v>
      </c>
      <c r="L52" s="179">
        <v>0</v>
      </c>
      <c r="M52" s="179">
        <v>14425</v>
      </c>
      <c r="N52" s="179">
        <v>14425</v>
      </c>
    </row>
    <row r="53" spans="1:14" s="156" customFormat="1" x14ac:dyDescent="0.25">
      <c r="A53" s="156" t="s">
        <v>542</v>
      </c>
      <c r="B53" s="156" t="s">
        <v>190</v>
      </c>
      <c r="C53" s="156" t="s">
        <v>191</v>
      </c>
      <c r="D53" s="156" t="s">
        <v>541</v>
      </c>
      <c r="E53" s="179">
        <v>2700000</v>
      </c>
      <c r="F53" s="179">
        <v>2700000</v>
      </c>
      <c r="G53" s="179">
        <v>2700000</v>
      </c>
      <c r="H53" s="179">
        <v>0</v>
      </c>
      <c r="I53" s="179">
        <v>0</v>
      </c>
      <c r="J53" s="179">
        <v>0</v>
      </c>
      <c r="K53" s="179">
        <v>384230.7</v>
      </c>
      <c r="L53" s="179">
        <v>0</v>
      </c>
      <c r="M53" s="179">
        <v>2315769.2999999998</v>
      </c>
      <c r="N53" s="179">
        <v>2315769.2999999998</v>
      </c>
    </row>
    <row r="54" spans="1:14" s="156" customFormat="1" x14ac:dyDescent="0.25">
      <c r="A54" s="156" t="s">
        <v>542</v>
      </c>
      <c r="B54" s="156" t="s">
        <v>192</v>
      </c>
      <c r="C54" s="156" t="s">
        <v>193</v>
      </c>
      <c r="D54" s="156" t="s">
        <v>541</v>
      </c>
      <c r="E54" s="179">
        <v>1500000</v>
      </c>
      <c r="F54" s="179">
        <v>1500000</v>
      </c>
      <c r="G54" s="179">
        <v>1500000</v>
      </c>
      <c r="H54" s="179">
        <v>0</v>
      </c>
      <c r="I54" s="179">
        <v>1250684</v>
      </c>
      <c r="J54" s="179">
        <v>0</v>
      </c>
      <c r="K54" s="179">
        <v>249316</v>
      </c>
      <c r="L54" s="179">
        <v>0</v>
      </c>
      <c r="M54" s="179">
        <v>0</v>
      </c>
      <c r="N54" s="179">
        <v>0</v>
      </c>
    </row>
    <row r="55" spans="1:14" s="156" customFormat="1" x14ac:dyDescent="0.25">
      <c r="A55" s="156" t="s">
        <v>542</v>
      </c>
      <c r="B55" s="156" t="s">
        <v>194</v>
      </c>
      <c r="C55" s="156" t="s">
        <v>195</v>
      </c>
      <c r="D55" s="156" t="s">
        <v>541</v>
      </c>
      <c r="E55" s="179">
        <v>1500000</v>
      </c>
      <c r="F55" s="179">
        <v>1500000</v>
      </c>
      <c r="G55" s="179">
        <v>1500000</v>
      </c>
      <c r="H55" s="179">
        <v>0</v>
      </c>
      <c r="I55" s="179">
        <v>1250684</v>
      </c>
      <c r="J55" s="179">
        <v>0</v>
      </c>
      <c r="K55" s="179">
        <v>249316</v>
      </c>
      <c r="L55" s="179">
        <v>0</v>
      </c>
      <c r="M55" s="179">
        <v>0</v>
      </c>
      <c r="N55" s="179">
        <v>0</v>
      </c>
    </row>
    <row r="56" spans="1:14" s="156" customFormat="1" x14ac:dyDescent="0.25">
      <c r="A56" s="156" t="s">
        <v>542</v>
      </c>
      <c r="B56" s="156" t="s">
        <v>196</v>
      </c>
      <c r="C56" s="156" t="s">
        <v>197</v>
      </c>
      <c r="D56" s="156" t="s">
        <v>541</v>
      </c>
      <c r="E56" s="179">
        <v>1000000</v>
      </c>
      <c r="F56" s="179">
        <v>1000000</v>
      </c>
      <c r="G56" s="179">
        <v>1000000</v>
      </c>
      <c r="H56" s="179">
        <v>0</v>
      </c>
      <c r="I56" s="179">
        <v>800000</v>
      </c>
      <c r="J56" s="179">
        <v>0</v>
      </c>
      <c r="K56" s="179">
        <v>200000</v>
      </c>
      <c r="L56" s="179">
        <v>200000</v>
      </c>
      <c r="M56" s="179">
        <v>0</v>
      </c>
      <c r="N56" s="179">
        <v>0</v>
      </c>
    </row>
    <row r="57" spans="1:14" s="156" customFormat="1" x14ac:dyDescent="0.25">
      <c r="A57" s="156" t="s">
        <v>542</v>
      </c>
      <c r="B57" s="156" t="s">
        <v>198</v>
      </c>
      <c r="C57" s="156" t="s">
        <v>199</v>
      </c>
      <c r="D57" s="156" t="s">
        <v>541</v>
      </c>
      <c r="E57" s="179">
        <v>1000000</v>
      </c>
      <c r="F57" s="179">
        <v>1000000</v>
      </c>
      <c r="G57" s="179">
        <v>1000000</v>
      </c>
      <c r="H57" s="179">
        <v>0</v>
      </c>
      <c r="I57" s="179">
        <v>800000</v>
      </c>
      <c r="J57" s="179">
        <v>0</v>
      </c>
      <c r="K57" s="179">
        <v>200000</v>
      </c>
      <c r="L57" s="179">
        <v>200000</v>
      </c>
      <c r="M57" s="179">
        <v>0</v>
      </c>
      <c r="N57" s="179">
        <v>0</v>
      </c>
    </row>
    <row r="58" spans="1:14" s="156" customFormat="1" x14ac:dyDescent="0.25">
      <c r="A58" s="156" t="s">
        <v>542</v>
      </c>
      <c r="B58" s="156" t="s">
        <v>200</v>
      </c>
      <c r="C58" s="156" t="s">
        <v>201</v>
      </c>
      <c r="D58" s="156" t="s">
        <v>541</v>
      </c>
      <c r="E58" s="179">
        <v>70900000</v>
      </c>
      <c r="F58" s="179">
        <v>49640986</v>
      </c>
      <c r="G58" s="179">
        <v>49640986</v>
      </c>
      <c r="H58" s="179">
        <v>0</v>
      </c>
      <c r="I58" s="179">
        <v>1644911.8</v>
      </c>
      <c r="J58" s="179">
        <v>0</v>
      </c>
      <c r="K58" s="179">
        <v>45322798.060000002</v>
      </c>
      <c r="L58" s="179">
        <v>44585870.560000002</v>
      </c>
      <c r="M58" s="179">
        <v>2673276.14</v>
      </c>
      <c r="N58" s="179">
        <v>2673276.14</v>
      </c>
    </row>
    <row r="59" spans="1:14" s="156" customFormat="1" x14ac:dyDescent="0.25">
      <c r="A59" s="156" t="s">
        <v>542</v>
      </c>
      <c r="B59" s="156" t="s">
        <v>202</v>
      </c>
      <c r="C59" s="156" t="s">
        <v>203</v>
      </c>
      <c r="D59" s="156" t="s">
        <v>541</v>
      </c>
      <c r="E59" s="179">
        <v>25925000</v>
      </c>
      <c r="F59" s="179">
        <v>14977000</v>
      </c>
      <c r="G59" s="179">
        <v>14977000</v>
      </c>
      <c r="H59" s="179">
        <v>0</v>
      </c>
      <c r="I59" s="179">
        <v>1514937.8</v>
      </c>
      <c r="J59" s="179">
        <v>0</v>
      </c>
      <c r="K59" s="179">
        <v>12597078.970000001</v>
      </c>
      <c r="L59" s="179">
        <v>12421527.970000001</v>
      </c>
      <c r="M59" s="179">
        <v>864983.23</v>
      </c>
      <c r="N59" s="179">
        <v>864983.23</v>
      </c>
    </row>
    <row r="60" spans="1:14" s="156" customFormat="1" x14ac:dyDescent="0.25">
      <c r="A60" s="156" t="s">
        <v>542</v>
      </c>
      <c r="B60" s="156" t="s">
        <v>204</v>
      </c>
      <c r="C60" s="156" t="s">
        <v>205</v>
      </c>
      <c r="D60" s="156" t="s">
        <v>541</v>
      </c>
      <c r="E60" s="179">
        <v>17000000</v>
      </c>
      <c r="F60" s="179">
        <v>8500000</v>
      </c>
      <c r="G60" s="179">
        <v>8500000</v>
      </c>
      <c r="H60" s="179">
        <v>0</v>
      </c>
      <c r="I60" s="179">
        <v>1514937.8</v>
      </c>
      <c r="J60" s="179">
        <v>0</v>
      </c>
      <c r="K60" s="179">
        <v>6636073.9699999997</v>
      </c>
      <c r="L60" s="179">
        <v>6460522.9699999997</v>
      </c>
      <c r="M60" s="179">
        <v>348988.23</v>
      </c>
      <c r="N60" s="179">
        <v>348988.23</v>
      </c>
    </row>
    <row r="61" spans="1:14" s="156" customFormat="1" x14ac:dyDescent="0.25">
      <c r="A61" s="156" t="s">
        <v>542</v>
      </c>
      <c r="B61" s="156" t="s">
        <v>206</v>
      </c>
      <c r="C61" s="156" t="s">
        <v>207</v>
      </c>
      <c r="D61" s="156" t="s">
        <v>541</v>
      </c>
      <c r="E61" s="179">
        <v>8000000</v>
      </c>
      <c r="F61" s="179">
        <v>5952000</v>
      </c>
      <c r="G61" s="179">
        <v>5952000</v>
      </c>
      <c r="H61" s="179">
        <v>0</v>
      </c>
      <c r="I61" s="179">
        <v>0</v>
      </c>
      <c r="J61" s="179">
        <v>0</v>
      </c>
      <c r="K61" s="179">
        <v>5951735</v>
      </c>
      <c r="L61" s="179">
        <v>5951735</v>
      </c>
      <c r="M61" s="179">
        <v>265</v>
      </c>
      <c r="N61" s="179">
        <v>265</v>
      </c>
    </row>
    <row r="62" spans="1:14" s="156" customFormat="1" x14ac:dyDescent="0.25">
      <c r="A62" s="156" t="s">
        <v>542</v>
      </c>
      <c r="B62" s="156" t="s">
        <v>208</v>
      </c>
      <c r="C62" s="156" t="s">
        <v>209</v>
      </c>
      <c r="D62" s="156" t="s">
        <v>541</v>
      </c>
      <c r="E62" s="179">
        <v>500000</v>
      </c>
      <c r="F62" s="179">
        <v>100000</v>
      </c>
      <c r="G62" s="179">
        <v>100000</v>
      </c>
      <c r="H62" s="179">
        <v>0</v>
      </c>
      <c r="I62" s="179">
        <v>0</v>
      </c>
      <c r="J62" s="179">
        <v>0</v>
      </c>
      <c r="K62" s="179">
        <v>9270</v>
      </c>
      <c r="L62" s="179">
        <v>9270</v>
      </c>
      <c r="M62" s="179">
        <v>90730</v>
      </c>
      <c r="N62" s="179">
        <v>90730</v>
      </c>
    </row>
    <row r="63" spans="1:14" s="156" customFormat="1" x14ac:dyDescent="0.25">
      <c r="A63" s="156" t="s">
        <v>542</v>
      </c>
      <c r="B63" s="156" t="s">
        <v>210</v>
      </c>
      <c r="C63" s="156" t="s">
        <v>211</v>
      </c>
      <c r="D63" s="156" t="s">
        <v>541</v>
      </c>
      <c r="E63" s="179">
        <v>425000</v>
      </c>
      <c r="F63" s="179">
        <v>425000</v>
      </c>
      <c r="G63" s="179">
        <v>425000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425000</v>
      </c>
      <c r="N63" s="179">
        <v>425000</v>
      </c>
    </row>
    <row r="64" spans="1:14" s="156" customFormat="1" x14ac:dyDescent="0.25">
      <c r="A64" s="156" t="s">
        <v>542</v>
      </c>
      <c r="B64" s="156" t="s">
        <v>212</v>
      </c>
      <c r="C64" s="156" t="s">
        <v>213</v>
      </c>
      <c r="D64" s="156" t="s">
        <v>541</v>
      </c>
      <c r="E64" s="179">
        <v>3500000</v>
      </c>
      <c r="F64" s="179">
        <v>3500000</v>
      </c>
      <c r="G64" s="179">
        <v>3500000</v>
      </c>
      <c r="H64" s="179">
        <v>0</v>
      </c>
      <c r="I64" s="179">
        <v>0</v>
      </c>
      <c r="J64" s="179">
        <v>0</v>
      </c>
      <c r="K64" s="179">
        <v>3429858</v>
      </c>
      <c r="L64" s="179">
        <v>3429858</v>
      </c>
      <c r="M64" s="179">
        <v>70142</v>
      </c>
      <c r="N64" s="179">
        <v>70142</v>
      </c>
    </row>
    <row r="65" spans="1:14" s="156" customFormat="1" x14ac:dyDescent="0.25">
      <c r="A65" s="156" t="s">
        <v>542</v>
      </c>
      <c r="B65" s="156" t="s">
        <v>214</v>
      </c>
      <c r="C65" s="156" t="s">
        <v>215</v>
      </c>
      <c r="D65" s="156" t="s">
        <v>541</v>
      </c>
      <c r="E65" s="179">
        <v>3500000</v>
      </c>
      <c r="F65" s="179">
        <v>3500000</v>
      </c>
      <c r="G65" s="179">
        <v>3500000</v>
      </c>
      <c r="H65" s="179">
        <v>0</v>
      </c>
      <c r="I65" s="179">
        <v>0</v>
      </c>
      <c r="J65" s="179">
        <v>0</v>
      </c>
      <c r="K65" s="179">
        <v>3429858</v>
      </c>
      <c r="L65" s="179">
        <v>3429858</v>
      </c>
      <c r="M65" s="179">
        <v>70142</v>
      </c>
      <c r="N65" s="179">
        <v>70142</v>
      </c>
    </row>
    <row r="66" spans="1:14" s="156" customFormat="1" x14ac:dyDescent="0.25">
      <c r="A66" s="156" t="s">
        <v>542</v>
      </c>
      <c r="B66" s="156" t="s">
        <v>216</v>
      </c>
      <c r="C66" s="156" t="s">
        <v>217</v>
      </c>
      <c r="D66" s="156" t="s">
        <v>541</v>
      </c>
      <c r="E66" s="179">
        <v>2000000</v>
      </c>
      <c r="F66" s="179">
        <v>2000000</v>
      </c>
      <c r="G66" s="179">
        <v>2000000</v>
      </c>
      <c r="H66" s="179">
        <v>0</v>
      </c>
      <c r="I66" s="179">
        <v>0</v>
      </c>
      <c r="J66" s="179">
        <v>0</v>
      </c>
      <c r="K66" s="179">
        <v>1971225.15</v>
      </c>
      <c r="L66" s="179">
        <v>1971225.15</v>
      </c>
      <c r="M66" s="179">
        <v>28774.85</v>
      </c>
      <c r="N66" s="179">
        <v>28774.85</v>
      </c>
    </row>
    <row r="67" spans="1:14" s="156" customFormat="1" x14ac:dyDescent="0.25">
      <c r="A67" s="156" t="s">
        <v>542</v>
      </c>
      <c r="B67" s="156" t="s">
        <v>220</v>
      </c>
      <c r="C67" s="156" t="s">
        <v>221</v>
      </c>
      <c r="D67" s="156" t="s">
        <v>541</v>
      </c>
      <c r="E67" s="179">
        <v>2000000</v>
      </c>
      <c r="F67" s="179">
        <v>2000000</v>
      </c>
      <c r="G67" s="179">
        <v>2000000</v>
      </c>
      <c r="H67" s="179">
        <v>0</v>
      </c>
      <c r="I67" s="179">
        <v>0</v>
      </c>
      <c r="J67" s="179">
        <v>0</v>
      </c>
      <c r="K67" s="179">
        <v>1971225.15</v>
      </c>
      <c r="L67" s="179">
        <v>1971225.15</v>
      </c>
      <c r="M67" s="179">
        <v>28774.85</v>
      </c>
      <c r="N67" s="179">
        <v>28774.85</v>
      </c>
    </row>
    <row r="68" spans="1:14" s="156" customFormat="1" x14ac:dyDescent="0.25">
      <c r="A68" s="156" t="s">
        <v>542</v>
      </c>
      <c r="B68" s="156" t="s">
        <v>228</v>
      </c>
      <c r="C68" s="156" t="s">
        <v>229</v>
      </c>
      <c r="D68" s="156" t="s">
        <v>541</v>
      </c>
      <c r="E68" s="179">
        <v>4400000</v>
      </c>
      <c r="F68" s="179">
        <v>1578986</v>
      </c>
      <c r="G68" s="179">
        <v>1578986</v>
      </c>
      <c r="H68" s="179">
        <v>0</v>
      </c>
      <c r="I68" s="179">
        <v>0</v>
      </c>
      <c r="J68" s="179">
        <v>0</v>
      </c>
      <c r="K68" s="179">
        <v>1568985.85</v>
      </c>
      <c r="L68" s="179">
        <v>1568985.85</v>
      </c>
      <c r="M68" s="179">
        <v>10000.15</v>
      </c>
      <c r="N68" s="179">
        <v>10000.15</v>
      </c>
    </row>
    <row r="69" spans="1:14" s="156" customFormat="1" x14ac:dyDescent="0.25">
      <c r="A69" s="156" t="s">
        <v>542</v>
      </c>
      <c r="B69" s="156" t="s">
        <v>230</v>
      </c>
      <c r="C69" s="156" t="s">
        <v>231</v>
      </c>
      <c r="D69" s="156" t="s">
        <v>541</v>
      </c>
      <c r="E69" s="179">
        <v>3580000</v>
      </c>
      <c r="F69" s="179">
        <v>758986</v>
      </c>
      <c r="G69" s="179">
        <v>758986</v>
      </c>
      <c r="H69" s="179">
        <v>0</v>
      </c>
      <c r="I69" s="179">
        <v>0</v>
      </c>
      <c r="J69" s="179">
        <v>0</v>
      </c>
      <c r="K69" s="179">
        <v>758985.85</v>
      </c>
      <c r="L69" s="179">
        <v>758985.85</v>
      </c>
      <c r="M69" s="179">
        <v>0.15</v>
      </c>
      <c r="N69" s="179">
        <v>0.15</v>
      </c>
    </row>
    <row r="70" spans="1:14" s="156" customFormat="1" x14ac:dyDescent="0.25">
      <c r="A70" s="156" t="s">
        <v>542</v>
      </c>
      <c r="B70" s="156" t="s">
        <v>232</v>
      </c>
      <c r="C70" s="156" t="s">
        <v>233</v>
      </c>
      <c r="D70" s="156" t="s">
        <v>541</v>
      </c>
      <c r="E70" s="179">
        <v>820000</v>
      </c>
      <c r="F70" s="179">
        <v>820000</v>
      </c>
      <c r="G70" s="179">
        <v>820000</v>
      </c>
      <c r="H70" s="179">
        <v>0</v>
      </c>
      <c r="I70" s="179">
        <v>0</v>
      </c>
      <c r="J70" s="179">
        <v>0</v>
      </c>
      <c r="K70" s="179">
        <v>810000</v>
      </c>
      <c r="L70" s="179">
        <v>810000</v>
      </c>
      <c r="M70" s="179">
        <v>10000</v>
      </c>
      <c r="N70" s="179">
        <v>10000</v>
      </c>
    </row>
    <row r="71" spans="1:14" s="156" customFormat="1" x14ac:dyDescent="0.25">
      <c r="A71" s="156" t="s">
        <v>542</v>
      </c>
      <c r="B71" s="156" t="s">
        <v>234</v>
      </c>
      <c r="C71" s="156" t="s">
        <v>624</v>
      </c>
      <c r="D71" s="156" t="s">
        <v>541</v>
      </c>
      <c r="E71" s="179">
        <v>35075000</v>
      </c>
      <c r="F71" s="179">
        <v>27585000</v>
      </c>
      <c r="G71" s="179">
        <v>27585000</v>
      </c>
      <c r="H71" s="179">
        <v>0</v>
      </c>
      <c r="I71" s="179">
        <v>129974</v>
      </c>
      <c r="J71" s="179">
        <v>0</v>
      </c>
      <c r="K71" s="179">
        <v>25755650.09</v>
      </c>
      <c r="L71" s="179">
        <v>25194273.59</v>
      </c>
      <c r="M71" s="179">
        <v>1699375.91</v>
      </c>
      <c r="N71" s="179">
        <v>1699375.91</v>
      </c>
    </row>
    <row r="72" spans="1:14" s="156" customFormat="1" x14ac:dyDescent="0.25">
      <c r="A72" s="156" t="s">
        <v>542</v>
      </c>
      <c r="B72" s="156" t="s">
        <v>235</v>
      </c>
      <c r="C72" s="156" t="s">
        <v>236</v>
      </c>
      <c r="D72" s="156" t="s">
        <v>541</v>
      </c>
      <c r="E72" s="179">
        <v>4500000</v>
      </c>
      <c r="F72" s="179">
        <v>3500000</v>
      </c>
      <c r="G72" s="179">
        <v>3500000</v>
      </c>
      <c r="H72" s="179">
        <v>0</v>
      </c>
      <c r="I72" s="179">
        <v>84624</v>
      </c>
      <c r="J72" s="179">
        <v>0</v>
      </c>
      <c r="K72" s="179">
        <v>2998273.22</v>
      </c>
      <c r="L72" s="179">
        <v>2486232.2799999998</v>
      </c>
      <c r="M72" s="179">
        <v>417102.78</v>
      </c>
      <c r="N72" s="179">
        <v>417102.78</v>
      </c>
    </row>
    <row r="73" spans="1:14" s="156" customFormat="1" x14ac:dyDescent="0.25">
      <c r="A73" s="156" t="s">
        <v>542</v>
      </c>
      <c r="B73" s="156" t="s">
        <v>237</v>
      </c>
      <c r="C73" s="156" t="s">
        <v>238</v>
      </c>
      <c r="D73" s="156" t="s">
        <v>541</v>
      </c>
      <c r="E73" s="179">
        <v>4000000</v>
      </c>
      <c r="F73" s="179">
        <v>2000000</v>
      </c>
      <c r="G73" s="179">
        <v>2000000</v>
      </c>
      <c r="H73" s="179">
        <v>0</v>
      </c>
      <c r="I73" s="179">
        <v>0</v>
      </c>
      <c r="J73" s="179">
        <v>0</v>
      </c>
      <c r="K73" s="179">
        <v>1125000</v>
      </c>
      <c r="L73" s="179">
        <v>1125000</v>
      </c>
      <c r="M73" s="179">
        <v>875000</v>
      </c>
      <c r="N73" s="179">
        <v>875000</v>
      </c>
    </row>
    <row r="74" spans="1:14" s="156" customFormat="1" x14ac:dyDescent="0.25">
      <c r="A74" s="156" t="s">
        <v>542</v>
      </c>
      <c r="B74" s="156" t="s">
        <v>239</v>
      </c>
      <c r="C74" s="156" t="s">
        <v>240</v>
      </c>
      <c r="D74" s="156" t="s">
        <v>541</v>
      </c>
      <c r="E74" s="179">
        <v>22000000</v>
      </c>
      <c r="F74" s="179">
        <v>19800000</v>
      </c>
      <c r="G74" s="179">
        <v>19800000</v>
      </c>
      <c r="H74" s="179">
        <v>0</v>
      </c>
      <c r="I74" s="179">
        <v>45350</v>
      </c>
      <c r="J74" s="179">
        <v>0</v>
      </c>
      <c r="K74" s="179">
        <v>19404345.760000002</v>
      </c>
      <c r="L74" s="179">
        <v>19355010.199999999</v>
      </c>
      <c r="M74" s="179">
        <v>350304.24</v>
      </c>
      <c r="N74" s="179">
        <v>350304.24</v>
      </c>
    </row>
    <row r="75" spans="1:14" s="156" customFormat="1" x14ac:dyDescent="0.25">
      <c r="A75" s="156" t="s">
        <v>542</v>
      </c>
      <c r="B75" s="156" t="s">
        <v>243</v>
      </c>
      <c r="C75" s="156" t="s">
        <v>244</v>
      </c>
      <c r="D75" s="156" t="s">
        <v>541</v>
      </c>
      <c r="E75" s="179">
        <v>3575000</v>
      </c>
      <c r="F75" s="179">
        <v>1285000</v>
      </c>
      <c r="G75" s="179">
        <v>1285000</v>
      </c>
      <c r="H75" s="179">
        <v>0</v>
      </c>
      <c r="I75" s="179">
        <v>0</v>
      </c>
      <c r="J75" s="179">
        <v>0</v>
      </c>
      <c r="K75" s="179">
        <v>1284531.1100000001</v>
      </c>
      <c r="L75" s="179">
        <v>1284531.1100000001</v>
      </c>
      <c r="M75" s="179">
        <v>468.89</v>
      </c>
      <c r="N75" s="179">
        <v>468.89</v>
      </c>
    </row>
    <row r="76" spans="1:14" s="156" customFormat="1" x14ac:dyDescent="0.25">
      <c r="A76" s="156" t="s">
        <v>542</v>
      </c>
      <c r="B76" s="156" t="s">
        <v>249</v>
      </c>
      <c r="C76" s="156" t="s">
        <v>250</v>
      </c>
      <c r="D76" s="156" t="s">
        <v>541</v>
      </c>
      <c r="E76" s="179">
        <v>1000000</v>
      </c>
      <c r="F76" s="179">
        <v>1000000</v>
      </c>
      <c r="G76" s="179">
        <v>1000000</v>
      </c>
      <c r="H76" s="179">
        <v>0</v>
      </c>
      <c r="I76" s="179">
        <v>0</v>
      </c>
      <c r="J76" s="179">
        <v>0</v>
      </c>
      <c r="K76" s="179">
        <v>943500</v>
      </c>
      <c r="L76" s="179">
        <v>943500</v>
      </c>
      <c r="M76" s="179">
        <v>56500</v>
      </c>
      <c r="N76" s="179">
        <v>56500</v>
      </c>
    </row>
    <row r="77" spans="1:14" s="156" customFormat="1" x14ac:dyDescent="0.25">
      <c r="A77" s="156" t="s">
        <v>542</v>
      </c>
      <c r="B77" s="156" t="s">
        <v>279</v>
      </c>
      <c r="C77" s="156" t="s">
        <v>280</v>
      </c>
      <c r="D77" s="156" t="s">
        <v>541</v>
      </c>
      <c r="E77" s="179">
        <v>4150000</v>
      </c>
      <c r="F77" s="179">
        <v>5094000</v>
      </c>
      <c r="G77" s="179">
        <v>5094000</v>
      </c>
      <c r="H77" s="179">
        <v>0</v>
      </c>
      <c r="I77" s="179">
        <v>0</v>
      </c>
      <c r="J77" s="179">
        <v>0</v>
      </c>
      <c r="K77" s="179">
        <v>4337503.07</v>
      </c>
      <c r="L77" s="179">
        <v>3792352.79</v>
      </c>
      <c r="M77" s="179">
        <v>756496.93</v>
      </c>
      <c r="N77" s="179">
        <v>756496.93</v>
      </c>
    </row>
    <row r="78" spans="1:14" s="156" customFormat="1" x14ac:dyDescent="0.25">
      <c r="A78" s="156" t="s">
        <v>542</v>
      </c>
      <c r="B78" s="156" t="s">
        <v>281</v>
      </c>
      <c r="C78" s="156" t="s">
        <v>282</v>
      </c>
      <c r="D78" s="156" t="s">
        <v>541</v>
      </c>
      <c r="E78" s="179">
        <v>4150000</v>
      </c>
      <c r="F78" s="179">
        <v>4500000</v>
      </c>
      <c r="G78" s="179">
        <v>4500000</v>
      </c>
      <c r="H78" s="179">
        <v>0</v>
      </c>
      <c r="I78" s="179">
        <v>0</v>
      </c>
      <c r="J78" s="179">
        <v>0</v>
      </c>
      <c r="K78" s="179">
        <v>3772322.07</v>
      </c>
      <c r="L78" s="179">
        <v>3227171.79</v>
      </c>
      <c r="M78" s="179">
        <v>727677.93</v>
      </c>
      <c r="N78" s="179">
        <v>727677.93</v>
      </c>
    </row>
    <row r="79" spans="1:14" s="156" customFormat="1" x14ac:dyDescent="0.25">
      <c r="A79" s="156" t="s">
        <v>542</v>
      </c>
      <c r="B79" s="156" t="s">
        <v>287</v>
      </c>
      <c r="C79" s="156" t="s">
        <v>288</v>
      </c>
      <c r="D79" s="156" t="s">
        <v>541</v>
      </c>
      <c r="E79" s="179">
        <v>0</v>
      </c>
      <c r="F79" s="179">
        <v>500000</v>
      </c>
      <c r="G79" s="179">
        <v>500000</v>
      </c>
      <c r="H79" s="179">
        <v>0</v>
      </c>
      <c r="I79" s="179">
        <v>0</v>
      </c>
      <c r="J79" s="179">
        <v>0</v>
      </c>
      <c r="K79" s="179">
        <v>310171.78999999998</v>
      </c>
      <c r="L79" s="179">
        <v>310171.78999999998</v>
      </c>
      <c r="M79" s="179">
        <v>189828.21</v>
      </c>
      <c r="N79" s="179">
        <v>189828.21</v>
      </c>
    </row>
    <row r="80" spans="1:14" s="156" customFormat="1" x14ac:dyDescent="0.25">
      <c r="A80" s="156" t="s">
        <v>542</v>
      </c>
      <c r="B80" s="156" t="s">
        <v>283</v>
      </c>
      <c r="C80" s="156" t="s">
        <v>284</v>
      </c>
      <c r="D80" s="156" t="s">
        <v>543</v>
      </c>
      <c r="E80" s="179">
        <v>450000</v>
      </c>
      <c r="F80" s="179">
        <v>0</v>
      </c>
      <c r="G80" s="179">
        <v>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9">
        <v>0</v>
      </c>
      <c r="N80" s="179">
        <v>0</v>
      </c>
    </row>
    <row r="81" spans="1:14" s="156" customFormat="1" x14ac:dyDescent="0.25">
      <c r="A81" s="156" t="s">
        <v>542</v>
      </c>
      <c r="B81" s="156" t="s">
        <v>285</v>
      </c>
      <c r="C81" s="156" t="s">
        <v>286</v>
      </c>
      <c r="D81" s="156" t="s">
        <v>543</v>
      </c>
      <c r="E81" s="179">
        <v>500000</v>
      </c>
      <c r="F81" s="179">
        <v>800000</v>
      </c>
      <c r="G81" s="179">
        <v>800000</v>
      </c>
      <c r="H81" s="179">
        <v>0</v>
      </c>
      <c r="I81" s="179">
        <v>0</v>
      </c>
      <c r="J81" s="179">
        <v>0</v>
      </c>
      <c r="K81" s="179">
        <v>780000</v>
      </c>
      <c r="L81" s="179">
        <v>780000</v>
      </c>
      <c r="M81" s="179">
        <v>20000</v>
      </c>
      <c r="N81" s="179">
        <v>20000</v>
      </c>
    </row>
    <row r="82" spans="1:14" s="156" customFormat="1" x14ac:dyDescent="0.25">
      <c r="A82" s="156" t="s">
        <v>542</v>
      </c>
      <c r="B82" s="156" t="s">
        <v>287</v>
      </c>
      <c r="C82" s="156" t="s">
        <v>288</v>
      </c>
      <c r="D82" s="156" t="s">
        <v>543</v>
      </c>
      <c r="E82" s="179">
        <v>3000000</v>
      </c>
      <c r="F82" s="179">
        <v>3000000</v>
      </c>
      <c r="G82" s="179">
        <v>3000000</v>
      </c>
      <c r="H82" s="179">
        <v>0</v>
      </c>
      <c r="I82" s="179">
        <v>0</v>
      </c>
      <c r="J82" s="179">
        <v>0</v>
      </c>
      <c r="K82" s="179">
        <v>2482150.2799999998</v>
      </c>
      <c r="L82" s="179">
        <v>1937000</v>
      </c>
      <c r="M82" s="179">
        <v>517849.72</v>
      </c>
      <c r="N82" s="179">
        <v>517849.72</v>
      </c>
    </row>
    <row r="83" spans="1:14" s="156" customFormat="1" x14ac:dyDescent="0.25">
      <c r="A83" s="156" t="s">
        <v>542</v>
      </c>
      <c r="B83" s="156" t="s">
        <v>295</v>
      </c>
      <c r="C83" s="156" t="s">
        <v>296</v>
      </c>
      <c r="D83" s="156" t="s">
        <v>543</v>
      </c>
      <c r="E83" s="179">
        <v>200000</v>
      </c>
      <c r="F83" s="179">
        <v>200000</v>
      </c>
      <c r="G83" s="179">
        <v>200000</v>
      </c>
      <c r="H83" s="179">
        <v>0</v>
      </c>
      <c r="I83" s="179">
        <v>0</v>
      </c>
      <c r="J83" s="179">
        <v>0</v>
      </c>
      <c r="K83" s="179">
        <v>200000</v>
      </c>
      <c r="L83" s="179">
        <v>200000</v>
      </c>
      <c r="M83" s="179">
        <v>0</v>
      </c>
      <c r="N83" s="179">
        <v>0</v>
      </c>
    </row>
    <row r="84" spans="1:14" s="156" customFormat="1" x14ac:dyDescent="0.25">
      <c r="A84" s="156" t="s">
        <v>542</v>
      </c>
      <c r="B84" s="156" t="s">
        <v>340</v>
      </c>
      <c r="C84" s="156" t="s">
        <v>341</v>
      </c>
      <c r="D84" s="156" t="s">
        <v>541</v>
      </c>
      <c r="E84" s="179">
        <v>0</v>
      </c>
      <c r="F84" s="179">
        <v>594000</v>
      </c>
      <c r="G84" s="179">
        <v>594000</v>
      </c>
      <c r="H84" s="179">
        <v>0</v>
      </c>
      <c r="I84" s="179">
        <v>0</v>
      </c>
      <c r="J84" s="179">
        <v>0</v>
      </c>
      <c r="K84" s="179">
        <v>565181</v>
      </c>
      <c r="L84" s="179">
        <v>565181</v>
      </c>
      <c r="M84" s="179">
        <v>28819</v>
      </c>
      <c r="N84" s="179">
        <v>28819</v>
      </c>
    </row>
    <row r="85" spans="1:14" s="156" customFormat="1" x14ac:dyDescent="0.25">
      <c r="A85" s="156" t="s">
        <v>542</v>
      </c>
      <c r="B85" s="156" t="s">
        <v>342</v>
      </c>
      <c r="C85" s="156" t="s">
        <v>343</v>
      </c>
      <c r="D85" s="156" t="s">
        <v>541</v>
      </c>
      <c r="E85" s="179">
        <v>0</v>
      </c>
      <c r="F85" s="179">
        <v>594000</v>
      </c>
      <c r="G85" s="179">
        <v>594000</v>
      </c>
      <c r="H85" s="179">
        <v>0</v>
      </c>
      <c r="I85" s="179">
        <v>0</v>
      </c>
      <c r="J85" s="179">
        <v>0</v>
      </c>
      <c r="K85" s="179">
        <v>565181</v>
      </c>
      <c r="L85" s="179">
        <v>565181</v>
      </c>
      <c r="M85" s="179">
        <v>28819</v>
      </c>
      <c r="N85" s="179">
        <v>28819</v>
      </c>
    </row>
    <row r="86" spans="1:14" s="156" customFormat="1" x14ac:dyDescent="0.25">
      <c r="A86" s="156" t="s">
        <v>542</v>
      </c>
      <c r="B86" s="156" t="s">
        <v>251</v>
      </c>
      <c r="C86" s="156" t="s">
        <v>252</v>
      </c>
      <c r="D86" s="156" t="s">
        <v>541</v>
      </c>
      <c r="E86" s="179">
        <v>756772000</v>
      </c>
      <c r="F86" s="179">
        <v>759678000</v>
      </c>
      <c r="G86" s="179">
        <v>759678000</v>
      </c>
      <c r="H86" s="179">
        <v>0</v>
      </c>
      <c r="I86" s="179">
        <v>0</v>
      </c>
      <c r="J86" s="179">
        <v>0</v>
      </c>
      <c r="K86" s="179">
        <v>715117602.11000001</v>
      </c>
      <c r="L86" s="179">
        <v>715117602.11000001</v>
      </c>
      <c r="M86" s="179">
        <v>44560397.890000001</v>
      </c>
      <c r="N86" s="179">
        <v>44560397.890000001</v>
      </c>
    </row>
    <row r="87" spans="1:14" s="156" customFormat="1" x14ac:dyDescent="0.25">
      <c r="A87" s="156" t="s">
        <v>542</v>
      </c>
      <c r="B87" s="156" t="s">
        <v>253</v>
      </c>
      <c r="C87" s="156" t="s">
        <v>254</v>
      </c>
      <c r="D87" s="156" t="s">
        <v>541</v>
      </c>
      <c r="E87" s="179">
        <v>312265000</v>
      </c>
      <c r="F87" s="179">
        <v>312265000</v>
      </c>
      <c r="G87" s="179">
        <v>312265000</v>
      </c>
      <c r="H87" s="179">
        <v>0</v>
      </c>
      <c r="I87" s="179">
        <v>0</v>
      </c>
      <c r="J87" s="179">
        <v>0</v>
      </c>
      <c r="K87" s="179">
        <v>277749194.51999998</v>
      </c>
      <c r="L87" s="179">
        <v>277749194.51999998</v>
      </c>
      <c r="M87" s="179">
        <v>34515805.479999997</v>
      </c>
      <c r="N87" s="179">
        <v>34515805.479999997</v>
      </c>
    </row>
    <row r="88" spans="1:14" s="156" customFormat="1" x14ac:dyDescent="0.25">
      <c r="A88" s="156" t="s">
        <v>542</v>
      </c>
      <c r="B88" s="156" t="s">
        <v>255</v>
      </c>
      <c r="C88" s="156" t="s">
        <v>256</v>
      </c>
      <c r="D88" s="156" t="s">
        <v>541</v>
      </c>
      <c r="E88" s="179">
        <v>2000000</v>
      </c>
      <c r="F88" s="179">
        <v>2000000</v>
      </c>
      <c r="G88" s="179">
        <v>2000000</v>
      </c>
      <c r="H88" s="179">
        <v>0</v>
      </c>
      <c r="I88" s="179">
        <v>0</v>
      </c>
      <c r="J88" s="179">
        <v>0</v>
      </c>
      <c r="K88" s="179">
        <v>2000000</v>
      </c>
      <c r="L88" s="179">
        <v>2000000</v>
      </c>
      <c r="M88" s="179">
        <v>0</v>
      </c>
      <c r="N88" s="179">
        <v>0</v>
      </c>
    </row>
    <row r="89" spans="1:14" s="156" customFormat="1" x14ac:dyDescent="0.25">
      <c r="A89" s="156" t="s">
        <v>542</v>
      </c>
      <c r="B89" s="156" t="s">
        <v>257</v>
      </c>
      <c r="C89" s="156" t="s">
        <v>258</v>
      </c>
      <c r="D89" s="156" t="s">
        <v>541</v>
      </c>
      <c r="E89" s="179">
        <v>300000000</v>
      </c>
      <c r="F89" s="179">
        <v>300000000</v>
      </c>
      <c r="G89" s="179">
        <v>300000000</v>
      </c>
      <c r="H89" s="179">
        <v>0</v>
      </c>
      <c r="I89" s="179">
        <v>0</v>
      </c>
      <c r="J89" s="179">
        <v>0</v>
      </c>
      <c r="K89" s="179">
        <v>266694271.5</v>
      </c>
      <c r="L89" s="179">
        <v>266694271.5</v>
      </c>
      <c r="M89" s="179">
        <v>33305728.5</v>
      </c>
      <c r="N89" s="179">
        <v>33305728.5</v>
      </c>
    </row>
    <row r="90" spans="1:14" s="156" customFormat="1" x14ac:dyDescent="0.25">
      <c r="A90" s="156" t="s">
        <v>542</v>
      </c>
      <c r="B90" s="156" t="s">
        <v>259</v>
      </c>
      <c r="C90" s="156" t="s">
        <v>625</v>
      </c>
      <c r="D90" s="156" t="s">
        <v>541</v>
      </c>
      <c r="E90" s="179">
        <v>7173000</v>
      </c>
      <c r="F90" s="179">
        <v>7173000</v>
      </c>
      <c r="G90" s="179">
        <v>7173000</v>
      </c>
      <c r="H90" s="179">
        <v>0</v>
      </c>
      <c r="I90" s="179">
        <v>0</v>
      </c>
      <c r="J90" s="179">
        <v>0</v>
      </c>
      <c r="K90" s="179">
        <v>6581323</v>
      </c>
      <c r="L90" s="179">
        <v>6581323</v>
      </c>
      <c r="M90" s="179">
        <v>591677</v>
      </c>
      <c r="N90" s="179">
        <v>591677</v>
      </c>
    </row>
    <row r="91" spans="1:14" s="156" customFormat="1" x14ac:dyDescent="0.25">
      <c r="A91" s="156" t="s">
        <v>542</v>
      </c>
      <c r="B91" s="156" t="s">
        <v>260</v>
      </c>
      <c r="C91" s="156" t="s">
        <v>626</v>
      </c>
      <c r="D91" s="156" t="s">
        <v>541</v>
      </c>
      <c r="E91" s="179">
        <v>3092000</v>
      </c>
      <c r="F91" s="179">
        <v>3092000</v>
      </c>
      <c r="G91" s="179">
        <v>3092000</v>
      </c>
      <c r="H91" s="179">
        <v>0</v>
      </c>
      <c r="I91" s="179">
        <v>0</v>
      </c>
      <c r="J91" s="179">
        <v>0</v>
      </c>
      <c r="K91" s="179">
        <v>2473600.02</v>
      </c>
      <c r="L91" s="179">
        <v>2473600.02</v>
      </c>
      <c r="M91" s="179">
        <v>618399.98</v>
      </c>
      <c r="N91" s="179">
        <v>618399.98</v>
      </c>
    </row>
    <row r="92" spans="1:14" s="156" customFormat="1" x14ac:dyDescent="0.25">
      <c r="A92" s="156" t="s">
        <v>542</v>
      </c>
      <c r="B92" s="156" t="s">
        <v>261</v>
      </c>
      <c r="C92" s="156" t="s">
        <v>262</v>
      </c>
      <c r="D92" s="156" t="s">
        <v>541</v>
      </c>
      <c r="E92" s="179">
        <v>40000000</v>
      </c>
      <c r="F92" s="179">
        <v>40000000</v>
      </c>
      <c r="G92" s="179">
        <v>40000000</v>
      </c>
      <c r="H92" s="179">
        <v>0</v>
      </c>
      <c r="I92" s="179">
        <v>0</v>
      </c>
      <c r="J92" s="179">
        <v>0</v>
      </c>
      <c r="K92" s="179">
        <v>32114471</v>
      </c>
      <c r="L92" s="179">
        <v>32114471</v>
      </c>
      <c r="M92" s="179">
        <v>7885529</v>
      </c>
      <c r="N92" s="179">
        <v>7885529</v>
      </c>
    </row>
    <row r="93" spans="1:14" s="156" customFormat="1" x14ac:dyDescent="0.25">
      <c r="A93" s="156" t="s">
        <v>542</v>
      </c>
      <c r="B93" s="156" t="s">
        <v>263</v>
      </c>
      <c r="C93" s="156" t="s">
        <v>264</v>
      </c>
      <c r="D93" s="156" t="s">
        <v>541</v>
      </c>
      <c r="E93" s="179">
        <v>30000000</v>
      </c>
      <c r="F93" s="179">
        <v>30000000</v>
      </c>
      <c r="G93" s="179">
        <v>30000000</v>
      </c>
      <c r="H93" s="179">
        <v>0</v>
      </c>
      <c r="I93" s="179">
        <v>0</v>
      </c>
      <c r="J93" s="179">
        <v>0</v>
      </c>
      <c r="K93" s="179">
        <v>30000000</v>
      </c>
      <c r="L93" s="179">
        <v>30000000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265</v>
      </c>
      <c r="C94" s="156" t="s">
        <v>266</v>
      </c>
      <c r="D94" s="156" t="s">
        <v>541</v>
      </c>
      <c r="E94" s="179">
        <v>10000000</v>
      </c>
      <c r="F94" s="179">
        <v>10000000</v>
      </c>
      <c r="G94" s="179">
        <v>10000000</v>
      </c>
      <c r="H94" s="179">
        <v>0</v>
      </c>
      <c r="I94" s="179">
        <v>0</v>
      </c>
      <c r="J94" s="179">
        <v>0</v>
      </c>
      <c r="K94" s="179">
        <v>2114471</v>
      </c>
      <c r="L94" s="179">
        <v>2114471</v>
      </c>
      <c r="M94" s="179">
        <v>7885529</v>
      </c>
      <c r="N94" s="179">
        <v>7885529</v>
      </c>
    </row>
    <row r="95" spans="1:14" s="156" customFormat="1" x14ac:dyDescent="0.25">
      <c r="A95" s="156" t="s">
        <v>542</v>
      </c>
      <c r="B95" s="156" t="s">
        <v>267</v>
      </c>
      <c r="C95" s="156" t="s">
        <v>268</v>
      </c>
      <c r="D95" s="156" t="s">
        <v>541</v>
      </c>
      <c r="E95" s="179">
        <v>3000000</v>
      </c>
      <c r="F95" s="179">
        <v>0</v>
      </c>
      <c r="G95" s="179">
        <v>0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0</v>
      </c>
      <c r="N95" s="179">
        <v>0</v>
      </c>
    </row>
    <row r="96" spans="1:14" s="156" customFormat="1" x14ac:dyDescent="0.25">
      <c r="A96" s="156" t="s">
        <v>542</v>
      </c>
      <c r="B96" s="156" t="s">
        <v>269</v>
      </c>
      <c r="C96" s="156" t="s">
        <v>270</v>
      </c>
      <c r="D96" s="156" t="s">
        <v>541</v>
      </c>
      <c r="E96" s="179">
        <v>1500000</v>
      </c>
      <c r="F96" s="179">
        <v>0</v>
      </c>
      <c r="G96" s="179">
        <v>0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0</v>
      </c>
      <c r="N96" s="179">
        <v>0</v>
      </c>
    </row>
    <row r="97" spans="1:14" s="156" customFormat="1" x14ac:dyDescent="0.25">
      <c r="A97" s="156" t="s">
        <v>542</v>
      </c>
      <c r="B97" s="156" t="s">
        <v>271</v>
      </c>
      <c r="C97" s="156" t="s">
        <v>272</v>
      </c>
      <c r="D97" s="156" t="s">
        <v>541</v>
      </c>
      <c r="E97" s="179">
        <v>1500000</v>
      </c>
      <c r="F97" s="179">
        <v>0</v>
      </c>
      <c r="G97" s="179">
        <v>0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0</v>
      </c>
      <c r="N97" s="179">
        <v>0</v>
      </c>
    </row>
    <row r="98" spans="1:14" s="156" customFormat="1" x14ac:dyDescent="0.25">
      <c r="A98" s="156" t="s">
        <v>542</v>
      </c>
      <c r="B98" s="156" t="s">
        <v>273</v>
      </c>
      <c r="C98" s="156" t="s">
        <v>274</v>
      </c>
      <c r="D98" s="156" t="s">
        <v>541</v>
      </c>
      <c r="E98" s="179">
        <v>401507000</v>
      </c>
      <c r="F98" s="179">
        <v>407413000</v>
      </c>
      <c r="G98" s="179">
        <v>407413000</v>
      </c>
      <c r="H98" s="179">
        <v>0</v>
      </c>
      <c r="I98" s="179">
        <v>0</v>
      </c>
      <c r="J98" s="179">
        <v>0</v>
      </c>
      <c r="K98" s="179">
        <v>405253936.58999997</v>
      </c>
      <c r="L98" s="179">
        <v>405253936.58999997</v>
      </c>
      <c r="M98" s="179">
        <v>2159063.41</v>
      </c>
      <c r="N98" s="179">
        <v>2159063.41</v>
      </c>
    </row>
    <row r="99" spans="1:14" s="156" customFormat="1" x14ac:dyDescent="0.25">
      <c r="A99" s="156" t="s">
        <v>542</v>
      </c>
      <c r="B99" s="156" t="s">
        <v>275</v>
      </c>
      <c r="C99" s="156" t="s">
        <v>276</v>
      </c>
      <c r="D99" s="156" t="s">
        <v>541</v>
      </c>
      <c r="E99" s="179">
        <v>389032000</v>
      </c>
      <c r="F99" s="179">
        <v>389032000</v>
      </c>
      <c r="G99" s="179">
        <v>389032000</v>
      </c>
      <c r="H99" s="179">
        <v>0</v>
      </c>
      <c r="I99" s="179">
        <v>0</v>
      </c>
      <c r="J99" s="179">
        <v>0</v>
      </c>
      <c r="K99" s="179">
        <v>389032000</v>
      </c>
      <c r="L99" s="179">
        <v>389032000</v>
      </c>
      <c r="M99" s="179">
        <v>0</v>
      </c>
      <c r="N99" s="179">
        <v>0</v>
      </c>
    </row>
    <row r="100" spans="1:14" s="156" customFormat="1" x14ac:dyDescent="0.25">
      <c r="A100" s="156" t="s">
        <v>542</v>
      </c>
      <c r="B100" s="156" t="s">
        <v>561</v>
      </c>
      <c r="C100" s="156" t="s">
        <v>584</v>
      </c>
      <c r="D100" s="156" t="s">
        <v>541</v>
      </c>
      <c r="E100" s="179">
        <v>8975000</v>
      </c>
      <c r="F100" s="179">
        <v>15000918</v>
      </c>
      <c r="G100" s="179">
        <v>15000918</v>
      </c>
      <c r="H100" s="179">
        <v>0</v>
      </c>
      <c r="I100" s="179">
        <v>0</v>
      </c>
      <c r="J100" s="179">
        <v>0</v>
      </c>
      <c r="K100" s="179">
        <v>12841855.289999999</v>
      </c>
      <c r="L100" s="179">
        <v>12841855.289999999</v>
      </c>
      <c r="M100" s="179">
        <v>2159062.71</v>
      </c>
      <c r="N100" s="179">
        <v>2159062.71</v>
      </c>
    </row>
    <row r="101" spans="1:14" s="156" customFormat="1" x14ac:dyDescent="0.25">
      <c r="A101" s="156" t="s">
        <v>542</v>
      </c>
      <c r="B101" s="156" t="s">
        <v>277</v>
      </c>
      <c r="C101" s="156" t="s">
        <v>278</v>
      </c>
      <c r="D101" s="156" t="s">
        <v>541</v>
      </c>
      <c r="E101" s="179">
        <v>3500000</v>
      </c>
      <c r="F101" s="179">
        <v>3380082</v>
      </c>
      <c r="G101" s="179">
        <v>3380082</v>
      </c>
      <c r="H101" s="179">
        <v>0</v>
      </c>
      <c r="I101" s="179">
        <v>0</v>
      </c>
      <c r="J101" s="179">
        <v>0</v>
      </c>
      <c r="K101" s="179">
        <v>3380081.3</v>
      </c>
      <c r="L101" s="179">
        <v>3380081.3</v>
      </c>
      <c r="M101" s="179">
        <v>0.7</v>
      </c>
      <c r="N101" s="179">
        <v>0.7</v>
      </c>
    </row>
    <row r="102" spans="1:14" s="156" customFormat="1" x14ac:dyDescent="0.25">
      <c r="A102" s="156" t="s">
        <v>542</v>
      </c>
      <c r="B102" s="156" t="s">
        <v>576</v>
      </c>
      <c r="C102" s="156" t="s">
        <v>577</v>
      </c>
      <c r="D102" s="156" t="s">
        <v>541</v>
      </c>
      <c r="E102" s="179">
        <v>0</v>
      </c>
      <c r="F102" s="179">
        <v>17560000</v>
      </c>
      <c r="G102" s="179">
        <v>17560000</v>
      </c>
      <c r="H102" s="179">
        <v>0</v>
      </c>
      <c r="I102" s="179">
        <v>0</v>
      </c>
      <c r="J102" s="179">
        <v>0</v>
      </c>
      <c r="K102" s="179">
        <v>0</v>
      </c>
      <c r="L102" s="179">
        <v>0</v>
      </c>
      <c r="M102" s="179">
        <v>17560000</v>
      </c>
      <c r="N102" s="179">
        <v>17560000</v>
      </c>
    </row>
    <row r="103" spans="1:14" s="156" customFormat="1" x14ac:dyDescent="0.25">
      <c r="A103" s="156" t="s">
        <v>542</v>
      </c>
      <c r="B103" s="156" t="s">
        <v>574</v>
      </c>
      <c r="C103" s="156" t="s">
        <v>575</v>
      </c>
      <c r="D103" s="156" t="s">
        <v>541</v>
      </c>
      <c r="E103" s="179">
        <v>0</v>
      </c>
      <c r="F103" s="179">
        <v>17560000</v>
      </c>
      <c r="G103" s="179">
        <v>17560000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17560000</v>
      </c>
      <c r="N103" s="179">
        <v>17560000</v>
      </c>
    </row>
    <row r="104" spans="1:14" s="156" customFormat="1" x14ac:dyDescent="0.25">
      <c r="A104" s="156" t="s">
        <v>542</v>
      </c>
      <c r="B104" s="156" t="s">
        <v>572</v>
      </c>
      <c r="C104" s="156" t="s">
        <v>573</v>
      </c>
      <c r="D104" s="156" t="s">
        <v>541</v>
      </c>
      <c r="E104" s="179">
        <v>0</v>
      </c>
      <c r="F104" s="179">
        <v>17560000</v>
      </c>
      <c r="G104" s="179">
        <v>17560000</v>
      </c>
      <c r="H104" s="179">
        <v>0</v>
      </c>
      <c r="I104" s="179">
        <v>0</v>
      </c>
      <c r="J104" s="179">
        <v>0</v>
      </c>
      <c r="K104" s="179">
        <v>0</v>
      </c>
      <c r="L104" s="179">
        <v>0</v>
      </c>
      <c r="M104" s="179">
        <v>17560000</v>
      </c>
      <c r="N104" s="179">
        <v>17560000</v>
      </c>
    </row>
    <row r="105" spans="1:14" s="156" customFormat="1" x14ac:dyDescent="0.25">
      <c r="A105" s="156">
        <v>214780</v>
      </c>
      <c r="B105" s="156" t="s">
        <v>587</v>
      </c>
      <c r="C105" s="156" t="s">
        <v>587</v>
      </c>
      <c r="D105" s="156" t="s">
        <v>541</v>
      </c>
      <c r="E105" s="179">
        <v>1255933000</v>
      </c>
      <c r="F105" s="179">
        <v>1034622551</v>
      </c>
      <c r="G105" s="179">
        <v>1034622550</v>
      </c>
      <c r="H105" s="179">
        <v>0</v>
      </c>
      <c r="I105" s="179">
        <v>7452690.6399999997</v>
      </c>
      <c r="J105" s="179">
        <v>0</v>
      </c>
      <c r="K105" s="179">
        <v>937922572.63</v>
      </c>
      <c r="L105" s="179">
        <v>920858300.59000003</v>
      </c>
      <c r="M105" s="179">
        <v>89247287.730000004</v>
      </c>
      <c r="N105" s="179">
        <v>89247286.730000004</v>
      </c>
    </row>
    <row r="106" spans="1:14" s="156" customFormat="1" x14ac:dyDescent="0.25">
      <c r="A106" s="156" t="s">
        <v>544</v>
      </c>
      <c r="B106" s="156" t="s">
        <v>92</v>
      </c>
      <c r="C106" s="156" t="s">
        <v>93</v>
      </c>
      <c r="D106" s="156" t="s">
        <v>541</v>
      </c>
      <c r="E106" s="179">
        <v>1043285000</v>
      </c>
      <c r="F106" s="179">
        <v>820497351</v>
      </c>
      <c r="G106" s="179">
        <v>820497350</v>
      </c>
      <c r="H106" s="179">
        <v>0</v>
      </c>
      <c r="I106" s="179">
        <v>0</v>
      </c>
      <c r="J106" s="179">
        <v>0</v>
      </c>
      <c r="K106" s="179">
        <v>759561758.28999996</v>
      </c>
      <c r="L106" s="179">
        <v>759561758.28999996</v>
      </c>
      <c r="M106" s="179">
        <v>60935592.710000001</v>
      </c>
      <c r="N106" s="179">
        <v>60935591.710000001</v>
      </c>
    </row>
    <row r="107" spans="1:14" s="156" customFormat="1" x14ac:dyDescent="0.25">
      <c r="A107" s="156" t="s">
        <v>544</v>
      </c>
      <c r="B107" s="156" t="s">
        <v>94</v>
      </c>
      <c r="C107" s="156" t="s">
        <v>95</v>
      </c>
      <c r="D107" s="156" t="s">
        <v>541</v>
      </c>
      <c r="E107" s="179">
        <v>415877000</v>
      </c>
      <c r="F107" s="179">
        <v>344741351</v>
      </c>
      <c r="G107" s="179">
        <v>344741350</v>
      </c>
      <c r="H107" s="179">
        <v>0</v>
      </c>
      <c r="I107" s="179">
        <v>0</v>
      </c>
      <c r="J107" s="179">
        <v>0</v>
      </c>
      <c r="K107" s="179">
        <v>296355496.54000002</v>
      </c>
      <c r="L107" s="179">
        <v>296355496.54000002</v>
      </c>
      <c r="M107" s="179">
        <v>48385854.460000001</v>
      </c>
      <c r="N107" s="179">
        <v>48385853.460000001</v>
      </c>
    </row>
    <row r="108" spans="1:14" s="156" customFormat="1" x14ac:dyDescent="0.25">
      <c r="A108" s="156" t="s">
        <v>544</v>
      </c>
      <c r="B108" s="156" t="s">
        <v>96</v>
      </c>
      <c r="C108" s="156" t="s">
        <v>97</v>
      </c>
      <c r="D108" s="156" t="s">
        <v>541</v>
      </c>
      <c r="E108" s="179">
        <v>415877000</v>
      </c>
      <c r="F108" s="179">
        <v>344741351</v>
      </c>
      <c r="G108" s="179">
        <v>344741350</v>
      </c>
      <c r="H108" s="179">
        <v>0</v>
      </c>
      <c r="I108" s="179">
        <v>0</v>
      </c>
      <c r="J108" s="179">
        <v>0</v>
      </c>
      <c r="K108" s="179">
        <v>296355496.54000002</v>
      </c>
      <c r="L108" s="179">
        <v>296355496.54000002</v>
      </c>
      <c r="M108" s="179">
        <v>48385854.460000001</v>
      </c>
      <c r="N108" s="179">
        <v>48385853.460000001</v>
      </c>
    </row>
    <row r="109" spans="1:14" s="156" customFormat="1" x14ac:dyDescent="0.25">
      <c r="A109" s="156" t="s">
        <v>544</v>
      </c>
      <c r="B109" s="156" t="s">
        <v>102</v>
      </c>
      <c r="C109" s="156" t="s">
        <v>103</v>
      </c>
      <c r="D109" s="156" t="s">
        <v>541</v>
      </c>
      <c r="E109" s="179">
        <v>468875000</v>
      </c>
      <c r="F109" s="179">
        <v>341625000</v>
      </c>
      <c r="G109" s="179">
        <v>341625000</v>
      </c>
      <c r="H109" s="179">
        <v>0</v>
      </c>
      <c r="I109" s="179">
        <v>0</v>
      </c>
      <c r="J109" s="179">
        <v>0</v>
      </c>
      <c r="K109" s="179">
        <v>329507786.75</v>
      </c>
      <c r="L109" s="179">
        <v>329507786.75</v>
      </c>
      <c r="M109" s="179">
        <v>12117213.25</v>
      </c>
      <c r="N109" s="179">
        <v>12117213.25</v>
      </c>
    </row>
    <row r="110" spans="1:14" s="156" customFormat="1" x14ac:dyDescent="0.25">
      <c r="A110" s="156" t="s">
        <v>544</v>
      </c>
      <c r="B110" s="156" t="s">
        <v>104</v>
      </c>
      <c r="C110" s="156" t="s">
        <v>105</v>
      </c>
      <c r="D110" s="156" t="s">
        <v>541</v>
      </c>
      <c r="E110" s="179">
        <v>79992000</v>
      </c>
      <c r="F110" s="179">
        <v>64192000</v>
      </c>
      <c r="G110" s="179">
        <v>64192000</v>
      </c>
      <c r="H110" s="179">
        <v>0</v>
      </c>
      <c r="I110" s="179">
        <v>0</v>
      </c>
      <c r="J110" s="179">
        <v>0</v>
      </c>
      <c r="K110" s="179">
        <v>60873696.969999999</v>
      </c>
      <c r="L110" s="179">
        <v>60873696.969999999</v>
      </c>
      <c r="M110" s="179">
        <v>3318303.03</v>
      </c>
      <c r="N110" s="179">
        <v>3318303.03</v>
      </c>
    </row>
    <row r="111" spans="1:14" s="156" customFormat="1" x14ac:dyDescent="0.25">
      <c r="A111" s="156" t="s">
        <v>544</v>
      </c>
      <c r="B111" s="156" t="s">
        <v>106</v>
      </c>
      <c r="C111" s="156" t="s">
        <v>107</v>
      </c>
      <c r="D111" s="156" t="s">
        <v>541</v>
      </c>
      <c r="E111" s="179">
        <v>248697000</v>
      </c>
      <c r="F111" s="179">
        <v>153947000</v>
      </c>
      <c r="G111" s="179">
        <v>153947000</v>
      </c>
      <c r="H111" s="179">
        <v>0</v>
      </c>
      <c r="I111" s="179">
        <v>0</v>
      </c>
      <c r="J111" s="179">
        <v>0</v>
      </c>
      <c r="K111" s="179">
        <v>148639198.22999999</v>
      </c>
      <c r="L111" s="179">
        <v>148639198.22999999</v>
      </c>
      <c r="M111" s="179">
        <v>5307801.7699999996</v>
      </c>
      <c r="N111" s="179">
        <v>5307801.7699999996</v>
      </c>
    </row>
    <row r="112" spans="1:14" s="156" customFormat="1" x14ac:dyDescent="0.25">
      <c r="A112" s="156" t="s">
        <v>544</v>
      </c>
      <c r="B112" s="156" t="s">
        <v>108</v>
      </c>
      <c r="C112" s="156" t="s">
        <v>109</v>
      </c>
      <c r="D112" s="156" t="s">
        <v>541</v>
      </c>
      <c r="E112" s="179">
        <v>43990000</v>
      </c>
      <c r="F112" s="179">
        <v>44290000</v>
      </c>
      <c r="G112" s="179">
        <v>44290000</v>
      </c>
      <c r="H112" s="179">
        <v>0</v>
      </c>
      <c r="I112" s="179">
        <v>0</v>
      </c>
      <c r="J112" s="179">
        <v>0</v>
      </c>
      <c r="K112" s="179">
        <v>43877811.079999998</v>
      </c>
      <c r="L112" s="179">
        <v>43877811.079999998</v>
      </c>
      <c r="M112" s="179">
        <v>412188.92</v>
      </c>
      <c r="N112" s="179">
        <v>412188.92</v>
      </c>
    </row>
    <row r="113" spans="1:14" s="156" customFormat="1" x14ac:dyDescent="0.25">
      <c r="A113" s="156" t="s">
        <v>544</v>
      </c>
      <c r="B113" s="156" t="s">
        <v>110</v>
      </c>
      <c r="C113" s="156" t="s">
        <v>111</v>
      </c>
      <c r="D113" s="156" t="s">
        <v>541</v>
      </c>
      <c r="E113" s="179">
        <v>31572000</v>
      </c>
      <c r="F113" s="179">
        <v>28572000</v>
      </c>
      <c r="G113" s="179">
        <v>28572000</v>
      </c>
      <c r="H113" s="179">
        <v>0</v>
      </c>
      <c r="I113" s="179">
        <v>0</v>
      </c>
      <c r="J113" s="179">
        <v>0</v>
      </c>
      <c r="K113" s="179">
        <v>28300605.809999999</v>
      </c>
      <c r="L113" s="179">
        <v>28300605.809999999</v>
      </c>
      <c r="M113" s="179">
        <v>271394.19</v>
      </c>
      <c r="N113" s="179">
        <v>271394.19</v>
      </c>
    </row>
    <row r="114" spans="1:14" s="156" customFormat="1" x14ac:dyDescent="0.25">
      <c r="A114" s="156" t="s">
        <v>544</v>
      </c>
      <c r="B114" s="156" t="s">
        <v>112</v>
      </c>
      <c r="C114" s="156" t="s">
        <v>113</v>
      </c>
      <c r="D114" s="156" t="s">
        <v>543</v>
      </c>
      <c r="E114" s="179">
        <v>64624000</v>
      </c>
      <c r="F114" s="179">
        <v>50624000</v>
      </c>
      <c r="G114" s="179">
        <v>50624000</v>
      </c>
      <c r="H114" s="179">
        <v>0</v>
      </c>
      <c r="I114" s="179">
        <v>0</v>
      </c>
      <c r="J114" s="179">
        <v>0</v>
      </c>
      <c r="K114" s="179">
        <v>47816474.659999996</v>
      </c>
      <c r="L114" s="179">
        <v>47816474.659999996</v>
      </c>
      <c r="M114" s="179">
        <v>2807525.34</v>
      </c>
      <c r="N114" s="179">
        <v>2807525.34</v>
      </c>
    </row>
    <row r="115" spans="1:14" s="156" customFormat="1" x14ac:dyDescent="0.25">
      <c r="A115" s="156" t="s">
        <v>544</v>
      </c>
      <c r="B115" s="156" t="s">
        <v>114</v>
      </c>
      <c r="C115" s="156" t="s">
        <v>115</v>
      </c>
      <c r="D115" s="156" t="s">
        <v>541</v>
      </c>
      <c r="E115" s="179">
        <v>79963000</v>
      </c>
      <c r="F115" s="179">
        <v>67011000</v>
      </c>
      <c r="G115" s="179">
        <v>67011000</v>
      </c>
      <c r="H115" s="179">
        <v>0</v>
      </c>
      <c r="I115" s="179">
        <v>0</v>
      </c>
      <c r="J115" s="179">
        <v>0</v>
      </c>
      <c r="K115" s="179">
        <v>66887467</v>
      </c>
      <c r="L115" s="179">
        <v>66887467</v>
      </c>
      <c r="M115" s="179">
        <v>123533</v>
      </c>
      <c r="N115" s="179">
        <v>123533</v>
      </c>
    </row>
    <row r="116" spans="1:14" s="156" customFormat="1" x14ac:dyDescent="0.25">
      <c r="A116" s="156" t="s">
        <v>544</v>
      </c>
      <c r="B116" s="156" t="s">
        <v>301</v>
      </c>
      <c r="C116" s="156" t="s">
        <v>620</v>
      </c>
      <c r="D116" s="156" t="s">
        <v>541</v>
      </c>
      <c r="E116" s="179">
        <v>75862000</v>
      </c>
      <c r="F116" s="179">
        <v>63432000</v>
      </c>
      <c r="G116" s="179">
        <v>63432000</v>
      </c>
      <c r="H116" s="179">
        <v>0</v>
      </c>
      <c r="I116" s="179">
        <v>0</v>
      </c>
      <c r="J116" s="179">
        <v>0</v>
      </c>
      <c r="K116" s="179">
        <v>63429826</v>
      </c>
      <c r="L116" s="179">
        <v>63429826</v>
      </c>
      <c r="M116" s="179">
        <v>2174</v>
      </c>
      <c r="N116" s="179">
        <v>2174</v>
      </c>
    </row>
    <row r="117" spans="1:14" s="156" customFormat="1" x14ac:dyDescent="0.25">
      <c r="A117" s="156" t="s">
        <v>544</v>
      </c>
      <c r="B117" s="156" t="s">
        <v>302</v>
      </c>
      <c r="C117" s="156" t="s">
        <v>583</v>
      </c>
      <c r="D117" s="156" t="s">
        <v>541</v>
      </c>
      <c r="E117" s="179">
        <v>4101000</v>
      </c>
      <c r="F117" s="179">
        <v>3579000</v>
      </c>
      <c r="G117" s="179">
        <v>3579000</v>
      </c>
      <c r="H117" s="179">
        <v>0</v>
      </c>
      <c r="I117" s="179">
        <v>0</v>
      </c>
      <c r="J117" s="179">
        <v>0</v>
      </c>
      <c r="K117" s="179">
        <v>3457641</v>
      </c>
      <c r="L117" s="179">
        <v>3457641</v>
      </c>
      <c r="M117" s="179">
        <v>121359</v>
      </c>
      <c r="N117" s="179">
        <v>121359</v>
      </c>
    </row>
    <row r="118" spans="1:14" s="156" customFormat="1" x14ac:dyDescent="0.25">
      <c r="A118" s="156" t="s">
        <v>544</v>
      </c>
      <c r="B118" s="156" t="s">
        <v>118</v>
      </c>
      <c r="C118" s="156" t="s">
        <v>119</v>
      </c>
      <c r="D118" s="156" t="s">
        <v>541</v>
      </c>
      <c r="E118" s="179">
        <v>78570000</v>
      </c>
      <c r="F118" s="179">
        <v>67120000</v>
      </c>
      <c r="G118" s="179">
        <v>67120000</v>
      </c>
      <c r="H118" s="179">
        <v>0</v>
      </c>
      <c r="I118" s="179">
        <v>0</v>
      </c>
      <c r="J118" s="179">
        <v>0</v>
      </c>
      <c r="K118" s="179">
        <v>66811008</v>
      </c>
      <c r="L118" s="179">
        <v>66811008</v>
      </c>
      <c r="M118" s="179">
        <v>308992</v>
      </c>
      <c r="N118" s="179">
        <v>308992</v>
      </c>
    </row>
    <row r="119" spans="1:14" s="156" customFormat="1" x14ac:dyDescent="0.25">
      <c r="A119" s="156" t="s">
        <v>544</v>
      </c>
      <c r="B119" s="156" t="s">
        <v>303</v>
      </c>
      <c r="C119" s="156" t="s">
        <v>621</v>
      </c>
      <c r="D119" s="156" t="s">
        <v>541</v>
      </c>
      <c r="E119" s="179">
        <v>41663000</v>
      </c>
      <c r="F119" s="179">
        <v>35423000</v>
      </c>
      <c r="G119" s="179">
        <v>35423000</v>
      </c>
      <c r="H119" s="179">
        <v>0</v>
      </c>
      <c r="I119" s="179">
        <v>0</v>
      </c>
      <c r="J119" s="179">
        <v>0</v>
      </c>
      <c r="K119" s="179">
        <v>35398367</v>
      </c>
      <c r="L119" s="179">
        <v>35398367</v>
      </c>
      <c r="M119" s="179">
        <v>24633</v>
      </c>
      <c r="N119" s="179">
        <v>24633</v>
      </c>
    </row>
    <row r="120" spans="1:14" s="156" customFormat="1" x14ac:dyDescent="0.25">
      <c r="A120" s="156" t="s">
        <v>544</v>
      </c>
      <c r="B120" s="156" t="s">
        <v>304</v>
      </c>
      <c r="C120" s="156" t="s">
        <v>622</v>
      </c>
      <c r="D120" s="156" t="s">
        <v>541</v>
      </c>
      <c r="E120" s="179">
        <v>12303000</v>
      </c>
      <c r="F120" s="179">
        <v>10733000</v>
      </c>
      <c r="G120" s="179">
        <v>10733000</v>
      </c>
      <c r="H120" s="179">
        <v>0</v>
      </c>
      <c r="I120" s="179">
        <v>0</v>
      </c>
      <c r="J120" s="179">
        <v>0</v>
      </c>
      <c r="K120" s="179">
        <v>10666866</v>
      </c>
      <c r="L120" s="179">
        <v>10666866</v>
      </c>
      <c r="M120" s="179">
        <v>66134</v>
      </c>
      <c r="N120" s="179">
        <v>66134</v>
      </c>
    </row>
    <row r="121" spans="1:14" s="156" customFormat="1" x14ac:dyDescent="0.25">
      <c r="A121" s="156" t="s">
        <v>544</v>
      </c>
      <c r="B121" s="156" t="s">
        <v>305</v>
      </c>
      <c r="C121" s="156" t="s">
        <v>623</v>
      </c>
      <c r="D121" s="156" t="s">
        <v>541</v>
      </c>
      <c r="E121" s="179">
        <v>24604000</v>
      </c>
      <c r="F121" s="179">
        <v>20964000</v>
      </c>
      <c r="G121" s="179">
        <v>20964000</v>
      </c>
      <c r="H121" s="179">
        <v>0</v>
      </c>
      <c r="I121" s="179">
        <v>0</v>
      </c>
      <c r="J121" s="179">
        <v>0</v>
      </c>
      <c r="K121" s="179">
        <v>20745775</v>
      </c>
      <c r="L121" s="179">
        <v>20745775</v>
      </c>
      <c r="M121" s="179">
        <v>218225</v>
      </c>
      <c r="N121" s="179">
        <v>218225</v>
      </c>
    </row>
    <row r="122" spans="1:14" s="156" customFormat="1" x14ac:dyDescent="0.25">
      <c r="A122" s="156" t="s">
        <v>544</v>
      </c>
      <c r="B122" s="156" t="s">
        <v>123</v>
      </c>
      <c r="C122" s="156" t="s">
        <v>124</v>
      </c>
      <c r="D122" s="156" t="s">
        <v>541</v>
      </c>
      <c r="E122" s="179">
        <v>154113000</v>
      </c>
      <c r="F122" s="179">
        <v>145152200</v>
      </c>
      <c r="G122" s="179">
        <v>145152200</v>
      </c>
      <c r="H122" s="179">
        <v>0</v>
      </c>
      <c r="I122" s="179">
        <v>5902488.6399999997</v>
      </c>
      <c r="J122" s="179">
        <v>0</v>
      </c>
      <c r="K122" s="179">
        <v>126991884.34999999</v>
      </c>
      <c r="L122" s="179">
        <v>112669517.31</v>
      </c>
      <c r="M122" s="179">
        <v>12257827.01</v>
      </c>
      <c r="N122" s="179">
        <v>12257827.01</v>
      </c>
    </row>
    <row r="123" spans="1:14" s="156" customFormat="1" x14ac:dyDescent="0.25">
      <c r="A123" s="156" t="s">
        <v>544</v>
      </c>
      <c r="B123" s="156" t="s">
        <v>125</v>
      </c>
      <c r="C123" s="156" t="s">
        <v>126</v>
      </c>
      <c r="D123" s="156" t="s">
        <v>541</v>
      </c>
      <c r="E123" s="179">
        <v>92041000</v>
      </c>
      <c r="F123" s="179">
        <v>85078040</v>
      </c>
      <c r="G123" s="179">
        <v>85078040</v>
      </c>
      <c r="H123" s="179">
        <v>0</v>
      </c>
      <c r="I123" s="179">
        <v>395502.84</v>
      </c>
      <c r="J123" s="179">
        <v>0</v>
      </c>
      <c r="K123" s="179">
        <v>81829340.569999993</v>
      </c>
      <c r="L123" s="179">
        <v>72517952.530000001</v>
      </c>
      <c r="M123" s="179">
        <v>2853196.59</v>
      </c>
      <c r="N123" s="179">
        <v>2853196.59</v>
      </c>
    </row>
    <row r="124" spans="1:14" s="156" customFormat="1" x14ac:dyDescent="0.25">
      <c r="A124" s="156" t="s">
        <v>544</v>
      </c>
      <c r="B124" s="156" t="s">
        <v>306</v>
      </c>
      <c r="C124" s="156" t="s">
        <v>307</v>
      </c>
      <c r="D124" s="156" t="s">
        <v>541</v>
      </c>
      <c r="E124" s="179">
        <v>76041000</v>
      </c>
      <c r="F124" s="179">
        <v>67968040</v>
      </c>
      <c r="G124" s="179">
        <v>67968040</v>
      </c>
      <c r="H124" s="179">
        <v>0</v>
      </c>
      <c r="I124" s="179">
        <v>0</v>
      </c>
      <c r="J124" s="179">
        <v>0</v>
      </c>
      <c r="K124" s="179">
        <v>65715392.200000003</v>
      </c>
      <c r="L124" s="179">
        <v>60042006.530000001</v>
      </c>
      <c r="M124" s="179">
        <v>2252647.7999999998</v>
      </c>
      <c r="N124" s="179">
        <v>2252647.7999999998</v>
      </c>
    </row>
    <row r="125" spans="1:14" s="156" customFormat="1" x14ac:dyDescent="0.25">
      <c r="A125" s="156" t="s">
        <v>544</v>
      </c>
      <c r="B125" s="156" t="s">
        <v>127</v>
      </c>
      <c r="C125" s="156" t="s">
        <v>128</v>
      </c>
      <c r="D125" s="156" t="s">
        <v>541</v>
      </c>
      <c r="E125" s="179">
        <v>16000000</v>
      </c>
      <c r="F125" s="179">
        <v>17110000</v>
      </c>
      <c r="G125" s="179">
        <v>17110000</v>
      </c>
      <c r="H125" s="179">
        <v>0</v>
      </c>
      <c r="I125" s="179">
        <v>395502.84</v>
      </c>
      <c r="J125" s="179">
        <v>0</v>
      </c>
      <c r="K125" s="179">
        <v>16113948.369999999</v>
      </c>
      <c r="L125" s="179">
        <v>12475946</v>
      </c>
      <c r="M125" s="179">
        <v>600548.79</v>
      </c>
      <c r="N125" s="179">
        <v>600548.79</v>
      </c>
    </row>
    <row r="126" spans="1:14" s="156" customFormat="1" x14ac:dyDescent="0.25">
      <c r="A126" s="156" t="s">
        <v>544</v>
      </c>
      <c r="B126" s="156" t="s">
        <v>131</v>
      </c>
      <c r="C126" s="156" t="s">
        <v>132</v>
      </c>
      <c r="D126" s="156" t="s">
        <v>541</v>
      </c>
      <c r="E126" s="179">
        <v>22562000</v>
      </c>
      <c r="F126" s="179">
        <v>22538700</v>
      </c>
      <c r="G126" s="179">
        <v>22538700</v>
      </c>
      <c r="H126" s="179">
        <v>0</v>
      </c>
      <c r="I126" s="179">
        <v>3095768</v>
      </c>
      <c r="J126" s="179">
        <v>0</v>
      </c>
      <c r="K126" s="179">
        <v>14444976</v>
      </c>
      <c r="L126" s="179">
        <v>13127477</v>
      </c>
      <c r="M126" s="179">
        <v>4997956</v>
      </c>
      <c r="N126" s="179">
        <v>4997956</v>
      </c>
    </row>
    <row r="127" spans="1:14" s="156" customFormat="1" x14ac:dyDescent="0.25">
      <c r="A127" s="156" t="s">
        <v>544</v>
      </c>
      <c r="B127" s="156" t="s">
        <v>133</v>
      </c>
      <c r="C127" s="156" t="s">
        <v>134</v>
      </c>
      <c r="D127" s="156" t="s">
        <v>541</v>
      </c>
      <c r="E127" s="179">
        <v>2000000</v>
      </c>
      <c r="F127" s="179">
        <v>1976700</v>
      </c>
      <c r="G127" s="179">
        <v>1976700</v>
      </c>
      <c r="H127" s="179">
        <v>0</v>
      </c>
      <c r="I127" s="179">
        <v>90000</v>
      </c>
      <c r="J127" s="179">
        <v>0</v>
      </c>
      <c r="K127" s="179">
        <v>971065</v>
      </c>
      <c r="L127" s="179">
        <v>971065</v>
      </c>
      <c r="M127" s="179">
        <v>915635</v>
      </c>
      <c r="N127" s="179">
        <v>915635</v>
      </c>
    </row>
    <row r="128" spans="1:14" s="156" customFormat="1" x14ac:dyDescent="0.25">
      <c r="A128" s="156" t="s">
        <v>544</v>
      </c>
      <c r="B128" s="156" t="s">
        <v>135</v>
      </c>
      <c r="C128" s="156" t="s">
        <v>136</v>
      </c>
      <c r="D128" s="156" t="s">
        <v>541</v>
      </c>
      <c r="E128" s="179">
        <v>6000000</v>
      </c>
      <c r="F128" s="179">
        <v>6000000</v>
      </c>
      <c r="G128" s="179">
        <v>6000000</v>
      </c>
      <c r="H128" s="179">
        <v>0</v>
      </c>
      <c r="I128" s="179">
        <v>831990</v>
      </c>
      <c r="J128" s="179">
        <v>0</v>
      </c>
      <c r="K128" s="179">
        <v>3154992</v>
      </c>
      <c r="L128" s="179">
        <v>2877171</v>
      </c>
      <c r="M128" s="179">
        <v>2013018</v>
      </c>
      <c r="N128" s="179">
        <v>2013018</v>
      </c>
    </row>
    <row r="129" spans="1:14" s="156" customFormat="1" x14ac:dyDescent="0.25">
      <c r="A129" s="156" t="s">
        <v>544</v>
      </c>
      <c r="B129" s="156" t="s">
        <v>137</v>
      </c>
      <c r="C129" s="156" t="s">
        <v>138</v>
      </c>
      <c r="D129" s="156" t="s">
        <v>541</v>
      </c>
      <c r="E129" s="179">
        <v>500000</v>
      </c>
      <c r="F129" s="179">
        <v>500000</v>
      </c>
      <c r="G129" s="179">
        <v>500000</v>
      </c>
      <c r="H129" s="179">
        <v>0</v>
      </c>
      <c r="I129" s="179">
        <v>0</v>
      </c>
      <c r="J129" s="179">
        <v>0</v>
      </c>
      <c r="K129" s="179">
        <v>0</v>
      </c>
      <c r="L129" s="179">
        <v>0</v>
      </c>
      <c r="M129" s="179">
        <v>500000</v>
      </c>
      <c r="N129" s="179">
        <v>500000</v>
      </c>
    </row>
    <row r="130" spans="1:14" s="156" customFormat="1" x14ac:dyDescent="0.25">
      <c r="A130" s="156" t="s">
        <v>544</v>
      </c>
      <c r="B130" s="156" t="s">
        <v>139</v>
      </c>
      <c r="C130" s="156" t="s">
        <v>140</v>
      </c>
      <c r="D130" s="156" t="s">
        <v>541</v>
      </c>
      <c r="E130" s="179">
        <v>14062000</v>
      </c>
      <c r="F130" s="179">
        <v>14062000</v>
      </c>
      <c r="G130" s="179">
        <v>14062000</v>
      </c>
      <c r="H130" s="179">
        <v>0</v>
      </c>
      <c r="I130" s="179">
        <v>2173778</v>
      </c>
      <c r="J130" s="179">
        <v>0</v>
      </c>
      <c r="K130" s="179">
        <v>10318919</v>
      </c>
      <c r="L130" s="179">
        <v>9279241</v>
      </c>
      <c r="M130" s="179">
        <v>1569303</v>
      </c>
      <c r="N130" s="179">
        <v>1569303</v>
      </c>
    </row>
    <row r="131" spans="1:14" s="156" customFormat="1" x14ac:dyDescent="0.25">
      <c r="A131" s="156" t="s">
        <v>544</v>
      </c>
      <c r="B131" s="156" t="s">
        <v>143</v>
      </c>
      <c r="C131" s="156" t="s">
        <v>144</v>
      </c>
      <c r="D131" s="156" t="s">
        <v>541</v>
      </c>
      <c r="E131" s="179">
        <v>3169500</v>
      </c>
      <c r="F131" s="179">
        <v>3352960</v>
      </c>
      <c r="G131" s="179">
        <v>3352960</v>
      </c>
      <c r="H131" s="179">
        <v>0</v>
      </c>
      <c r="I131" s="179">
        <v>0</v>
      </c>
      <c r="J131" s="179">
        <v>0</v>
      </c>
      <c r="K131" s="179">
        <v>3168060</v>
      </c>
      <c r="L131" s="179">
        <v>3168060</v>
      </c>
      <c r="M131" s="179">
        <v>184900</v>
      </c>
      <c r="N131" s="179">
        <v>184900</v>
      </c>
    </row>
    <row r="132" spans="1:14" s="156" customFormat="1" x14ac:dyDescent="0.25">
      <c r="A132" s="156" t="s">
        <v>544</v>
      </c>
      <c r="B132" s="156" t="s">
        <v>145</v>
      </c>
      <c r="C132" s="156" t="s">
        <v>146</v>
      </c>
      <c r="D132" s="156" t="s">
        <v>541</v>
      </c>
      <c r="E132" s="179">
        <v>1000000</v>
      </c>
      <c r="F132" s="179">
        <v>250000</v>
      </c>
      <c r="G132" s="179">
        <v>250000</v>
      </c>
      <c r="H132" s="179">
        <v>0</v>
      </c>
      <c r="I132" s="179">
        <v>0</v>
      </c>
      <c r="J132" s="179">
        <v>0</v>
      </c>
      <c r="K132" s="179">
        <v>66810</v>
      </c>
      <c r="L132" s="179">
        <v>66810</v>
      </c>
      <c r="M132" s="179">
        <v>183190</v>
      </c>
      <c r="N132" s="179">
        <v>183190</v>
      </c>
    </row>
    <row r="133" spans="1:14" s="156" customFormat="1" x14ac:dyDescent="0.25">
      <c r="A133" s="156" t="s">
        <v>544</v>
      </c>
      <c r="B133" s="156" t="s">
        <v>308</v>
      </c>
      <c r="C133" s="156" t="s">
        <v>627</v>
      </c>
      <c r="D133" s="156" t="s">
        <v>541</v>
      </c>
      <c r="E133" s="179">
        <v>169500</v>
      </c>
      <c r="F133" s="179">
        <v>97250</v>
      </c>
      <c r="G133" s="179">
        <v>97250</v>
      </c>
      <c r="H133" s="179">
        <v>0</v>
      </c>
      <c r="I133" s="179">
        <v>0</v>
      </c>
      <c r="J133" s="179">
        <v>0</v>
      </c>
      <c r="K133" s="179">
        <v>97250</v>
      </c>
      <c r="L133" s="179">
        <v>97250</v>
      </c>
      <c r="M133" s="179">
        <v>0</v>
      </c>
      <c r="N133" s="179">
        <v>0</v>
      </c>
    </row>
    <row r="134" spans="1:14" s="156" customFormat="1" x14ac:dyDescent="0.25">
      <c r="A134" s="156" t="s">
        <v>544</v>
      </c>
      <c r="B134" s="156" t="s">
        <v>147</v>
      </c>
      <c r="C134" s="156" t="s">
        <v>148</v>
      </c>
      <c r="D134" s="156" t="s">
        <v>541</v>
      </c>
      <c r="E134" s="179">
        <v>2000000</v>
      </c>
      <c r="F134" s="179">
        <v>3005710</v>
      </c>
      <c r="G134" s="179">
        <v>3005710</v>
      </c>
      <c r="H134" s="179">
        <v>0</v>
      </c>
      <c r="I134" s="179">
        <v>0</v>
      </c>
      <c r="J134" s="179">
        <v>0</v>
      </c>
      <c r="K134" s="179">
        <v>3004000</v>
      </c>
      <c r="L134" s="179">
        <v>3004000</v>
      </c>
      <c r="M134" s="179">
        <v>1710</v>
      </c>
      <c r="N134" s="179">
        <v>1710</v>
      </c>
    </row>
    <row r="135" spans="1:14" s="156" customFormat="1" x14ac:dyDescent="0.25">
      <c r="A135" s="156" t="s">
        <v>544</v>
      </c>
      <c r="B135" s="156" t="s">
        <v>151</v>
      </c>
      <c r="C135" s="156" t="s">
        <v>152</v>
      </c>
      <c r="D135" s="156" t="s">
        <v>541</v>
      </c>
      <c r="E135" s="179">
        <v>4800000</v>
      </c>
      <c r="F135" s="179">
        <v>3440000</v>
      </c>
      <c r="G135" s="179">
        <v>3440000</v>
      </c>
      <c r="H135" s="179">
        <v>0</v>
      </c>
      <c r="I135" s="179">
        <v>1017240</v>
      </c>
      <c r="J135" s="179">
        <v>0</v>
      </c>
      <c r="K135" s="179">
        <v>1486000</v>
      </c>
      <c r="L135" s="179">
        <v>450000</v>
      </c>
      <c r="M135" s="179">
        <v>936760</v>
      </c>
      <c r="N135" s="179">
        <v>936760</v>
      </c>
    </row>
    <row r="136" spans="1:14" s="156" customFormat="1" x14ac:dyDescent="0.25">
      <c r="A136" s="156" t="s">
        <v>544</v>
      </c>
      <c r="B136" s="156" t="s">
        <v>154</v>
      </c>
      <c r="C136" s="156" t="s">
        <v>155</v>
      </c>
      <c r="D136" s="156" t="s">
        <v>541</v>
      </c>
      <c r="E136" s="179">
        <v>3300000</v>
      </c>
      <c r="F136" s="179">
        <v>2850000</v>
      </c>
      <c r="G136" s="179">
        <v>2850000</v>
      </c>
      <c r="H136" s="179">
        <v>0</v>
      </c>
      <c r="I136" s="179">
        <v>1017240</v>
      </c>
      <c r="J136" s="179">
        <v>0</v>
      </c>
      <c r="K136" s="179">
        <v>986000</v>
      </c>
      <c r="L136" s="179">
        <v>0</v>
      </c>
      <c r="M136" s="179">
        <v>846760</v>
      </c>
      <c r="N136" s="179">
        <v>846760</v>
      </c>
    </row>
    <row r="137" spans="1:14" s="156" customFormat="1" x14ac:dyDescent="0.25">
      <c r="A137" s="156" t="s">
        <v>544</v>
      </c>
      <c r="B137" s="156" t="s">
        <v>156</v>
      </c>
      <c r="C137" s="156" t="s">
        <v>157</v>
      </c>
      <c r="D137" s="156" t="s">
        <v>541</v>
      </c>
      <c r="E137" s="179">
        <v>1500000</v>
      </c>
      <c r="F137" s="179">
        <v>590000</v>
      </c>
      <c r="G137" s="179">
        <v>590000</v>
      </c>
      <c r="H137" s="179">
        <v>0</v>
      </c>
      <c r="I137" s="179">
        <v>0</v>
      </c>
      <c r="J137" s="179">
        <v>0</v>
      </c>
      <c r="K137" s="179">
        <v>500000</v>
      </c>
      <c r="L137" s="179">
        <v>450000</v>
      </c>
      <c r="M137" s="179">
        <v>90000</v>
      </c>
      <c r="N137" s="179">
        <v>90000</v>
      </c>
    </row>
    <row r="138" spans="1:14" s="156" customFormat="1" x14ac:dyDescent="0.25">
      <c r="A138" s="156" t="s">
        <v>544</v>
      </c>
      <c r="B138" s="156" t="s">
        <v>158</v>
      </c>
      <c r="C138" s="156" t="s">
        <v>159</v>
      </c>
      <c r="D138" s="156" t="s">
        <v>541</v>
      </c>
      <c r="E138" s="179">
        <v>9234500</v>
      </c>
      <c r="F138" s="179">
        <v>9838500</v>
      </c>
      <c r="G138" s="179">
        <v>9838500</v>
      </c>
      <c r="H138" s="179">
        <v>0</v>
      </c>
      <c r="I138" s="179">
        <v>1305640</v>
      </c>
      <c r="J138" s="179">
        <v>0</v>
      </c>
      <c r="K138" s="179">
        <v>7731160</v>
      </c>
      <c r="L138" s="179">
        <v>7731160</v>
      </c>
      <c r="M138" s="179">
        <v>801700</v>
      </c>
      <c r="N138" s="179">
        <v>801700</v>
      </c>
    </row>
    <row r="139" spans="1:14" s="156" customFormat="1" x14ac:dyDescent="0.25">
      <c r="A139" s="156" t="s">
        <v>544</v>
      </c>
      <c r="B139" s="156" t="s">
        <v>160</v>
      </c>
      <c r="C139" s="156" t="s">
        <v>161</v>
      </c>
      <c r="D139" s="156" t="s">
        <v>541</v>
      </c>
      <c r="E139" s="179">
        <v>700000</v>
      </c>
      <c r="F139" s="179">
        <v>804000</v>
      </c>
      <c r="G139" s="179">
        <v>804000</v>
      </c>
      <c r="H139" s="179">
        <v>0</v>
      </c>
      <c r="I139" s="179">
        <v>285890</v>
      </c>
      <c r="J139" s="179">
        <v>0</v>
      </c>
      <c r="K139" s="179">
        <v>518110</v>
      </c>
      <c r="L139" s="179">
        <v>518110</v>
      </c>
      <c r="M139" s="179">
        <v>0</v>
      </c>
      <c r="N139" s="179">
        <v>0</v>
      </c>
    </row>
    <row r="140" spans="1:14" s="156" customFormat="1" x14ac:dyDescent="0.25">
      <c r="A140" s="156" t="s">
        <v>544</v>
      </c>
      <c r="B140" s="156" t="s">
        <v>162</v>
      </c>
      <c r="C140" s="156" t="s">
        <v>163</v>
      </c>
      <c r="D140" s="156" t="s">
        <v>541</v>
      </c>
      <c r="E140" s="179">
        <v>8534500</v>
      </c>
      <c r="F140" s="179">
        <v>9034500</v>
      </c>
      <c r="G140" s="179">
        <v>9034500</v>
      </c>
      <c r="H140" s="179">
        <v>0</v>
      </c>
      <c r="I140" s="179">
        <v>1019750</v>
      </c>
      <c r="J140" s="179">
        <v>0</v>
      </c>
      <c r="K140" s="179">
        <v>7213050</v>
      </c>
      <c r="L140" s="179">
        <v>7213050</v>
      </c>
      <c r="M140" s="179">
        <v>801700</v>
      </c>
      <c r="N140" s="179">
        <v>801700</v>
      </c>
    </row>
    <row r="141" spans="1:14" s="156" customFormat="1" x14ac:dyDescent="0.25">
      <c r="A141" s="156" t="s">
        <v>544</v>
      </c>
      <c r="B141" s="156" t="s">
        <v>168</v>
      </c>
      <c r="C141" s="156" t="s">
        <v>169</v>
      </c>
      <c r="D141" s="156" t="s">
        <v>541</v>
      </c>
      <c r="E141" s="179">
        <v>4500000</v>
      </c>
      <c r="F141" s="179">
        <v>4453000</v>
      </c>
      <c r="G141" s="179">
        <v>4453000</v>
      </c>
      <c r="H141" s="179">
        <v>0</v>
      </c>
      <c r="I141" s="179">
        <v>0</v>
      </c>
      <c r="J141" s="179">
        <v>0</v>
      </c>
      <c r="K141" s="179">
        <v>3814274</v>
      </c>
      <c r="L141" s="179">
        <v>3814274</v>
      </c>
      <c r="M141" s="179">
        <v>638726</v>
      </c>
      <c r="N141" s="179">
        <v>638726</v>
      </c>
    </row>
    <row r="142" spans="1:14" s="156" customFormat="1" x14ac:dyDescent="0.25">
      <c r="A142" s="156" t="s">
        <v>544</v>
      </c>
      <c r="B142" s="156" t="s">
        <v>170</v>
      </c>
      <c r="C142" s="156" t="s">
        <v>171</v>
      </c>
      <c r="D142" s="156" t="s">
        <v>541</v>
      </c>
      <c r="E142" s="179">
        <v>4500000</v>
      </c>
      <c r="F142" s="179">
        <v>4453000</v>
      </c>
      <c r="G142" s="179">
        <v>4453000</v>
      </c>
      <c r="H142" s="179">
        <v>0</v>
      </c>
      <c r="I142" s="179">
        <v>0</v>
      </c>
      <c r="J142" s="179">
        <v>0</v>
      </c>
      <c r="K142" s="179">
        <v>3814274</v>
      </c>
      <c r="L142" s="179">
        <v>3814274</v>
      </c>
      <c r="M142" s="179">
        <v>638726</v>
      </c>
      <c r="N142" s="179">
        <v>638726</v>
      </c>
    </row>
    <row r="143" spans="1:14" s="156" customFormat="1" x14ac:dyDescent="0.25">
      <c r="A143" s="156" t="s">
        <v>544</v>
      </c>
      <c r="B143" s="156" t="s">
        <v>172</v>
      </c>
      <c r="C143" s="156" t="s">
        <v>173</v>
      </c>
      <c r="D143" s="156" t="s">
        <v>541</v>
      </c>
      <c r="E143" s="179">
        <v>12506000</v>
      </c>
      <c r="F143" s="179">
        <v>12506000</v>
      </c>
      <c r="G143" s="179">
        <v>12506000</v>
      </c>
      <c r="H143" s="179">
        <v>0</v>
      </c>
      <c r="I143" s="179">
        <v>52162.8</v>
      </c>
      <c r="J143" s="179">
        <v>0</v>
      </c>
      <c r="K143" s="179">
        <v>12451600</v>
      </c>
      <c r="L143" s="179">
        <v>10377900</v>
      </c>
      <c r="M143" s="179">
        <v>2237.1999999999998</v>
      </c>
      <c r="N143" s="179">
        <v>2237.1999999999998</v>
      </c>
    </row>
    <row r="144" spans="1:14" s="156" customFormat="1" x14ac:dyDescent="0.25">
      <c r="A144" s="156" t="s">
        <v>544</v>
      </c>
      <c r="B144" s="156" t="s">
        <v>309</v>
      </c>
      <c r="C144" s="156" t="s">
        <v>310</v>
      </c>
      <c r="D144" s="156" t="s">
        <v>541</v>
      </c>
      <c r="E144" s="179">
        <v>12506000</v>
      </c>
      <c r="F144" s="179">
        <v>12506000</v>
      </c>
      <c r="G144" s="179">
        <v>12506000</v>
      </c>
      <c r="H144" s="179">
        <v>0</v>
      </c>
      <c r="I144" s="179">
        <v>52162.8</v>
      </c>
      <c r="J144" s="179">
        <v>0</v>
      </c>
      <c r="K144" s="179">
        <v>12451600</v>
      </c>
      <c r="L144" s="179">
        <v>10377900</v>
      </c>
      <c r="M144" s="179">
        <v>2237.1999999999998</v>
      </c>
      <c r="N144" s="179">
        <v>2237.1999999999998</v>
      </c>
    </row>
    <row r="145" spans="1:14" s="156" customFormat="1" x14ac:dyDescent="0.25">
      <c r="A145" s="156" t="s">
        <v>544</v>
      </c>
      <c r="B145" s="156" t="s">
        <v>178</v>
      </c>
      <c r="C145" s="156" t="s">
        <v>179</v>
      </c>
      <c r="D145" s="156" t="s">
        <v>541</v>
      </c>
      <c r="E145" s="179">
        <v>4600000</v>
      </c>
      <c r="F145" s="179">
        <v>3600000</v>
      </c>
      <c r="G145" s="179">
        <v>3600000</v>
      </c>
      <c r="H145" s="179">
        <v>0</v>
      </c>
      <c r="I145" s="179">
        <v>0</v>
      </c>
      <c r="J145" s="179">
        <v>0</v>
      </c>
      <c r="K145" s="179">
        <v>1982648.78</v>
      </c>
      <c r="L145" s="179">
        <v>1482693.78</v>
      </c>
      <c r="M145" s="179">
        <v>1617351.22</v>
      </c>
      <c r="N145" s="179">
        <v>1617351.22</v>
      </c>
    </row>
    <row r="146" spans="1:14" s="156" customFormat="1" x14ac:dyDescent="0.25">
      <c r="A146" s="156" t="s">
        <v>544</v>
      </c>
      <c r="B146" s="156" t="s">
        <v>182</v>
      </c>
      <c r="C146" s="156" t="s">
        <v>183</v>
      </c>
      <c r="D146" s="156" t="s">
        <v>541</v>
      </c>
      <c r="E146" s="179">
        <v>600000</v>
      </c>
      <c r="F146" s="179">
        <v>600000</v>
      </c>
      <c r="G146" s="179">
        <v>600000</v>
      </c>
      <c r="H146" s="179">
        <v>0</v>
      </c>
      <c r="I146" s="179">
        <v>0</v>
      </c>
      <c r="J146" s="179">
        <v>0</v>
      </c>
      <c r="K146" s="179">
        <v>502455</v>
      </c>
      <c r="L146" s="179">
        <v>2500</v>
      </c>
      <c r="M146" s="179">
        <v>97545</v>
      </c>
      <c r="N146" s="179">
        <v>97545</v>
      </c>
    </row>
    <row r="147" spans="1:14" s="156" customFormat="1" x14ac:dyDescent="0.25">
      <c r="A147" s="156" t="s">
        <v>544</v>
      </c>
      <c r="B147" s="156" t="s">
        <v>186</v>
      </c>
      <c r="C147" s="156" t="s">
        <v>187</v>
      </c>
      <c r="D147" s="156" t="s">
        <v>541</v>
      </c>
      <c r="E147" s="179">
        <v>1500000</v>
      </c>
      <c r="F147" s="179">
        <v>1000000</v>
      </c>
      <c r="G147" s="179">
        <v>1000000</v>
      </c>
      <c r="H147" s="179">
        <v>0</v>
      </c>
      <c r="I147" s="179">
        <v>0</v>
      </c>
      <c r="J147" s="179">
        <v>0</v>
      </c>
      <c r="K147" s="179">
        <v>0</v>
      </c>
      <c r="L147" s="179">
        <v>0</v>
      </c>
      <c r="M147" s="179">
        <v>1000000</v>
      </c>
      <c r="N147" s="179">
        <v>1000000</v>
      </c>
    </row>
    <row r="148" spans="1:14" s="156" customFormat="1" x14ac:dyDescent="0.25">
      <c r="A148" s="156" t="s">
        <v>544</v>
      </c>
      <c r="B148" s="156" t="s">
        <v>188</v>
      </c>
      <c r="C148" s="156" t="s">
        <v>189</v>
      </c>
      <c r="D148" s="156" t="s">
        <v>541</v>
      </c>
      <c r="E148" s="179">
        <v>1500000</v>
      </c>
      <c r="F148" s="179">
        <v>1500000</v>
      </c>
      <c r="G148" s="179">
        <v>1500000</v>
      </c>
      <c r="H148" s="179">
        <v>0</v>
      </c>
      <c r="I148" s="179">
        <v>0</v>
      </c>
      <c r="J148" s="179">
        <v>0</v>
      </c>
      <c r="K148" s="179">
        <v>1480193.78</v>
      </c>
      <c r="L148" s="179">
        <v>1480193.78</v>
      </c>
      <c r="M148" s="179">
        <v>19806.22</v>
      </c>
      <c r="N148" s="179">
        <v>19806.22</v>
      </c>
    </row>
    <row r="149" spans="1:14" s="156" customFormat="1" x14ac:dyDescent="0.25">
      <c r="A149" s="156" t="s">
        <v>544</v>
      </c>
      <c r="B149" s="156" t="s">
        <v>190</v>
      </c>
      <c r="C149" s="156" t="s">
        <v>191</v>
      </c>
      <c r="D149" s="156" t="s">
        <v>541</v>
      </c>
      <c r="E149" s="179">
        <v>1000000</v>
      </c>
      <c r="F149" s="179">
        <v>500000</v>
      </c>
      <c r="G149" s="179">
        <v>500000</v>
      </c>
      <c r="H149" s="179">
        <v>0</v>
      </c>
      <c r="I149" s="179">
        <v>0</v>
      </c>
      <c r="J149" s="179">
        <v>0</v>
      </c>
      <c r="K149" s="179">
        <v>0</v>
      </c>
      <c r="L149" s="179">
        <v>0</v>
      </c>
      <c r="M149" s="179">
        <v>500000</v>
      </c>
      <c r="N149" s="179">
        <v>500000</v>
      </c>
    </row>
    <row r="150" spans="1:14" s="156" customFormat="1" x14ac:dyDescent="0.25">
      <c r="A150" s="156" t="s">
        <v>544</v>
      </c>
      <c r="B150" s="156" t="s">
        <v>192</v>
      </c>
      <c r="C150" s="156" t="s">
        <v>193</v>
      </c>
      <c r="D150" s="156" t="s">
        <v>541</v>
      </c>
      <c r="E150" s="179">
        <v>200000</v>
      </c>
      <c r="F150" s="179">
        <v>120000</v>
      </c>
      <c r="G150" s="179">
        <v>120000</v>
      </c>
      <c r="H150" s="179">
        <v>0</v>
      </c>
      <c r="I150" s="179">
        <v>36175</v>
      </c>
      <c r="J150" s="179">
        <v>0</v>
      </c>
      <c r="K150" s="179">
        <v>83825</v>
      </c>
      <c r="L150" s="179">
        <v>0</v>
      </c>
      <c r="M150" s="179">
        <v>0</v>
      </c>
      <c r="N150" s="179">
        <v>0</v>
      </c>
    </row>
    <row r="151" spans="1:14" s="156" customFormat="1" x14ac:dyDescent="0.25">
      <c r="A151" s="156" t="s">
        <v>544</v>
      </c>
      <c r="B151" s="156" t="s">
        <v>194</v>
      </c>
      <c r="C151" s="156" t="s">
        <v>195</v>
      </c>
      <c r="D151" s="156" t="s">
        <v>541</v>
      </c>
      <c r="E151" s="179">
        <v>200000</v>
      </c>
      <c r="F151" s="179">
        <v>120000</v>
      </c>
      <c r="G151" s="179">
        <v>120000</v>
      </c>
      <c r="H151" s="179">
        <v>0</v>
      </c>
      <c r="I151" s="179">
        <v>36175</v>
      </c>
      <c r="J151" s="179">
        <v>0</v>
      </c>
      <c r="K151" s="179">
        <v>83825</v>
      </c>
      <c r="L151" s="179">
        <v>0</v>
      </c>
      <c r="M151" s="179">
        <v>0</v>
      </c>
      <c r="N151" s="179">
        <v>0</v>
      </c>
    </row>
    <row r="152" spans="1:14" s="156" customFormat="1" x14ac:dyDescent="0.25">
      <c r="A152" s="156" t="s">
        <v>544</v>
      </c>
      <c r="B152" s="156" t="s">
        <v>196</v>
      </c>
      <c r="C152" s="156" t="s">
        <v>197</v>
      </c>
      <c r="D152" s="156" t="s">
        <v>541</v>
      </c>
      <c r="E152" s="179">
        <v>500000</v>
      </c>
      <c r="F152" s="179">
        <v>225000</v>
      </c>
      <c r="G152" s="179">
        <v>225000</v>
      </c>
      <c r="H152" s="179">
        <v>0</v>
      </c>
      <c r="I152" s="179">
        <v>0</v>
      </c>
      <c r="J152" s="179">
        <v>0</v>
      </c>
      <c r="K152" s="179">
        <v>0</v>
      </c>
      <c r="L152" s="179">
        <v>0</v>
      </c>
      <c r="M152" s="179">
        <v>225000</v>
      </c>
      <c r="N152" s="179">
        <v>225000</v>
      </c>
    </row>
    <row r="153" spans="1:14" s="156" customFormat="1" x14ac:dyDescent="0.25">
      <c r="A153" s="156" t="s">
        <v>544</v>
      </c>
      <c r="B153" s="156" t="s">
        <v>198</v>
      </c>
      <c r="C153" s="156" t="s">
        <v>199</v>
      </c>
      <c r="D153" s="156" t="s">
        <v>541</v>
      </c>
      <c r="E153" s="179">
        <v>500000</v>
      </c>
      <c r="F153" s="179">
        <v>225000</v>
      </c>
      <c r="G153" s="179">
        <v>225000</v>
      </c>
      <c r="H153" s="179">
        <v>0</v>
      </c>
      <c r="I153" s="179">
        <v>0</v>
      </c>
      <c r="J153" s="179">
        <v>0</v>
      </c>
      <c r="K153" s="179">
        <v>0</v>
      </c>
      <c r="L153" s="179">
        <v>0</v>
      </c>
      <c r="M153" s="179">
        <v>225000</v>
      </c>
      <c r="N153" s="179">
        <v>225000</v>
      </c>
    </row>
    <row r="154" spans="1:14" s="156" customFormat="1" x14ac:dyDescent="0.25">
      <c r="A154" s="156" t="s">
        <v>544</v>
      </c>
      <c r="B154" s="156" t="s">
        <v>200</v>
      </c>
      <c r="C154" s="156" t="s">
        <v>201</v>
      </c>
      <c r="D154" s="156" t="s">
        <v>541</v>
      </c>
      <c r="E154" s="179">
        <v>26927000</v>
      </c>
      <c r="F154" s="179">
        <v>26981000</v>
      </c>
      <c r="G154" s="179">
        <v>26981000</v>
      </c>
      <c r="H154" s="179">
        <v>0</v>
      </c>
      <c r="I154" s="179">
        <v>1550202</v>
      </c>
      <c r="J154" s="179">
        <v>0</v>
      </c>
      <c r="K154" s="179">
        <v>22840295.760000002</v>
      </c>
      <c r="L154" s="179">
        <v>20098390.760000002</v>
      </c>
      <c r="M154" s="179">
        <v>2590502.2400000002</v>
      </c>
      <c r="N154" s="179">
        <v>2590502.2400000002</v>
      </c>
    </row>
    <row r="155" spans="1:14" s="156" customFormat="1" x14ac:dyDescent="0.25">
      <c r="A155" s="156" t="s">
        <v>544</v>
      </c>
      <c r="B155" s="156" t="s">
        <v>202</v>
      </c>
      <c r="C155" s="156" t="s">
        <v>203</v>
      </c>
      <c r="D155" s="156" t="s">
        <v>541</v>
      </c>
      <c r="E155" s="179">
        <v>15000000</v>
      </c>
      <c r="F155" s="179">
        <v>14483000</v>
      </c>
      <c r="G155" s="179">
        <v>14483000</v>
      </c>
      <c r="H155" s="179">
        <v>0</v>
      </c>
      <c r="I155" s="179">
        <v>978430</v>
      </c>
      <c r="J155" s="179">
        <v>0</v>
      </c>
      <c r="K155" s="179">
        <v>12004509.5</v>
      </c>
      <c r="L155" s="179">
        <v>10828049.5</v>
      </c>
      <c r="M155" s="179">
        <v>1500060.5</v>
      </c>
      <c r="N155" s="179">
        <v>1500060.5</v>
      </c>
    </row>
    <row r="156" spans="1:14" s="156" customFormat="1" x14ac:dyDescent="0.25">
      <c r="A156" s="156" t="s">
        <v>544</v>
      </c>
      <c r="B156" s="156" t="s">
        <v>204</v>
      </c>
      <c r="C156" s="156" t="s">
        <v>205</v>
      </c>
      <c r="D156" s="156" t="s">
        <v>541</v>
      </c>
      <c r="E156" s="179">
        <v>5000000</v>
      </c>
      <c r="F156" s="179">
        <v>4492000</v>
      </c>
      <c r="G156" s="179">
        <v>4492000</v>
      </c>
      <c r="H156" s="179">
        <v>0</v>
      </c>
      <c r="I156" s="179">
        <v>357700</v>
      </c>
      <c r="J156" s="179">
        <v>0</v>
      </c>
      <c r="K156" s="179">
        <v>2959079</v>
      </c>
      <c r="L156" s="179">
        <v>2866779</v>
      </c>
      <c r="M156" s="179">
        <v>1175221</v>
      </c>
      <c r="N156" s="179">
        <v>1175221</v>
      </c>
    </row>
    <row r="157" spans="1:14" s="156" customFormat="1" x14ac:dyDescent="0.25">
      <c r="A157" s="156" t="s">
        <v>544</v>
      </c>
      <c r="B157" s="156" t="s">
        <v>208</v>
      </c>
      <c r="C157" s="156" t="s">
        <v>209</v>
      </c>
      <c r="D157" s="156" t="s">
        <v>541</v>
      </c>
      <c r="E157" s="179">
        <v>10000000</v>
      </c>
      <c r="F157" s="179">
        <v>9991000</v>
      </c>
      <c r="G157" s="179">
        <v>9991000</v>
      </c>
      <c r="H157" s="179">
        <v>0</v>
      </c>
      <c r="I157" s="179">
        <v>620730</v>
      </c>
      <c r="J157" s="179">
        <v>0</v>
      </c>
      <c r="K157" s="179">
        <v>9045430.5</v>
      </c>
      <c r="L157" s="179">
        <v>7961270.5</v>
      </c>
      <c r="M157" s="179">
        <v>324839.5</v>
      </c>
      <c r="N157" s="179">
        <v>324839.5</v>
      </c>
    </row>
    <row r="158" spans="1:14" s="156" customFormat="1" x14ac:dyDescent="0.25">
      <c r="A158" s="156" t="s">
        <v>544</v>
      </c>
      <c r="B158" s="156" t="s">
        <v>212</v>
      </c>
      <c r="C158" s="156" t="s">
        <v>213</v>
      </c>
      <c r="D158" s="156" t="s">
        <v>541</v>
      </c>
      <c r="E158" s="179">
        <v>3000000</v>
      </c>
      <c r="F158" s="179">
        <v>3600000</v>
      </c>
      <c r="G158" s="179">
        <v>3600000</v>
      </c>
      <c r="H158" s="179">
        <v>0</v>
      </c>
      <c r="I158" s="179">
        <v>96000</v>
      </c>
      <c r="J158" s="179">
        <v>0</v>
      </c>
      <c r="K158" s="179">
        <v>3413165</v>
      </c>
      <c r="L158" s="179">
        <v>2913485</v>
      </c>
      <c r="M158" s="179">
        <v>90835</v>
      </c>
      <c r="N158" s="179">
        <v>90835</v>
      </c>
    </row>
    <row r="159" spans="1:14" s="156" customFormat="1" x14ac:dyDescent="0.25">
      <c r="A159" s="156" t="s">
        <v>544</v>
      </c>
      <c r="B159" s="156" t="s">
        <v>214</v>
      </c>
      <c r="C159" s="156" t="s">
        <v>215</v>
      </c>
      <c r="D159" s="156" t="s">
        <v>541</v>
      </c>
      <c r="E159" s="179">
        <v>3000000</v>
      </c>
      <c r="F159" s="179">
        <v>3600000</v>
      </c>
      <c r="G159" s="179">
        <v>3600000</v>
      </c>
      <c r="H159" s="179">
        <v>0</v>
      </c>
      <c r="I159" s="179">
        <v>96000</v>
      </c>
      <c r="J159" s="179">
        <v>0</v>
      </c>
      <c r="K159" s="179">
        <v>3413165</v>
      </c>
      <c r="L159" s="179">
        <v>2913485</v>
      </c>
      <c r="M159" s="179">
        <v>90835</v>
      </c>
      <c r="N159" s="179">
        <v>90835</v>
      </c>
    </row>
    <row r="160" spans="1:14" s="156" customFormat="1" x14ac:dyDescent="0.25">
      <c r="A160" s="156" t="s">
        <v>544</v>
      </c>
      <c r="B160" s="156" t="s">
        <v>216</v>
      </c>
      <c r="C160" s="156" t="s">
        <v>217</v>
      </c>
      <c r="D160" s="156" t="s">
        <v>541</v>
      </c>
      <c r="E160" s="179">
        <v>827000</v>
      </c>
      <c r="F160" s="179">
        <v>811000</v>
      </c>
      <c r="G160" s="179">
        <v>811000</v>
      </c>
      <c r="H160" s="179">
        <v>0</v>
      </c>
      <c r="I160" s="179">
        <v>105430</v>
      </c>
      <c r="J160" s="179">
        <v>0</v>
      </c>
      <c r="K160" s="179">
        <v>662490.84</v>
      </c>
      <c r="L160" s="179">
        <v>662490.84</v>
      </c>
      <c r="M160" s="179">
        <v>43079.16</v>
      </c>
      <c r="N160" s="179">
        <v>43079.16</v>
      </c>
    </row>
    <row r="161" spans="1:14" s="156" customFormat="1" x14ac:dyDescent="0.25">
      <c r="A161" s="156" t="s">
        <v>544</v>
      </c>
      <c r="B161" s="156" t="s">
        <v>220</v>
      </c>
      <c r="C161" s="156" t="s">
        <v>221</v>
      </c>
      <c r="D161" s="156" t="s">
        <v>541</v>
      </c>
      <c r="E161" s="179">
        <v>811000</v>
      </c>
      <c r="F161" s="179">
        <v>811000</v>
      </c>
      <c r="G161" s="179">
        <v>811000</v>
      </c>
      <c r="H161" s="179">
        <v>0</v>
      </c>
      <c r="I161" s="179">
        <v>105430</v>
      </c>
      <c r="J161" s="179">
        <v>0</v>
      </c>
      <c r="K161" s="179">
        <v>662490.84</v>
      </c>
      <c r="L161" s="179">
        <v>662490.84</v>
      </c>
      <c r="M161" s="179">
        <v>43079.16</v>
      </c>
      <c r="N161" s="179">
        <v>43079.16</v>
      </c>
    </row>
    <row r="162" spans="1:14" s="156" customFormat="1" x14ac:dyDescent="0.25">
      <c r="A162" s="156" t="s">
        <v>544</v>
      </c>
      <c r="B162" s="156" t="s">
        <v>224</v>
      </c>
      <c r="C162" s="156" t="s">
        <v>225</v>
      </c>
      <c r="D162" s="156" t="s">
        <v>541</v>
      </c>
      <c r="E162" s="179">
        <v>16000</v>
      </c>
      <c r="F162" s="179">
        <v>0</v>
      </c>
      <c r="G162" s="179">
        <v>0</v>
      </c>
      <c r="H162" s="179">
        <v>0</v>
      </c>
      <c r="I162" s="179">
        <v>0</v>
      </c>
      <c r="J162" s="179">
        <v>0</v>
      </c>
      <c r="K162" s="179">
        <v>0</v>
      </c>
      <c r="L162" s="179">
        <v>0</v>
      </c>
      <c r="M162" s="179">
        <v>0</v>
      </c>
      <c r="N162" s="179">
        <v>0</v>
      </c>
    </row>
    <row r="163" spans="1:14" s="156" customFormat="1" x14ac:dyDescent="0.25">
      <c r="A163" s="156" t="s">
        <v>544</v>
      </c>
      <c r="B163" s="156" t="s">
        <v>228</v>
      </c>
      <c r="C163" s="156" t="s">
        <v>229</v>
      </c>
      <c r="D163" s="156" t="s">
        <v>541</v>
      </c>
      <c r="E163" s="179">
        <v>3000000</v>
      </c>
      <c r="F163" s="179">
        <v>2987000</v>
      </c>
      <c r="G163" s="179">
        <v>2987000</v>
      </c>
      <c r="H163" s="179">
        <v>0</v>
      </c>
      <c r="I163" s="179">
        <v>0</v>
      </c>
      <c r="J163" s="179">
        <v>0</v>
      </c>
      <c r="K163" s="179">
        <v>2600665.38</v>
      </c>
      <c r="L163" s="179">
        <v>1606540.38</v>
      </c>
      <c r="M163" s="179">
        <v>386334.62</v>
      </c>
      <c r="N163" s="179">
        <v>386334.62</v>
      </c>
    </row>
    <row r="164" spans="1:14" s="156" customFormat="1" x14ac:dyDescent="0.25">
      <c r="A164" s="156" t="s">
        <v>544</v>
      </c>
      <c r="B164" s="156" t="s">
        <v>230</v>
      </c>
      <c r="C164" s="156" t="s">
        <v>231</v>
      </c>
      <c r="D164" s="156" t="s">
        <v>541</v>
      </c>
      <c r="E164" s="179">
        <v>2000000</v>
      </c>
      <c r="F164" s="179">
        <v>1987000</v>
      </c>
      <c r="G164" s="179">
        <v>1987000</v>
      </c>
      <c r="H164" s="179">
        <v>0</v>
      </c>
      <c r="I164" s="179">
        <v>0</v>
      </c>
      <c r="J164" s="179">
        <v>0</v>
      </c>
      <c r="K164" s="179">
        <v>1606540.38</v>
      </c>
      <c r="L164" s="179">
        <v>1606540.38</v>
      </c>
      <c r="M164" s="179">
        <v>380459.62</v>
      </c>
      <c r="N164" s="179">
        <v>380459.62</v>
      </c>
    </row>
    <row r="165" spans="1:14" s="156" customFormat="1" x14ac:dyDescent="0.25">
      <c r="A165" s="156" t="s">
        <v>544</v>
      </c>
      <c r="B165" s="156" t="s">
        <v>232</v>
      </c>
      <c r="C165" s="156" t="s">
        <v>233</v>
      </c>
      <c r="D165" s="156" t="s">
        <v>541</v>
      </c>
      <c r="E165" s="179">
        <v>1000000</v>
      </c>
      <c r="F165" s="179">
        <v>1000000</v>
      </c>
      <c r="G165" s="179">
        <v>1000000</v>
      </c>
      <c r="H165" s="179">
        <v>0</v>
      </c>
      <c r="I165" s="179">
        <v>0</v>
      </c>
      <c r="J165" s="179">
        <v>0</v>
      </c>
      <c r="K165" s="179">
        <v>994125</v>
      </c>
      <c r="L165" s="179">
        <v>0</v>
      </c>
      <c r="M165" s="179">
        <v>5875</v>
      </c>
      <c r="N165" s="179">
        <v>5875</v>
      </c>
    </row>
    <row r="166" spans="1:14" s="156" customFormat="1" x14ac:dyDescent="0.25">
      <c r="A166" s="156" t="s">
        <v>544</v>
      </c>
      <c r="B166" s="156" t="s">
        <v>234</v>
      </c>
      <c r="C166" s="156" t="s">
        <v>624</v>
      </c>
      <c r="D166" s="156" t="s">
        <v>541</v>
      </c>
      <c r="E166" s="179">
        <v>5100000</v>
      </c>
      <c r="F166" s="179">
        <v>5100000</v>
      </c>
      <c r="G166" s="179">
        <v>5100000</v>
      </c>
      <c r="H166" s="179">
        <v>0</v>
      </c>
      <c r="I166" s="179">
        <v>370342</v>
      </c>
      <c r="J166" s="179">
        <v>0</v>
      </c>
      <c r="K166" s="179">
        <v>4159465.04</v>
      </c>
      <c r="L166" s="179">
        <v>4087825.04</v>
      </c>
      <c r="M166" s="179">
        <v>570192.96</v>
      </c>
      <c r="N166" s="179">
        <v>570192.96</v>
      </c>
    </row>
    <row r="167" spans="1:14" s="156" customFormat="1" x14ac:dyDescent="0.25">
      <c r="A167" s="156" t="s">
        <v>544</v>
      </c>
      <c r="B167" s="156" t="s">
        <v>235</v>
      </c>
      <c r="C167" s="156" t="s">
        <v>236</v>
      </c>
      <c r="D167" s="156" t="s">
        <v>541</v>
      </c>
      <c r="E167" s="179">
        <v>2000000</v>
      </c>
      <c r="F167" s="179">
        <v>2000000</v>
      </c>
      <c r="G167" s="179">
        <v>2000000</v>
      </c>
      <c r="H167" s="179">
        <v>0</v>
      </c>
      <c r="I167" s="179">
        <v>0</v>
      </c>
      <c r="J167" s="179">
        <v>0</v>
      </c>
      <c r="K167" s="179">
        <v>1853270.45</v>
      </c>
      <c r="L167" s="179">
        <v>1853270.45</v>
      </c>
      <c r="M167" s="179">
        <v>146729.54999999999</v>
      </c>
      <c r="N167" s="179">
        <v>146729.54999999999</v>
      </c>
    </row>
    <row r="168" spans="1:14" s="156" customFormat="1" x14ac:dyDescent="0.25">
      <c r="A168" s="156" t="s">
        <v>544</v>
      </c>
      <c r="B168" s="156" t="s">
        <v>239</v>
      </c>
      <c r="C168" s="156" t="s">
        <v>240</v>
      </c>
      <c r="D168" s="156" t="s">
        <v>541</v>
      </c>
      <c r="E168" s="179">
        <v>2300000</v>
      </c>
      <c r="F168" s="179">
        <v>2300000</v>
      </c>
      <c r="G168" s="179">
        <v>2300000</v>
      </c>
      <c r="H168" s="179">
        <v>0</v>
      </c>
      <c r="I168" s="179">
        <v>125100</v>
      </c>
      <c r="J168" s="179">
        <v>0</v>
      </c>
      <c r="K168" s="179">
        <v>2162754.59</v>
      </c>
      <c r="L168" s="179">
        <v>2162754.59</v>
      </c>
      <c r="M168" s="179">
        <v>12145.41</v>
      </c>
      <c r="N168" s="179">
        <v>12145.41</v>
      </c>
    </row>
    <row r="169" spans="1:14" s="156" customFormat="1" x14ac:dyDescent="0.25">
      <c r="A169" s="156" t="s">
        <v>544</v>
      </c>
      <c r="B169" s="156" t="s">
        <v>243</v>
      </c>
      <c r="C169" s="156" t="s">
        <v>244</v>
      </c>
      <c r="D169" s="156" t="s">
        <v>541</v>
      </c>
      <c r="E169" s="179">
        <v>700000</v>
      </c>
      <c r="F169" s="179">
        <v>700000</v>
      </c>
      <c r="G169" s="179">
        <v>700000</v>
      </c>
      <c r="H169" s="179">
        <v>0</v>
      </c>
      <c r="I169" s="179">
        <v>245242</v>
      </c>
      <c r="J169" s="179">
        <v>0</v>
      </c>
      <c r="K169" s="179">
        <v>143440</v>
      </c>
      <c r="L169" s="179">
        <v>71800</v>
      </c>
      <c r="M169" s="179">
        <v>311318</v>
      </c>
      <c r="N169" s="179">
        <v>311318</v>
      </c>
    </row>
    <row r="170" spans="1:14" s="156" customFormat="1" x14ac:dyDescent="0.25">
      <c r="A170" s="156" t="s">
        <v>544</v>
      </c>
      <c r="B170" s="156" t="s">
        <v>249</v>
      </c>
      <c r="C170" s="156" t="s">
        <v>250</v>
      </c>
      <c r="D170" s="156" t="s">
        <v>541</v>
      </c>
      <c r="E170" s="179">
        <v>100000</v>
      </c>
      <c r="F170" s="179">
        <v>100000</v>
      </c>
      <c r="G170" s="179">
        <v>100000</v>
      </c>
      <c r="H170" s="179">
        <v>0</v>
      </c>
      <c r="I170" s="179">
        <v>0</v>
      </c>
      <c r="J170" s="179">
        <v>0</v>
      </c>
      <c r="K170" s="179">
        <v>0</v>
      </c>
      <c r="L170" s="179">
        <v>0</v>
      </c>
      <c r="M170" s="179">
        <v>100000</v>
      </c>
      <c r="N170" s="179">
        <v>100000</v>
      </c>
    </row>
    <row r="171" spans="1:14" s="156" customFormat="1" x14ac:dyDescent="0.25">
      <c r="A171" s="156" t="s">
        <v>544</v>
      </c>
      <c r="B171" s="156" t="s">
        <v>251</v>
      </c>
      <c r="C171" s="156" t="s">
        <v>252</v>
      </c>
      <c r="D171" s="156" t="s">
        <v>541</v>
      </c>
      <c r="E171" s="179">
        <v>27808000</v>
      </c>
      <c r="F171" s="179">
        <v>32548000</v>
      </c>
      <c r="G171" s="179">
        <v>32548000</v>
      </c>
      <c r="H171" s="179">
        <v>0</v>
      </c>
      <c r="I171" s="179">
        <v>0</v>
      </c>
      <c r="J171" s="179">
        <v>0</v>
      </c>
      <c r="K171" s="179">
        <v>24840365.010000002</v>
      </c>
      <c r="L171" s="179">
        <v>24840365.010000002</v>
      </c>
      <c r="M171" s="179">
        <v>7707634.9900000002</v>
      </c>
      <c r="N171" s="179">
        <v>7707634.9900000002</v>
      </c>
    </row>
    <row r="172" spans="1:14" s="156" customFormat="1" x14ac:dyDescent="0.25">
      <c r="A172" s="156" t="s">
        <v>544</v>
      </c>
      <c r="B172" s="156" t="s">
        <v>253</v>
      </c>
      <c r="C172" s="156" t="s">
        <v>254</v>
      </c>
      <c r="D172" s="156" t="s">
        <v>541</v>
      </c>
      <c r="E172" s="179">
        <v>6808000</v>
      </c>
      <c r="F172" s="179">
        <v>6808000</v>
      </c>
      <c r="G172" s="179">
        <v>6808000</v>
      </c>
      <c r="H172" s="179">
        <v>0</v>
      </c>
      <c r="I172" s="179">
        <v>0</v>
      </c>
      <c r="J172" s="179">
        <v>0</v>
      </c>
      <c r="K172" s="179">
        <v>6104717</v>
      </c>
      <c r="L172" s="179">
        <v>6104717</v>
      </c>
      <c r="M172" s="179">
        <v>703283</v>
      </c>
      <c r="N172" s="179">
        <v>703283</v>
      </c>
    </row>
    <row r="173" spans="1:14" s="156" customFormat="1" x14ac:dyDescent="0.25">
      <c r="A173" s="156" t="s">
        <v>544</v>
      </c>
      <c r="B173" s="156" t="s">
        <v>311</v>
      </c>
      <c r="C173" s="156" t="s">
        <v>625</v>
      </c>
      <c r="D173" s="156" t="s">
        <v>541</v>
      </c>
      <c r="E173" s="179">
        <v>4757000</v>
      </c>
      <c r="F173" s="179">
        <v>4757000</v>
      </c>
      <c r="G173" s="179">
        <v>4757000</v>
      </c>
      <c r="H173" s="179">
        <v>0</v>
      </c>
      <c r="I173" s="179">
        <v>0</v>
      </c>
      <c r="J173" s="179">
        <v>0</v>
      </c>
      <c r="K173" s="179">
        <v>4498635</v>
      </c>
      <c r="L173" s="179">
        <v>4498635</v>
      </c>
      <c r="M173" s="179">
        <v>258365</v>
      </c>
      <c r="N173" s="179">
        <v>258365</v>
      </c>
    </row>
    <row r="174" spans="1:14" s="156" customFormat="1" x14ac:dyDescent="0.25">
      <c r="A174" s="156" t="s">
        <v>544</v>
      </c>
      <c r="B174" s="156" t="s">
        <v>312</v>
      </c>
      <c r="C174" s="156" t="s">
        <v>626</v>
      </c>
      <c r="D174" s="156" t="s">
        <v>541</v>
      </c>
      <c r="E174" s="179">
        <v>2051000</v>
      </c>
      <c r="F174" s="179">
        <v>2051000</v>
      </c>
      <c r="G174" s="179">
        <v>2051000</v>
      </c>
      <c r="H174" s="179">
        <v>0</v>
      </c>
      <c r="I174" s="179">
        <v>0</v>
      </c>
      <c r="J174" s="179">
        <v>0</v>
      </c>
      <c r="K174" s="179">
        <v>1606082</v>
      </c>
      <c r="L174" s="179">
        <v>1606082</v>
      </c>
      <c r="M174" s="179">
        <v>444918</v>
      </c>
      <c r="N174" s="179">
        <v>444918</v>
      </c>
    </row>
    <row r="175" spans="1:14" s="156" customFormat="1" x14ac:dyDescent="0.25">
      <c r="A175" s="156" t="s">
        <v>544</v>
      </c>
      <c r="B175" s="156" t="s">
        <v>261</v>
      </c>
      <c r="C175" s="156" t="s">
        <v>262</v>
      </c>
      <c r="D175" s="156" t="s">
        <v>541</v>
      </c>
      <c r="E175" s="179">
        <v>18000000</v>
      </c>
      <c r="F175" s="179">
        <v>22740000</v>
      </c>
      <c r="G175" s="179">
        <v>22740000</v>
      </c>
      <c r="H175" s="179">
        <v>0</v>
      </c>
      <c r="I175" s="179">
        <v>0</v>
      </c>
      <c r="J175" s="179">
        <v>0</v>
      </c>
      <c r="K175" s="179">
        <v>16760108.890000001</v>
      </c>
      <c r="L175" s="179">
        <v>16760108.890000001</v>
      </c>
      <c r="M175" s="179">
        <v>5979891.1100000003</v>
      </c>
      <c r="N175" s="179">
        <v>5979891.1100000003</v>
      </c>
    </row>
    <row r="176" spans="1:14" s="156" customFormat="1" x14ac:dyDescent="0.25">
      <c r="A176" s="156" t="s">
        <v>544</v>
      </c>
      <c r="B176" s="156" t="s">
        <v>263</v>
      </c>
      <c r="C176" s="156" t="s">
        <v>264</v>
      </c>
      <c r="D176" s="156" t="s">
        <v>541</v>
      </c>
      <c r="E176" s="179">
        <v>11000000</v>
      </c>
      <c r="F176" s="179">
        <v>15740000</v>
      </c>
      <c r="G176" s="179">
        <v>15740000</v>
      </c>
      <c r="H176" s="179">
        <v>0</v>
      </c>
      <c r="I176" s="179">
        <v>0</v>
      </c>
      <c r="J176" s="179">
        <v>0</v>
      </c>
      <c r="K176" s="179">
        <v>15738128.390000001</v>
      </c>
      <c r="L176" s="179">
        <v>15738128.390000001</v>
      </c>
      <c r="M176" s="179">
        <v>1871.61</v>
      </c>
      <c r="N176" s="179">
        <v>1871.61</v>
      </c>
    </row>
    <row r="177" spans="1:14" s="156" customFormat="1" x14ac:dyDescent="0.25">
      <c r="A177" s="156" t="s">
        <v>544</v>
      </c>
      <c r="B177" s="156" t="s">
        <v>265</v>
      </c>
      <c r="C177" s="156" t="s">
        <v>266</v>
      </c>
      <c r="D177" s="156" t="s">
        <v>541</v>
      </c>
      <c r="E177" s="179">
        <v>7000000</v>
      </c>
      <c r="F177" s="179">
        <v>7000000</v>
      </c>
      <c r="G177" s="179">
        <v>7000000</v>
      </c>
      <c r="H177" s="179">
        <v>0</v>
      </c>
      <c r="I177" s="179">
        <v>0</v>
      </c>
      <c r="J177" s="179">
        <v>0</v>
      </c>
      <c r="K177" s="179">
        <v>1021980.5</v>
      </c>
      <c r="L177" s="179">
        <v>1021980.5</v>
      </c>
      <c r="M177" s="179">
        <v>5978019.5</v>
      </c>
      <c r="N177" s="179">
        <v>5978019.5</v>
      </c>
    </row>
    <row r="178" spans="1:14" s="156" customFormat="1" x14ac:dyDescent="0.25">
      <c r="A178" s="156" t="s">
        <v>544</v>
      </c>
      <c r="B178" s="156" t="s">
        <v>267</v>
      </c>
      <c r="C178" s="156" t="s">
        <v>268</v>
      </c>
      <c r="D178" s="156" t="s">
        <v>541</v>
      </c>
      <c r="E178" s="179">
        <v>3000000</v>
      </c>
      <c r="F178" s="179">
        <v>3000000</v>
      </c>
      <c r="G178" s="179">
        <v>3000000</v>
      </c>
      <c r="H178" s="179">
        <v>0</v>
      </c>
      <c r="I178" s="179">
        <v>0</v>
      </c>
      <c r="J178" s="179">
        <v>0</v>
      </c>
      <c r="K178" s="179">
        <v>1975539.12</v>
      </c>
      <c r="L178" s="179">
        <v>1975539.12</v>
      </c>
      <c r="M178" s="179">
        <v>1024460.88</v>
      </c>
      <c r="N178" s="179">
        <v>1024460.88</v>
      </c>
    </row>
    <row r="179" spans="1:14" s="156" customFormat="1" x14ac:dyDescent="0.25">
      <c r="A179" s="156" t="s">
        <v>544</v>
      </c>
      <c r="B179" s="156" t="s">
        <v>269</v>
      </c>
      <c r="C179" s="156" t="s">
        <v>270</v>
      </c>
      <c r="D179" s="156" t="s">
        <v>541</v>
      </c>
      <c r="E179" s="179">
        <v>3000000</v>
      </c>
      <c r="F179" s="179">
        <v>3000000</v>
      </c>
      <c r="G179" s="179">
        <v>3000000</v>
      </c>
      <c r="H179" s="179">
        <v>0</v>
      </c>
      <c r="I179" s="179">
        <v>0</v>
      </c>
      <c r="J179" s="179">
        <v>0</v>
      </c>
      <c r="K179" s="179">
        <v>1975539.12</v>
      </c>
      <c r="L179" s="179">
        <v>1975539.12</v>
      </c>
      <c r="M179" s="179">
        <v>1024460.88</v>
      </c>
      <c r="N179" s="179">
        <v>1024460.88</v>
      </c>
    </row>
    <row r="180" spans="1:14" s="156" customFormat="1" x14ac:dyDescent="0.25">
      <c r="A180" s="156" t="s">
        <v>544</v>
      </c>
      <c r="B180" s="156" t="s">
        <v>576</v>
      </c>
      <c r="C180" s="156" t="s">
        <v>577</v>
      </c>
      <c r="D180" s="156" t="s">
        <v>541</v>
      </c>
      <c r="E180" s="179">
        <v>0</v>
      </c>
      <c r="F180" s="179">
        <v>5652000</v>
      </c>
      <c r="G180" s="179">
        <v>5652000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5652000</v>
      </c>
      <c r="N180" s="179">
        <v>5652000</v>
      </c>
    </row>
    <row r="181" spans="1:14" s="156" customFormat="1" x14ac:dyDescent="0.25">
      <c r="A181" s="156" t="s">
        <v>544</v>
      </c>
      <c r="B181" s="156" t="s">
        <v>574</v>
      </c>
      <c r="C181" s="156" t="s">
        <v>575</v>
      </c>
      <c r="D181" s="156" t="s">
        <v>541</v>
      </c>
      <c r="E181" s="179">
        <v>0</v>
      </c>
      <c r="F181" s="179">
        <v>5652000</v>
      </c>
      <c r="G181" s="179">
        <v>5652000</v>
      </c>
      <c r="H181" s="179">
        <v>0</v>
      </c>
      <c r="I181" s="179">
        <v>0</v>
      </c>
      <c r="J181" s="179">
        <v>0</v>
      </c>
      <c r="K181" s="179">
        <v>0</v>
      </c>
      <c r="L181" s="179">
        <v>0</v>
      </c>
      <c r="M181" s="179">
        <v>5652000</v>
      </c>
      <c r="N181" s="179">
        <v>5652000</v>
      </c>
    </row>
    <row r="182" spans="1:14" s="156" customFormat="1" x14ac:dyDescent="0.25">
      <c r="A182" s="156" t="s">
        <v>544</v>
      </c>
      <c r="B182" s="156" t="s">
        <v>572</v>
      </c>
      <c r="C182" s="156" t="s">
        <v>573</v>
      </c>
      <c r="D182" s="156" t="s">
        <v>541</v>
      </c>
      <c r="E182" s="179">
        <v>0</v>
      </c>
      <c r="F182" s="179">
        <v>5652000</v>
      </c>
      <c r="G182" s="179">
        <v>5652000</v>
      </c>
      <c r="H182" s="179">
        <v>0</v>
      </c>
      <c r="I182" s="179">
        <v>0</v>
      </c>
      <c r="J182" s="179">
        <v>0</v>
      </c>
      <c r="K182" s="179">
        <v>0</v>
      </c>
      <c r="L182" s="179">
        <v>0</v>
      </c>
      <c r="M182" s="179">
        <v>5652000</v>
      </c>
      <c r="N182" s="179">
        <v>5652000</v>
      </c>
    </row>
    <row r="183" spans="1:14" s="156" customFormat="1" x14ac:dyDescent="0.25">
      <c r="A183" s="156" t="s">
        <v>544</v>
      </c>
      <c r="B183" s="156" t="s">
        <v>279</v>
      </c>
      <c r="C183" s="156" t="s">
        <v>280</v>
      </c>
      <c r="D183" s="156" t="s">
        <v>543</v>
      </c>
      <c r="E183" s="179">
        <v>3800000</v>
      </c>
      <c r="F183" s="179">
        <v>3792000</v>
      </c>
      <c r="G183" s="179">
        <v>3792000</v>
      </c>
      <c r="H183" s="179">
        <v>0</v>
      </c>
      <c r="I183" s="179">
        <v>0</v>
      </c>
      <c r="J183" s="179">
        <v>0</v>
      </c>
      <c r="K183" s="179">
        <v>3688269.22</v>
      </c>
      <c r="L183" s="179">
        <v>3688269.22</v>
      </c>
      <c r="M183" s="179">
        <v>103730.78</v>
      </c>
      <c r="N183" s="179">
        <v>103730.78</v>
      </c>
    </row>
    <row r="184" spans="1:14" s="156" customFormat="1" x14ac:dyDescent="0.25">
      <c r="A184" s="156" t="s">
        <v>544</v>
      </c>
      <c r="B184" s="156" t="s">
        <v>281</v>
      </c>
      <c r="C184" s="156" t="s">
        <v>282</v>
      </c>
      <c r="D184" s="156" t="s">
        <v>543</v>
      </c>
      <c r="E184" s="179">
        <v>3800000</v>
      </c>
      <c r="F184" s="179">
        <v>3792000</v>
      </c>
      <c r="G184" s="179">
        <v>3792000</v>
      </c>
      <c r="H184" s="179">
        <v>0</v>
      </c>
      <c r="I184" s="179">
        <v>0</v>
      </c>
      <c r="J184" s="179">
        <v>0</v>
      </c>
      <c r="K184" s="179">
        <v>3688269.22</v>
      </c>
      <c r="L184" s="179">
        <v>3688269.22</v>
      </c>
      <c r="M184" s="179">
        <v>103730.78</v>
      </c>
      <c r="N184" s="179">
        <v>103730.78</v>
      </c>
    </row>
    <row r="185" spans="1:14" s="156" customFormat="1" x14ac:dyDescent="0.25">
      <c r="A185" s="156" t="s">
        <v>544</v>
      </c>
      <c r="B185" s="156" t="s">
        <v>285</v>
      </c>
      <c r="C185" s="156" t="s">
        <v>286</v>
      </c>
      <c r="D185" s="156" t="s">
        <v>543</v>
      </c>
      <c r="E185" s="179">
        <v>1000000</v>
      </c>
      <c r="F185" s="179">
        <v>1016000</v>
      </c>
      <c r="G185" s="179">
        <v>1016000</v>
      </c>
      <c r="H185" s="179">
        <v>0</v>
      </c>
      <c r="I185" s="179">
        <v>0</v>
      </c>
      <c r="J185" s="179">
        <v>0</v>
      </c>
      <c r="K185" s="179">
        <v>1015139.92</v>
      </c>
      <c r="L185" s="179">
        <v>1015139.92</v>
      </c>
      <c r="M185" s="179">
        <v>860.08</v>
      </c>
      <c r="N185" s="179">
        <v>860.08</v>
      </c>
    </row>
    <row r="186" spans="1:14" s="156" customFormat="1" x14ac:dyDescent="0.25">
      <c r="A186" s="156" t="s">
        <v>544</v>
      </c>
      <c r="B186" s="156" t="s">
        <v>287</v>
      </c>
      <c r="C186" s="156" t="s">
        <v>288</v>
      </c>
      <c r="D186" s="156" t="s">
        <v>543</v>
      </c>
      <c r="E186" s="179">
        <v>2000000</v>
      </c>
      <c r="F186" s="179">
        <v>1980000</v>
      </c>
      <c r="G186" s="179">
        <v>1980000</v>
      </c>
      <c r="H186" s="179">
        <v>0</v>
      </c>
      <c r="I186" s="179">
        <v>0</v>
      </c>
      <c r="J186" s="179">
        <v>0</v>
      </c>
      <c r="K186" s="179">
        <v>1961465.3</v>
      </c>
      <c r="L186" s="179">
        <v>1961465.3</v>
      </c>
      <c r="M186" s="179">
        <v>18534.7</v>
      </c>
      <c r="N186" s="179">
        <v>18534.7</v>
      </c>
    </row>
    <row r="187" spans="1:14" s="156" customFormat="1" x14ac:dyDescent="0.25">
      <c r="A187" s="156" t="s">
        <v>544</v>
      </c>
      <c r="B187" s="156" t="s">
        <v>293</v>
      </c>
      <c r="C187" s="156" t="s">
        <v>294</v>
      </c>
      <c r="D187" s="156" t="s">
        <v>543</v>
      </c>
      <c r="E187" s="179">
        <v>300000</v>
      </c>
      <c r="F187" s="179">
        <v>296000</v>
      </c>
      <c r="G187" s="179">
        <v>296000</v>
      </c>
      <c r="H187" s="179">
        <v>0</v>
      </c>
      <c r="I187" s="179">
        <v>0</v>
      </c>
      <c r="J187" s="179">
        <v>0</v>
      </c>
      <c r="K187" s="179">
        <v>295119</v>
      </c>
      <c r="L187" s="179">
        <v>295119</v>
      </c>
      <c r="M187" s="179">
        <v>881</v>
      </c>
      <c r="N187" s="179">
        <v>881</v>
      </c>
    </row>
    <row r="188" spans="1:14" s="156" customFormat="1" x14ac:dyDescent="0.25">
      <c r="A188" s="156" t="s">
        <v>544</v>
      </c>
      <c r="B188" s="156" t="s">
        <v>295</v>
      </c>
      <c r="C188" s="156" t="s">
        <v>296</v>
      </c>
      <c r="D188" s="156" t="s">
        <v>543</v>
      </c>
      <c r="E188" s="179">
        <v>500000</v>
      </c>
      <c r="F188" s="179">
        <v>500000</v>
      </c>
      <c r="G188" s="179">
        <v>500000</v>
      </c>
      <c r="H188" s="179">
        <v>0</v>
      </c>
      <c r="I188" s="179">
        <v>0</v>
      </c>
      <c r="J188" s="179">
        <v>0</v>
      </c>
      <c r="K188" s="179">
        <v>416545</v>
      </c>
      <c r="L188" s="179">
        <v>416545</v>
      </c>
      <c r="M188" s="179">
        <v>83455</v>
      </c>
      <c r="N188" s="179">
        <v>83455</v>
      </c>
    </row>
    <row r="189" spans="1:14" s="156" customFormat="1" x14ac:dyDescent="0.25">
      <c r="A189" s="156">
        <v>214781</v>
      </c>
      <c r="B189" s="156" t="s">
        <v>587</v>
      </c>
      <c r="C189" s="156" t="s">
        <v>587</v>
      </c>
      <c r="D189" s="156" t="s">
        <v>541</v>
      </c>
      <c r="E189" s="179">
        <v>11471881000</v>
      </c>
      <c r="F189" s="179">
        <v>10740968852</v>
      </c>
      <c r="G189" s="179">
        <v>10740968852</v>
      </c>
      <c r="H189" s="179">
        <v>0</v>
      </c>
      <c r="I189" s="179">
        <v>92419661.390000001</v>
      </c>
      <c r="J189" s="179">
        <v>0</v>
      </c>
      <c r="K189" s="179">
        <v>9843333943.6599998</v>
      </c>
      <c r="L189" s="179">
        <v>9320170378.5400009</v>
      </c>
      <c r="M189" s="179">
        <v>805215246.95000005</v>
      </c>
      <c r="N189" s="179">
        <v>805215246.95000005</v>
      </c>
    </row>
    <row r="190" spans="1:14" s="156" customFormat="1" x14ac:dyDescent="0.25">
      <c r="A190" s="156" t="s">
        <v>545</v>
      </c>
      <c r="B190" s="156" t="s">
        <v>92</v>
      </c>
      <c r="C190" s="156" t="s">
        <v>93</v>
      </c>
      <c r="D190" s="156" t="s">
        <v>541</v>
      </c>
      <c r="E190" s="179">
        <v>9297872000</v>
      </c>
      <c r="F190" s="179">
        <v>8579375411</v>
      </c>
      <c r="G190" s="179">
        <v>8579375411</v>
      </c>
      <c r="H190" s="179">
        <v>0</v>
      </c>
      <c r="I190" s="179">
        <v>0</v>
      </c>
      <c r="J190" s="179">
        <v>0</v>
      </c>
      <c r="K190" s="179">
        <v>8092653556.1000004</v>
      </c>
      <c r="L190" s="179">
        <v>8092653556.1000004</v>
      </c>
      <c r="M190" s="179">
        <v>486721854.89999998</v>
      </c>
      <c r="N190" s="179">
        <v>486721854.89999998</v>
      </c>
    </row>
    <row r="191" spans="1:14" s="156" customFormat="1" x14ac:dyDescent="0.25">
      <c r="A191" s="156" t="s">
        <v>545</v>
      </c>
      <c r="B191" s="156" t="s">
        <v>94</v>
      </c>
      <c r="C191" s="156" t="s">
        <v>95</v>
      </c>
      <c r="D191" s="156" t="s">
        <v>541</v>
      </c>
      <c r="E191" s="179">
        <v>3269433000</v>
      </c>
      <c r="F191" s="179">
        <v>2952648960</v>
      </c>
      <c r="G191" s="179">
        <v>2952648960</v>
      </c>
      <c r="H191" s="179">
        <v>0</v>
      </c>
      <c r="I191" s="179">
        <v>0</v>
      </c>
      <c r="J191" s="179">
        <v>0</v>
      </c>
      <c r="K191" s="179">
        <v>2798626505.3899999</v>
      </c>
      <c r="L191" s="179">
        <v>2798626505.3899999</v>
      </c>
      <c r="M191" s="179">
        <v>154022454.61000001</v>
      </c>
      <c r="N191" s="179">
        <v>154022454.61000001</v>
      </c>
    </row>
    <row r="192" spans="1:14" s="156" customFormat="1" x14ac:dyDescent="0.25">
      <c r="A192" s="156" t="s">
        <v>545</v>
      </c>
      <c r="B192" s="156" t="s">
        <v>96</v>
      </c>
      <c r="C192" s="156" t="s">
        <v>97</v>
      </c>
      <c r="D192" s="156" t="s">
        <v>541</v>
      </c>
      <c r="E192" s="179">
        <v>3264433000</v>
      </c>
      <c r="F192" s="179">
        <v>2950148960</v>
      </c>
      <c r="G192" s="179">
        <v>2950148960</v>
      </c>
      <c r="H192" s="179">
        <v>0</v>
      </c>
      <c r="I192" s="179">
        <v>0</v>
      </c>
      <c r="J192" s="179">
        <v>0</v>
      </c>
      <c r="K192" s="179">
        <v>2798626505.3899999</v>
      </c>
      <c r="L192" s="179">
        <v>2798626505.3899999</v>
      </c>
      <c r="M192" s="179">
        <v>151522454.61000001</v>
      </c>
      <c r="N192" s="179">
        <v>151522454.61000001</v>
      </c>
    </row>
    <row r="193" spans="1:14" s="156" customFormat="1" x14ac:dyDescent="0.25">
      <c r="A193" s="156" t="s">
        <v>545</v>
      </c>
      <c r="B193" s="156" t="s">
        <v>313</v>
      </c>
      <c r="C193" s="156" t="s">
        <v>314</v>
      </c>
      <c r="D193" s="156" t="s">
        <v>541</v>
      </c>
      <c r="E193" s="179">
        <v>5000000</v>
      </c>
      <c r="F193" s="179">
        <v>2500000</v>
      </c>
      <c r="G193" s="179">
        <v>2500000</v>
      </c>
      <c r="H193" s="179">
        <v>0</v>
      </c>
      <c r="I193" s="179">
        <v>0</v>
      </c>
      <c r="J193" s="179">
        <v>0</v>
      </c>
      <c r="K193" s="179">
        <v>0</v>
      </c>
      <c r="L193" s="179">
        <v>0</v>
      </c>
      <c r="M193" s="179">
        <v>2500000</v>
      </c>
      <c r="N193" s="179">
        <v>2500000</v>
      </c>
    </row>
    <row r="194" spans="1:14" s="156" customFormat="1" x14ac:dyDescent="0.25">
      <c r="A194" s="156" t="s">
        <v>545</v>
      </c>
      <c r="B194" s="156" t="s">
        <v>98</v>
      </c>
      <c r="C194" s="156" t="s">
        <v>99</v>
      </c>
      <c r="D194" s="156" t="s">
        <v>541</v>
      </c>
      <c r="E194" s="179">
        <v>14000000</v>
      </c>
      <c r="F194" s="179">
        <v>11084920</v>
      </c>
      <c r="G194" s="179">
        <v>11084920</v>
      </c>
      <c r="H194" s="179">
        <v>0</v>
      </c>
      <c r="I194" s="179">
        <v>0</v>
      </c>
      <c r="J194" s="179">
        <v>0</v>
      </c>
      <c r="K194" s="179">
        <v>8979369.4000000004</v>
      </c>
      <c r="L194" s="179">
        <v>8979369.4000000004</v>
      </c>
      <c r="M194" s="179">
        <v>2105550.6</v>
      </c>
      <c r="N194" s="179">
        <v>2105550.6</v>
      </c>
    </row>
    <row r="195" spans="1:14" s="156" customFormat="1" x14ac:dyDescent="0.25">
      <c r="A195" s="156" t="s">
        <v>545</v>
      </c>
      <c r="B195" s="156" t="s">
        <v>100</v>
      </c>
      <c r="C195" s="156" t="s">
        <v>101</v>
      </c>
      <c r="D195" s="156" t="s">
        <v>541</v>
      </c>
      <c r="E195" s="179">
        <v>14000000</v>
      </c>
      <c r="F195" s="179">
        <v>11084920</v>
      </c>
      <c r="G195" s="179">
        <v>11084920</v>
      </c>
      <c r="H195" s="179">
        <v>0</v>
      </c>
      <c r="I195" s="179">
        <v>0</v>
      </c>
      <c r="J195" s="179">
        <v>0</v>
      </c>
      <c r="K195" s="179">
        <v>8979369.4000000004</v>
      </c>
      <c r="L195" s="179">
        <v>8979369.4000000004</v>
      </c>
      <c r="M195" s="179">
        <v>2105550.6</v>
      </c>
      <c r="N195" s="179">
        <v>2105550.6</v>
      </c>
    </row>
    <row r="196" spans="1:14" s="156" customFormat="1" x14ac:dyDescent="0.25">
      <c r="A196" s="156" t="s">
        <v>545</v>
      </c>
      <c r="B196" s="156" t="s">
        <v>102</v>
      </c>
      <c r="C196" s="156" t="s">
        <v>103</v>
      </c>
      <c r="D196" s="156" t="s">
        <v>541</v>
      </c>
      <c r="E196" s="179">
        <v>4603320000</v>
      </c>
      <c r="F196" s="179">
        <v>4303943922</v>
      </c>
      <c r="G196" s="179">
        <v>4303943922</v>
      </c>
      <c r="H196" s="179">
        <v>0</v>
      </c>
      <c r="I196" s="179">
        <v>0</v>
      </c>
      <c r="J196" s="179">
        <v>0</v>
      </c>
      <c r="K196" s="179">
        <v>4079579807.3099999</v>
      </c>
      <c r="L196" s="179">
        <v>4079579807.3099999</v>
      </c>
      <c r="M196" s="179">
        <v>224364114.69</v>
      </c>
      <c r="N196" s="179">
        <v>224364114.69</v>
      </c>
    </row>
    <row r="197" spans="1:14" s="156" customFormat="1" x14ac:dyDescent="0.25">
      <c r="A197" s="156" t="s">
        <v>545</v>
      </c>
      <c r="B197" s="156" t="s">
        <v>104</v>
      </c>
      <c r="C197" s="156" t="s">
        <v>105</v>
      </c>
      <c r="D197" s="156" t="s">
        <v>541</v>
      </c>
      <c r="E197" s="179">
        <v>848164000</v>
      </c>
      <c r="F197" s="179">
        <v>793278678</v>
      </c>
      <c r="G197" s="179">
        <v>793278678</v>
      </c>
      <c r="H197" s="179">
        <v>0</v>
      </c>
      <c r="I197" s="179">
        <v>0</v>
      </c>
      <c r="J197" s="179">
        <v>0</v>
      </c>
      <c r="K197" s="179">
        <v>733021615.07000005</v>
      </c>
      <c r="L197" s="179">
        <v>733021615.07000005</v>
      </c>
      <c r="M197" s="179">
        <v>60257062.93</v>
      </c>
      <c r="N197" s="179">
        <v>60257062.93</v>
      </c>
    </row>
    <row r="198" spans="1:14" s="156" customFormat="1" x14ac:dyDescent="0.25">
      <c r="A198" s="156" t="s">
        <v>545</v>
      </c>
      <c r="B198" s="156" t="s">
        <v>106</v>
      </c>
      <c r="C198" s="156" t="s">
        <v>107</v>
      </c>
      <c r="D198" s="156" t="s">
        <v>541</v>
      </c>
      <c r="E198" s="179">
        <v>2130281000</v>
      </c>
      <c r="F198" s="179">
        <v>1961959267</v>
      </c>
      <c r="G198" s="179">
        <v>1961959267</v>
      </c>
      <c r="H198" s="179">
        <v>0</v>
      </c>
      <c r="I198" s="179">
        <v>0</v>
      </c>
      <c r="J198" s="179">
        <v>0</v>
      </c>
      <c r="K198" s="179">
        <v>1840569063.1099999</v>
      </c>
      <c r="L198" s="179">
        <v>1840569063.1099999</v>
      </c>
      <c r="M198" s="179">
        <v>121390203.89</v>
      </c>
      <c r="N198" s="179">
        <v>121390203.89</v>
      </c>
    </row>
    <row r="199" spans="1:14" s="156" customFormat="1" x14ac:dyDescent="0.25">
      <c r="A199" s="156" t="s">
        <v>545</v>
      </c>
      <c r="B199" s="156" t="s">
        <v>108</v>
      </c>
      <c r="C199" s="156" t="s">
        <v>109</v>
      </c>
      <c r="D199" s="156" t="s">
        <v>541</v>
      </c>
      <c r="E199" s="179">
        <v>446946000</v>
      </c>
      <c r="F199" s="179">
        <v>455146000</v>
      </c>
      <c r="G199" s="179">
        <v>455146000</v>
      </c>
      <c r="H199" s="179">
        <v>0</v>
      </c>
      <c r="I199" s="179">
        <v>0</v>
      </c>
      <c r="J199" s="179">
        <v>0</v>
      </c>
      <c r="K199" s="179">
        <v>453774704.60000002</v>
      </c>
      <c r="L199" s="179">
        <v>453774704.60000002</v>
      </c>
      <c r="M199" s="179">
        <v>1371295.4</v>
      </c>
      <c r="N199" s="179">
        <v>1371295.4</v>
      </c>
    </row>
    <row r="200" spans="1:14" s="156" customFormat="1" x14ac:dyDescent="0.25">
      <c r="A200" s="156" t="s">
        <v>545</v>
      </c>
      <c r="B200" s="156" t="s">
        <v>110</v>
      </c>
      <c r="C200" s="156" t="s">
        <v>111</v>
      </c>
      <c r="D200" s="156" t="s">
        <v>541</v>
      </c>
      <c r="E200" s="179">
        <v>591313000</v>
      </c>
      <c r="F200" s="179">
        <v>554097888</v>
      </c>
      <c r="G200" s="179">
        <v>554097888</v>
      </c>
      <c r="H200" s="179">
        <v>0</v>
      </c>
      <c r="I200" s="179">
        <v>0</v>
      </c>
      <c r="J200" s="179">
        <v>0</v>
      </c>
      <c r="K200" s="179">
        <v>523987194.23000002</v>
      </c>
      <c r="L200" s="179">
        <v>523987194.23000002</v>
      </c>
      <c r="M200" s="179">
        <v>30110693.77</v>
      </c>
      <c r="N200" s="179">
        <v>30110693.77</v>
      </c>
    </row>
    <row r="201" spans="1:14" s="156" customFormat="1" x14ac:dyDescent="0.25">
      <c r="A201" s="156" t="s">
        <v>545</v>
      </c>
      <c r="B201" s="156" t="s">
        <v>112</v>
      </c>
      <c r="C201" s="156" t="s">
        <v>113</v>
      </c>
      <c r="D201" s="156" t="s">
        <v>543</v>
      </c>
      <c r="E201" s="179">
        <v>586616000</v>
      </c>
      <c r="F201" s="179">
        <v>539462089</v>
      </c>
      <c r="G201" s="179">
        <v>539462089</v>
      </c>
      <c r="H201" s="179">
        <v>0</v>
      </c>
      <c r="I201" s="179">
        <v>0</v>
      </c>
      <c r="J201" s="179">
        <v>0</v>
      </c>
      <c r="K201" s="179">
        <v>528227230.30000001</v>
      </c>
      <c r="L201" s="179">
        <v>528227230.30000001</v>
      </c>
      <c r="M201" s="179">
        <v>11234858.699999999</v>
      </c>
      <c r="N201" s="179">
        <v>11234858.699999999</v>
      </c>
    </row>
    <row r="202" spans="1:14" s="156" customFormat="1" x14ac:dyDescent="0.25">
      <c r="A202" s="156" t="s">
        <v>545</v>
      </c>
      <c r="B202" s="156" t="s">
        <v>114</v>
      </c>
      <c r="C202" s="156" t="s">
        <v>115</v>
      </c>
      <c r="D202" s="156" t="s">
        <v>541</v>
      </c>
      <c r="E202" s="179">
        <v>711764000</v>
      </c>
      <c r="F202" s="179">
        <v>666572146</v>
      </c>
      <c r="G202" s="179">
        <v>666572146</v>
      </c>
      <c r="H202" s="179">
        <v>0</v>
      </c>
      <c r="I202" s="179">
        <v>0</v>
      </c>
      <c r="J202" s="179">
        <v>0</v>
      </c>
      <c r="K202" s="179">
        <v>615797648</v>
      </c>
      <c r="L202" s="179">
        <v>615797648</v>
      </c>
      <c r="M202" s="179">
        <v>50774498</v>
      </c>
      <c r="N202" s="179">
        <v>50774498</v>
      </c>
    </row>
    <row r="203" spans="1:14" s="156" customFormat="1" x14ac:dyDescent="0.25">
      <c r="A203" s="156" t="s">
        <v>545</v>
      </c>
      <c r="B203" s="156" t="s">
        <v>315</v>
      </c>
      <c r="C203" s="156" t="s">
        <v>620</v>
      </c>
      <c r="D203" s="156" t="s">
        <v>541</v>
      </c>
      <c r="E203" s="179">
        <v>675263000</v>
      </c>
      <c r="F203" s="179">
        <v>632901476</v>
      </c>
      <c r="G203" s="179">
        <v>632901476</v>
      </c>
      <c r="H203" s="179">
        <v>0</v>
      </c>
      <c r="I203" s="179">
        <v>0</v>
      </c>
      <c r="J203" s="179">
        <v>0</v>
      </c>
      <c r="K203" s="179">
        <v>584226534</v>
      </c>
      <c r="L203" s="179">
        <v>584226534</v>
      </c>
      <c r="M203" s="179">
        <v>48674942</v>
      </c>
      <c r="N203" s="179">
        <v>48674942</v>
      </c>
    </row>
    <row r="204" spans="1:14" s="156" customFormat="1" x14ac:dyDescent="0.25">
      <c r="A204" s="156" t="s">
        <v>545</v>
      </c>
      <c r="B204" s="156" t="s">
        <v>316</v>
      </c>
      <c r="C204" s="156" t="s">
        <v>583</v>
      </c>
      <c r="D204" s="156" t="s">
        <v>541</v>
      </c>
      <c r="E204" s="179">
        <v>36501000</v>
      </c>
      <c r="F204" s="179">
        <v>33670670</v>
      </c>
      <c r="G204" s="179">
        <v>33670670</v>
      </c>
      <c r="H204" s="179">
        <v>0</v>
      </c>
      <c r="I204" s="179">
        <v>0</v>
      </c>
      <c r="J204" s="179">
        <v>0</v>
      </c>
      <c r="K204" s="179">
        <v>31571114</v>
      </c>
      <c r="L204" s="179">
        <v>31571114</v>
      </c>
      <c r="M204" s="179">
        <v>2099556</v>
      </c>
      <c r="N204" s="179">
        <v>2099556</v>
      </c>
    </row>
    <row r="205" spans="1:14" s="156" customFormat="1" x14ac:dyDescent="0.25">
      <c r="A205" s="156" t="s">
        <v>545</v>
      </c>
      <c r="B205" s="156" t="s">
        <v>118</v>
      </c>
      <c r="C205" s="156" t="s">
        <v>119</v>
      </c>
      <c r="D205" s="156" t="s">
        <v>541</v>
      </c>
      <c r="E205" s="179">
        <v>699355000</v>
      </c>
      <c r="F205" s="179">
        <v>645125463</v>
      </c>
      <c r="G205" s="179">
        <v>645125463</v>
      </c>
      <c r="H205" s="179">
        <v>0</v>
      </c>
      <c r="I205" s="179">
        <v>0</v>
      </c>
      <c r="J205" s="179">
        <v>0</v>
      </c>
      <c r="K205" s="179">
        <v>589670226</v>
      </c>
      <c r="L205" s="179">
        <v>589670226</v>
      </c>
      <c r="M205" s="179">
        <v>55455237</v>
      </c>
      <c r="N205" s="179">
        <v>55455237</v>
      </c>
    </row>
    <row r="206" spans="1:14" s="156" customFormat="1" x14ac:dyDescent="0.25">
      <c r="A206" s="156" t="s">
        <v>545</v>
      </c>
      <c r="B206" s="156" t="s">
        <v>317</v>
      </c>
      <c r="C206" s="156" t="s">
        <v>621</v>
      </c>
      <c r="D206" s="156" t="s">
        <v>541</v>
      </c>
      <c r="E206" s="179">
        <v>370847000</v>
      </c>
      <c r="F206" s="179">
        <v>342090641</v>
      </c>
      <c r="G206" s="179">
        <v>342090641</v>
      </c>
      <c r="H206" s="179">
        <v>0</v>
      </c>
      <c r="I206" s="179">
        <v>0</v>
      </c>
      <c r="J206" s="179">
        <v>0</v>
      </c>
      <c r="K206" s="179">
        <v>305530257</v>
      </c>
      <c r="L206" s="179">
        <v>305530257</v>
      </c>
      <c r="M206" s="179">
        <v>36560384</v>
      </c>
      <c r="N206" s="179">
        <v>36560384</v>
      </c>
    </row>
    <row r="207" spans="1:14" s="156" customFormat="1" x14ac:dyDescent="0.25">
      <c r="A207" s="156" t="s">
        <v>545</v>
      </c>
      <c r="B207" s="156" t="s">
        <v>318</v>
      </c>
      <c r="C207" s="156" t="s">
        <v>622</v>
      </c>
      <c r="D207" s="156" t="s">
        <v>541</v>
      </c>
      <c r="E207" s="179">
        <v>109503000</v>
      </c>
      <c r="F207" s="179">
        <v>101011907</v>
      </c>
      <c r="G207" s="179">
        <v>101011907</v>
      </c>
      <c r="H207" s="179">
        <v>0</v>
      </c>
      <c r="I207" s="179">
        <v>0</v>
      </c>
      <c r="J207" s="179">
        <v>0</v>
      </c>
      <c r="K207" s="179">
        <v>94713323</v>
      </c>
      <c r="L207" s="179">
        <v>94713323</v>
      </c>
      <c r="M207" s="179">
        <v>6298584</v>
      </c>
      <c r="N207" s="179">
        <v>6298584</v>
      </c>
    </row>
    <row r="208" spans="1:14" s="156" customFormat="1" x14ac:dyDescent="0.25">
      <c r="A208" s="156" t="s">
        <v>545</v>
      </c>
      <c r="B208" s="156" t="s">
        <v>319</v>
      </c>
      <c r="C208" s="156" t="s">
        <v>623</v>
      </c>
      <c r="D208" s="156" t="s">
        <v>541</v>
      </c>
      <c r="E208" s="179">
        <v>219005000</v>
      </c>
      <c r="F208" s="179">
        <v>202022915</v>
      </c>
      <c r="G208" s="179">
        <v>202022915</v>
      </c>
      <c r="H208" s="179">
        <v>0</v>
      </c>
      <c r="I208" s="179">
        <v>0</v>
      </c>
      <c r="J208" s="179">
        <v>0</v>
      </c>
      <c r="K208" s="179">
        <v>189426646</v>
      </c>
      <c r="L208" s="179">
        <v>189426646</v>
      </c>
      <c r="M208" s="179">
        <v>12596269</v>
      </c>
      <c r="N208" s="179">
        <v>12596269</v>
      </c>
    </row>
    <row r="209" spans="1:14" s="156" customFormat="1" x14ac:dyDescent="0.25">
      <c r="A209" s="156" t="s">
        <v>545</v>
      </c>
      <c r="B209" s="156" t="s">
        <v>123</v>
      </c>
      <c r="C209" s="156" t="s">
        <v>124</v>
      </c>
      <c r="D209" s="156" t="s">
        <v>541</v>
      </c>
      <c r="E209" s="179">
        <v>1420150000</v>
      </c>
      <c r="F209" s="179">
        <v>1449321205</v>
      </c>
      <c r="G209" s="179">
        <v>1449321205</v>
      </c>
      <c r="H209" s="179">
        <v>0</v>
      </c>
      <c r="I209" s="179">
        <v>71306062.290000007</v>
      </c>
      <c r="J209" s="179">
        <v>0</v>
      </c>
      <c r="K209" s="179">
        <v>1175141868.73</v>
      </c>
      <c r="L209" s="179">
        <v>782008454.40999997</v>
      </c>
      <c r="M209" s="179">
        <v>202873273.97999999</v>
      </c>
      <c r="N209" s="179">
        <v>202873273.97999999</v>
      </c>
    </row>
    <row r="210" spans="1:14" s="156" customFormat="1" x14ac:dyDescent="0.25">
      <c r="A210" s="156" t="s">
        <v>545</v>
      </c>
      <c r="B210" s="156" t="s">
        <v>125</v>
      </c>
      <c r="C210" s="156" t="s">
        <v>126</v>
      </c>
      <c r="D210" s="156" t="s">
        <v>541</v>
      </c>
      <c r="E210" s="179">
        <v>451324000</v>
      </c>
      <c r="F210" s="179">
        <v>318174000</v>
      </c>
      <c r="G210" s="179">
        <v>318174000</v>
      </c>
      <c r="H210" s="179">
        <v>0</v>
      </c>
      <c r="I210" s="179">
        <v>3649587.71</v>
      </c>
      <c r="J210" s="179">
        <v>0</v>
      </c>
      <c r="K210" s="179">
        <v>279886763.86000001</v>
      </c>
      <c r="L210" s="179">
        <v>236365672.13999999</v>
      </c>
      <c r="M210" s="179">
        <v>34637648.43</v>
      </c>
      <c r="N210" s="179">
        <v>34637648.43</v>
      </c>
    </row>
    <row r="211" spans="1:14" s="156" customFormat="1" x14ac:dyDescent="0.25">
      <c r="A211" s="156" t="s">
        <v>545</v>
      </c>
      <c r="B211" s="156" t="s">
        <v>306</v>
      </c>
      <c r="C211" s="156" t="s">
        <v>307</v>
      </c>
      <c r="D211" s="156" t="s">
        <v>541</v>
      </c>
      <c r="E211" s="179">
        <v>292666000</v>
      </c>
      <c r="F211" s="179">
        <v>167666000</v>
      </c>
      <c r="G211" s="179">
        <v>167666000</v>
      </c>
      <c r="H211" s="179">
        <v>0</v>
      </c>
      <c r="I211" s="179">
        <v>27000</v>
      </c>
      <c r="J211" s="179">
        <v>0</v>
      </c>
      <c r="K211" s="179">
        <v>138395771.97</v>
      </c>
      <c r="L211" s="179">
        <v>127684686.97</v>
      </c>
      <c r="M211" s="179">
        <v>29243228.030000001</v>
      </c>
      <c r="N211" s="179">
        <v>29243228.030000001</v>
      </c>
    </row>
    <row r="212" spans="1:14" s="156" customFormat="1" x14ac:dyDescent="0.25">
      <c r="A212" s="156" t="s">
        <v>545</v>
      </c>
      <c r="B212" s="156" t="s">
        <v>320</v>
      </c>
      <c r="C212" s="156" t="s">
        <v>321</v>
      </c>
      <c r="D212" s="156" t="s">
        <v>541</v>
      </c>
      <c r="E212" s="179">
        <v>6984000</v>
      </c>
      <c r="F212" s="179">
        <v>4984000</v>
      </c>
      <c r="G212" s="179">
        <v>4984000</v>
      </c>
      <c r="H212" s="179">
        <v>0</v>
      </c>
      <c r="I212" s="179">
        <v>40226.65</v>
      </c>
      <c r="J212" s="179">
        <v>0</v>
      </c>
      <c r="K212" s="179">
        <v>2809201.69</v>
      </c>
      <c r="L212" s="179">
        <v>1887552.01</v>
      </c>
      <c r="M212" s="179">
        <v>2134571.66</v>
      </c>
      <c r="N212" s="179">
        <v>2134571.66</v>
      </c>
    </row>
    <row r="213" spans="1:14" s="156" customFormat="1" x14ac:dyDescent="0.25">
      <c r="A213" s="156" t="s">
        <v>545</v>
      </c>
      <c r="B213" s="156" t="s">
        <v>127</v>
      </c>
      <c r="C213" s="156" t="s">
        <v>128</v>
      </c>
      <c r="D213" s="156" t="s">
        <v>541</v>
      </c>
      <c r="E213" s="179">
        <v>115000000</v>
      </c>
      <c r="F213" s="179">
        <v>105750000</v>
      </c>
      <c r="G213" s="179">
        <v>105750000</v>
      </c>
      <c r="H213" s="179">
        <v>0</v>
      </c>
      <c r="I213" s="179">
        <v>3036299.31</v>
      </c>
      <c r="J213" s="179">
        <v>0</v>
      </c>
      <c r="K213" s="179">
        <v>100813913.08</v>
      </c>
      <c r="L213" s="179">
        <v>76051963</v>
      </c>
      <c r="M213" s="179">
        <v>1899787.61</v>
      </c>
      <c r="N213" s="179">
        <v>1899787.61</v>
      </c>
    </row>
    <row r="214" spans="1:14" s="156" customFormat="1" x14ac:dyDescent="0.25">
      <c r="A214" s="156" t="s">
        <v>545</v>
      </c>
      <c r="B214" s="156" t="s">
        <v>322</v>
      </c>
      <c r="C214" s="156" t="s">
        <v>323</v>
      </c>
      <c r="D214" s="156" t="s">
        <v>541</v>
      </c>
      <c r="E214" s="179">
        <v>1571000</v>
      </c>
      <c r="F214" s="179">
        <v>2071000</v>
      </c>
      <c r="G214" s="179">
        <v>2071000</v>
      </c>
      <c r="H214" s="179">
        <v>0</v>
      </c>
      <c r="I214" s="179">
        <v>162259.43</v>
      </c>
      <c r="J214" s="179">
        <v>0</v>
      </c>
      <c r="K214" s="179">
        <v>1435367.25</v>
      </c>
      <c r="L214" s="179">
        <v>1299456</v>
      </c>
      <c r="M214" s="179">
        <v>473373.32</v>
      </c>
      <c r="N214" s="179">
        <v>473373.32</v>
      </c>
    </row>
    <row r="215" spans="1:14" s="156" customFormat="1" x14ac:dyDescent="0.25">
      <c r="A215" s="156" t="s">
        <v>545</v>
      </c>
      <c r="B215" s="156" t="s">
        <v>129</v>
      </c>
      <c r="C215" s="156" t="s">
        <v>130</v>
      </c>
      <c r="D215" s="156" t="s">
        <v>541</v>
      </c>
      <c r="E215" s="179">
        <v>35103000</v>
      </c>
      <c r="F215" s="179">
        <v>37703000</v>
      </c>
      <c r="G215" s="179">
        <v>37703000</v>
      </c>
      <c r="H215" s="179">
        <v>0</v>
      </c>
      <c r="I215" s="179">
        <v>383802.32</v>
      </c>
      <c r="J215" s="179">
        <v>0</v>
      </c>
      <c r="K215" s="179">
        <v>36432509.869999997</v>
      </c>
      <c r="L215" s="179">
        <v>29442014.16</v>
      </c>
      <c r="M215" s="179">
        <v>886687.81</v>
      </c>
      <c r="N215" s="179">
        <v>886687.81</v>
      </c>
    </row>
    <row r="216" spans="1:14" s="156" customFormat="1" x14ac:dyDescent="0.25">
      <c r="A216" s="156" t="s">
        <v>545</v>
      </c>
      <c r="B216" s="156" t="s">
        <v>131</v>
      </c>
      <c r="C216" s="156" t="s">
        <v>132</v>
      </c>
      <c r="D216" s="156" t="s">
        <v>541</v>
      </c>
      <c r="E216" s="179">
        <v>152420000</v>
      </c>
      <c r="F216" s="179">
        <v>131420000</v>
      </c>
      <c r="G216" s="179">
        <v>131420000</v>
      </c>
      <c r="H216" s="179">
        <v>0</v>
      </c>
      <c r="I216" s="179">
        <v>21544085.219999999</v>
      </c>
      <c r="J216" s="179">
        <v>0</v>
      </c>
      <c r="K216" s="179">
        <v>94799089.810000002</v>
      </c>
      <c r="L216" s="179">
        <v>90937662.370000005</v>
      </c>
      <c r="M216" s="179">
        <v>15076824.970000001</v>
      </c>
      <c r="N216" s="179">
        <v>15076824.970000001</v>
      </c>
    </row>
    <row r="217" spans="1:14" s="156" customFormat="1" x14ac:dyDescent="0.25">
      <c r="A217" s="156" t="s">
        <v>545</v>
      </c>
      <c r="B217" s="156" t="s">
        <v>133</v>
      </c>
      <c r="C217" s="156" t="s">
        <v>134</v>
      </c>
      <c r="D217" s="156" t="s">
        <v>541</v>
      </c>
      <c r="E217" s="179">
        <v>20500000</v>
      </c>
      <c r="F217" s="179">
        <v>20500000</v>
      </c>
      <c r="G217" s="179">
        <v>20500000</v>
      </c>
      <c r="H217" s="179">
        <v>0</v>
      </c>
      <c r="I217" s="179">
        <v>4191169</v>
      </c>
      <c r="J217" s="179">
        <v>0</v>
      </c>
      <c r="K217" s="179">
        <v>16308129</v>
      </c>
      <c r="L217" s="179">
        <v>16308129</v>
      </c>
      <c r="M217" s="179">
        <v>702</v>
      </c>
      <c r="N217" s="179">
        <v>702</v>
      </c>
    </row>
    <row r="218" spans="1:14" s="156" customFormat="1" x14ac:dyDescent="0.25">
      <c r="A218" s="156" t="s">
        <v>545</v>
      </c>
      <c r="B218" s="156" t="s">
        <v>135</v>
      </c>
      <c r="C218" s="156" t="s">
        <v>136</v>
      </c>
      <c r="D218" s="156" t="s">
        <v>541</v>
      </c>
      <c r="E218" s="179">
        <v>54000000</v>
      </c>
      <c r="F218" s="179">
        <v>49000000</v>
      </c>
      <c r="G218" s="179">
        <v>49000000</v>
      </c>
      <c r="H218" s="179">
        <v>0</v>
      </c>
      <c r="I218" s="179">
        <v>9000000</v>
      </c>
      <c r="J218" s="179">
        <v>0</v>
      </c>
      <c r="K218" s="179">
        <v>36699720</v>
      </c>
      <c r="L218" s="179">
        <v>36699720</v>
      </c>
      <c r="M218" s="179">
        <v>3300280</v>
      </c>
      <c r="N218" s="179">
        <v>3300280</v>
      </c>
    </row>
    <row r="219" spans="1:14" s="156" customFormat="1" x14ac:dyDescent="0.25">
      <c r="A219" s="156" t="s">
        <v>545</v>
      </c>
      <c r="B219" s="156" t="s">
        <v>137</v>
      </c>
      <c r="C219" s="156" t="s">
        <v>138</v>
      </c>
      <c r="D219" s="156" t="s">
        <v>541</v>
      </c>
      <c r="E219" s="179">
        <v>16400000</v>
      </c>
      <c r="F219" s="179">
        <v>10400000</v>
      </c>
      <c r="G219" s="179">
        <v>10400000</v>
      </c>
      <c r="H219" s="179">
        <v>0</v>
      </c>
      <c r="I219" s="179">
        <v>475290</v>
      </c>
      <c r="J219" s="179">
        <v>0</v>
      </c>
      <c r="K219" s="179">
        <v>2821155</v>
      </c>
      <c r="L219" s="179">
        <v>2554085</v>
      </c>
      <c r="M219" s="179">
        <v>7103555</v>
      </c>
      <c r="N219" s="179">
        <v>7103555</v>
      </c>
    </row>
    <row r="220" spans="1:14" s="156" customFormat="1" x14ac:dyDescent="0.25">
      <c r="A220" s="156" t="s">
        <v>545</v>
      </c>
      <c r="B220" s="156" t="s">
        <v>139</v>
      </c>
      <c r="C220" s="156" t="s">
        <v>140</v>
      </c>
      <c r="D220" s="156" t="s">
        <v>541</v>
      </c>
      <c r="E220" s="179">
        <v>56520000</v>
      </c>
      <c r="F220" s="179">
        <v>46520000</v>
      </c>
      <c r="G220" s="179">
        <v>46520000</v>
      </c>
      <c r="H220" s="179">
        <v>0</v>
      </c>
      <c r="I220" s="179">
        <v>7796626.2199999997</v>
      </c>
      <c r="J220" s="179">
        <v>0</v>
      </c>
      <c r="K220" s="179">
        <v>34052106.609999999</v>
      </c>
      <c r="L220" s="179">
        <v>30457749.170000002</v>
      </c>
      <c r="M220" s="179">
        <v>4671267.17</v>
      </c>
      <c r="N220" s="179">
        <v>4671267.17</v>
      </c>
    </row>
    <row r="221" spans="1:14" s="156" customFormat="1" x14ac:dyDescent="0.25">
      <c r="A221" s="156" t="s">
        <v>545</v>
      </c>
      <c r="B221" s="156" t="s">
        <v>141</v>
      </c>
      <c r="C221" s="156" t="s">
        <v>142</v>
      </c>
      <c r="D221" s="156" t="s">
        <v>541</v>
      </c>
      <c r="E221" s="179">
        <v>5000000</v>
      </c>
      <c r="F221" s="179">
        <v>5000000</v>
      </c>
      <c r="G221" s="179">
        <v>5000000</v>
      </c>
      <c r="H221" s="179">
        <v>0</v>
      </c>
      <c r="I221" s="179">
        <v>81000</v>
      </c>
      <c r="J221" s="179">
        <v>0</v>
      </c>
      <c r="K221" s="179">
        <v>4917979.2</v>
      </c>
      <c r="L221" s="179">
        <v>4917979.2</v>
      </c>
      <c r="M221" s="179">
        <v>1020.8</v>
      </c>
      <c r="N221" s="179">
        <v>1020.8</v>
      </c>
    </row>
    <row r="222" spans="1:14" s="156" customFormat="1" x14ac:dyDescent="0.25">
      <c r="A222" s="156" t="s">
        <v>545</v>
      </c>
      <c r="B222" s="156" t="s">
        <v>143</v>
      </c>
      <c r="C222" s="156" t="s">
        <v>144</v>
      </c>
      <c r="D222" s="156" t="s">
        <v>541</v>
      </c>
      <c r="E222" s="179">
        <v>49449000</v>
      </c>
      <c r="F222" s="179">
        <v>9449000</v>
      </c>
      <c r="G222" s="179">
        <v>9449000</v>
      </c>
      <c r="H222" s="179">
        <v>0</v>
      </c>
      <c r="I222" s="179">
        <v>633644.31999999995</v>
      </c>
      <c r="J222" s="179">
        <v>0</v>
      </c>
      <c r="K222" s="179">
        <v>1831767.78</v>
      </c>
      <c r="L222" s="179">
        <v>1382111.88</v>
      </c>
      <c r="M222" s="179">
        <v>6983587.9000000004</v>
      </c>
      <c r="N222" s="179">
        <v>6983587.9000000004</v>
      </c>
    </row>
    <row r="223" spans="1:14" s="156" customFormat="1" x14ac:dyDescent="0.25">
      <c r="A223" s="156" t="s">
        <v>545</v>
      </c>
      <c r="B223" s="156" t="s">
        <v>145</v>
      </c>
      <c r="C223" s="156" t="s">
        <v>146</v>
      </c>
      <c r="D223" s="156" t="s">
        <v>541</v>
      </c>
      <c r="E223" s="179">
        <v>1000000</v>
      </c>
      <c r="F223" s="179">
        <v>1000000</v>
      </c>
      <c r="G223" s="179">
        <v>1000000</v>
      </c>
      <c r="H223" s="179">
        <v>0</v>
      </c>
      <c r="I223" s="179">
        <v>205700</v>
      </c>
      <c r="J223" s="179">
        <v>0</v>
      </c>
      <c r="K223" s="179">
        <v>289360</v>
      </c>
      <c r="L223" s="179">
        <v>195060</v>
      </c>
      <c r="M223" s="179">
        <v>504940</v>
      </c>
      <c r="N223" s="179">
        <v>504940</v>
      </c>
    </row>
    <row r="224" spans="1:14" s="156" customFormat="1" x14ac:dyDescent="0.25">
      <c r="A224" s="156" t="s">
        <v>545</v>
      </c>
      <c r="B224" s="156" t="s">
        <v>147</v>
      </c>
      <c r="C224" s="156" t="s">
        <v>148</v>
      </c>
      <c r="D224" s="156" t="s">
        <v>541</v>
      </c>
      <c r="E224" s="179">
        <v>3100000</v>
      </c>
      <c r="F224" s="179">
        <v>3100000</v>
      </c>
      <c r="G224" s="179">
        <v>3100000</v>
      </c>
      <c r="H224" s="179">
        <v>0</v>
      </c>
      <c r="I224" s="179">
        <v>102277</v>
      </c>
      <c r="J224" s="179">
        <v>0</v>
      </c>
      <c r="K224" s="179">
        <v>322143</v>
      </c>
      <c r="L224" s="179">
        <v>322143</v>
      </c>
      <c r="M224" s="179">
        <v>2675580</v>
      </c>
      <c r="N224" s="179">
        <v>2675580</v>
      </c>
    </row>
    <row r="225" spans="1:14" s="156" customFormat="1" x14ac:dyDescent="0.25">
      <c r="A225" s="156" t="s">
        <v>545</v>
      </c>
      <c r="B225" s="156" t="s">
        <v>324</v>
      </c>
      <c r="C225" s="156" t="s">
        <v>325</v>
      </c>
      <c r="D225" s="156" t="s">
        <v>541</v>
      </c>
      <c r="E225" s="179">
        <v>600000</v>
      </c>
      <c r="F225" s="179">
        <v>600000</v>
      </c>
      <c r="G225" s="179">
        <v>600000</v>
      </c>
      <c r="H225" s="179">
        <v>0</v>
      </c>
      <c r="I225" s="179">
        <v>0</v>
      </c>
      <c r="J225" s="179">
        <v>0</v>
      </c>
      <c r="K225" s="179">
        <v>0</v>
      </c>
      <c r="L225" s="179">
        <v>0</v>
      </c>
      <c r="M225" s="179">
        <v>600000</v>
      </c>
      <c r="N225" s="179">
        <v>600000</v>
      </c>
    </row>
    <row r="226" spans="1:14" s="156" customFormat="1" x14ac:dyDescent="0.25">
      <c r="A226" s="156" t="s">
        <v>545</v>
      </c>
      <c r="B226" s="156" t="s">
        <v>149</v>
      </c>
      <c r="C226" s="156" t="s">
        <v>150</v>
      </c>
      <c r="D226" s="156" t="s">
        <v>541</v>
      </c>
      <c r="E226" s="179">
        <v>200000</v>
      </c>
      <c r="F226" s="179">
        <v>200000</v>
      </c>
      <c r="G226" s="179">
        <v>200000</v>
      </c>
      <c r="H226" s="179">
        <v>0</v>
      </c>
      <c r="I226" s="179">
        <v>67024.5</v>
      </c>
      <c r="J226" s="179">
        <v>0</v>
      </c>
      <c r="K226" s="179">
        <v>82975.5</v>
      </c>
      <c r="L226" s="179">
        <v>82975.5</v>
      </c>
      <c r="M226" s="179">
        <v>50000</v>
      </c>
      <c r="N226" s="179">
        <v>50000</v>
      </c>
    </row>
    <row r="227" spans="1:14" s="156" customFormat="1" x14ac:dyDescent="0.25">
      <c r="A227" s="156" t="s">
        <v>545</v>
      </c>
      <c r="B227" s="156" t="s">
        <v>326</v>
      </c>
      <c r="C227" s="156" t="s">
        <v>327</v>
      </c>
      <c r="D227" s="156" t="s">
        <v>541</v>
      </c>
      <c r="E227" s="179">
        <v>44549000</v>
      </c>
      <c r="F227" s="179">
        <v>4549000</v>
      </c>
      <c r="G227" s="179">
        <v>4549000</v>
      </c>
      <c r="H227" s="179">
        <v>0</v>
      </c>
      <c r="I227" s="179">
        <v>258642.82</v>
      </c>
      <c r="J227" s="179">
        <v>0</v>
      </c>
      <c r="K227" s="179">
        <v>1137289.28</v>
      </c>
      <c r="L227" s="179">
        <v>781933.38</v>
      </c>
      <c r="M227" s="179">
        <v>3153067.9</v>
      </c>
      <c r="N227" s="179">
        <v>3153067.9</v>
      </c>
    </row>
    <row r="228" spans="1:14" s="156" customFormat="1" x14ac:dyDescent="0.25">
      <c r="A228" s="156" t="s">
        <v>545</v>
      </c>
      <c r="B228" s="156" t="s">
        <v>151</v>
      </c>
      <c r="C228" s="156" t="s">
        <v>152</v>
      </c>
      <c r="D228" s="156" t="s">
        <v>541</v>
      </c>
      <c r="E228" s="179">
        <v>508035000</v>
      </c>
      <c r="F228" s="179">
        <v>747035000</v>
      </c>
      <c r="G228" s="179">
        <v>747035000</v>
      </c>
      <c r="H228" s="179">
        <v>0</v>
      </c>
      <c r="I228" s="179">
        <v>17836221.260000002</v>
      </c>
      <c r="J228" s="179">
        <v>0</v>
      </c>
      <c r="K228" s="179">
        <v>623502609.25999999</v>
      </c>
      <c r="L228" s="179">
        <v>330874971.31</v>
      </c>
      <c r="M228" s="179">
        <v>105696169.48</v>
      </c>
      <c r="N228" s="179">
        <v>105696169.48</v>
      </c>
    </row>
    <row r="229" spans="1:14" s="156" customFormat="1" x14ac:dyDescent="0.25">
      <c r="A229" s="156" t="s">
        <v>545</v>
      </c>
      <c r="B229" s="156" t="s">
        <v>328</v>
      </c>
      <c r="C229" s="156" t="s">
        <v>329</v>
      </c>
      <c r="D229" s="156" t="s">
        <v>541</v>
      </c>
      <c r="E229" s="179">
        <v>2000000</v>
      </c>
      <c r="F229" s="179">
        <v>1000000</v>
      </c>
      <c r="G229" s="179">
        <v>1000000</v>
      </c>
      <c r="H229" s="179">
        <v>0</v>
      </c>
      <c r="I229" s="179">
        <v>0</v>
      </c>
      <c r="J229" s="179">
        <v>0</v>
      </c>
      <c r="K229" s="179">
        <v>18275</v>
      </c>
      <c r="L229" s="179">
        <v>18275</v>
      </c>
      <c r="M229" s="179">
        <v>981725</v>
      </c>
      <c r="N229" s="179">
        <v>981725</v>
      </c>
    </row>
    <row r="230" spans="1:14" s="156" customFormat="1" x14ac:dyDescent="0.25">
      <c r="A230" s="156" t="s">
        <v>545</v>
      </c>
      <c r="B230" s="156" t="s">
        <v>330</v>
      </c>
      <c r="C230" s="156" t="s">
        <v>628</v>
      </c>
      <c r="D230" s="156" t="s">
        <v>541</v>
      </c>
      <c r="E230" s="179">
        <v>141090000</v>
      </c>
      <c r="F230" s="179">
        <v>384090000</v>
      </c>
      <c r="G230" s="179">
        <v>384090000</v>
      </c>
      <c r="H230" s="179">
        <v>0</v>
      </c>
      <c r="I230" s="179">
        <v>4556956</v>
      </c>
      <c r="J230" s="179">
        <v>0</v>
      </c>
      <c r="K230" s="179">
        <v>318942321.89999998</v>
      </c>
      <c r="L230" s="179">
        <v>75393837.510000005</v>
      </c>
      <c r="M230" s="179">
        <v>60590722.100000001</v>
      </c>
      <c r="N230" s="179">
        <v>60590722.100000001</v>
      </c>
    </row>
    <row r="231" spans="1:14" s="156" customFormat="1" x14ac:dyDescent="0.25">
      <c r="A231" s="156" t="s">
        <v>545</v>
      </c>
      <c r="B231" s="156" t="s">
        <v>331</v>
      </c>
      <c r="C231" s="156" t="s">
        <v>629</v>
      </c>
      <c r="D231" s="156" t="s">
        <v>541</v>
      </c>
      <c r="E231" s="179">
        <v>3000000</v>
      </c>
      <c r="F231" s="179">
        <v>0</v>
      </c>
      <c r="G231" s="179">
        <v>0</v>
      </c>
      <c r="H231" s="179">
        <v>0</v>
      </c>
      <c r="I231" s="179">
        <v>0</v>
      </c>
      <c r="J231" s="179">
        <v>0</v>
      </c>
      <c r="K231" s="179">
        <v>0</v>
      </c>
      <c r="L231" s="179">
        <v>0</v>
      </c>
      <c r="M231" s="179">
        <v>0</v>
      </c>
      <c r="N231" s="179">
        <v>0</v>
      </c>
    </row>
    <row r="232" spans="1:14" s="156" customFormat="1" x14ac:dyDescent="0.25">
      <c r="A232" s="156" t="s">
        <v>545</v>
      </c>
      <c r="B232" s="156" t="s">
        <v>154</v>
      </c>
      <c r="C232" s="156" t="s">
        <v>155</v>
      </c>
      <c r="D232" s="156" t="s">
        <v>541</v>
      </c>
      <c r="E232" s="179">
        <v>347095000</v>
      </c>
      <c r="F232" s="179">
        <v>347095000</v>
      </c>
      <c r="G232" s="179">
        <v>347095000</v>
      </c>
      <c r="H232" s="179">
        <v>0</v>
      </c>
      <c r="I232" s="179">
        <v>10000000</v>
      </c>
      <c r="J232" s="179">
        <v>0</v>
      </c>
      <c r="K232" s="179">
        <v>298532902.56</v>
      </c>
      <c r="L232" s="179">
        <v>249646223</v>
      </c>
      <c r="M232" s="179">
        <v>38562097.439999998</v>
      </c>
      <c r="N232" s="179">
        <v>38562097.439999998</v>
      </c>
    </row>
    <row r="233" spans="1:14" s="156" customFormat="1" x14ac:dyDescent="0.25">
      <c r="A233" s="156" t="s">
        <v>545</v>
      </c>
      <c r="B233" s="156" t="s">
        <v>156</v>
      </c>
      <c r="C233" s="156" t="s">
        <v>157</v>
      </c>
      <c r="D233" s="156" t="s">
        <v>541</v>
      </c>
      <c r="E233" s="179">
        <v>14850000</v>
      </c>
      <c r="F233" s="179">
        <v>14850000</v>
      </c>
      <c r="G233" s="179">
        <v>14850000</v>
      </c>
      <c r="H233" s="179">
        <v>0</v>
      </c>
      <c r="I233" s="179">
        <v>3279265.26</v>
      </c>
      <c r="J233" s="179">
        <v>0</v>
      </c>
      <c r="K233" s="179">
        <v>6009109.7999999998</v>
      </c>
      <c r="L233" s="179">
        <v>5816635.7999999998</v>
      </c>
      <c r="M233" s="179">
        <v>5561624.9400000004</v>
      </c>
      <c r="N233" s="179">
        <v>5561624.9400000004</v>
      </c>
    </row>
    <row r="234" spans="1:14" s="156" customFormat="1" x14ac:dyDescent="0.25">
      <c r="A234" s="156" t="s">
        <v>545</v>
      </c>
      <c r="B234" s="156" t="s">
        <v>158</v>
      </c>
      <c r="C234" s="156" t="s">
        <v>159</v>
      </c>
      <c r="D234" s="156" t="s">
        <v>541</v>
      </c>
      <c r="E234" s="179">
        <v>44950000</v>
      </c>
      <c r="F234" s="179">
        <v>44271205</v>
      </c>
      <c r="G234" s="179">
        <v>44271205</v>
      </c>
      <c r="H234" s="179">
        <v>0</v>
      </c>
      <c r="I234" s="179">
        <v>1755810</v>
      </c>
      <c r="J234" s="179">
        <v>0</v>
      </c>
      <c r="K234" s="179">
        <v>34378868.579999998</v>
      </c>
      <c r="L234" s="179">
        <v>34368948.579999998</v>
      </c>
      <c r="M234" s="179">
        <v>8136526.4199999999</v>
      </c>
      <c r="N234" s="179">
        <v>8136526.4199999999</v>
      </c>
    </row>
    <row r="235" spans="1:14" s="156" customFormat="1" x14ac:dyDescent="0.25">
      <c r="A235" s="156" t="s">
        <v>545</v>
      </c>
      <c r="B235" s="156" t="s">
        <v>160</v>
      </c>
      <c r="C235" s="156" t="s">
        <v>161</v>
      </c>
      <c r="D235" s="156" t="s">
        <v>541</v>
      </c>
      <c r="E235" s="179">
        <v>450000</v>
      </c>
      <c r="F235" s="179">
        <v>1600000</v>
      </c>
      <c r="G235" s="179">
        <v>1600000</v>
      </c>
      <c r="H235" s="179">
        <v>0</v>
      </c>
      <c r="I235" s="179">
        <v>225610</v>
      </c>
      <c r="J235" s="179">
        <v>0</v>
      </c>
      <c r="K235" s="179">
        <v>925765</v>
      </c>
      <c r="L235" s="179">
        <v>915845</v>
      </c>
      <c r="M235" s="179">
        <v>448625</v>
      </c>
      <c r="N235" s="179">
        <v>448625</v>
      </c>
    </row>
    <row r="236" spans="1:14" s="156" customFormat="1" x14ac:dyDescent="0.25">
      <c r="A236" s="156" t="s">
        <v>545</v>
      </c>
      <c r="B236" s="156" t="s">
        <v>162</v>
      </c>
      <c r="C236" s="156" t="s">
        <v>163</v>
      </c>
      <c r="D236" s="156" t="s">
        <v>541</v>
      </c>
      <c r="E236" s="179">
        <v>34000000</v>
      </c>
      <c r="F236" s="179">
        <v>34000000</v>
      </c>
      <c r="G236" s="179">
        <v>34000000</v>
      </c>
      <c r="H236" s="179">
        <v>0</v>
      </c>
      <c r="I236" s="179">
        <v>1530200</v>
      </c>
      <c r="J236" s="179">
        <v>0</v>
      </c>
      <c r="K236" s="179">
        <v>26794450</v>
      </c>
      <c r="L236" s="179">
        <v>26794450</v>
      </c>
      <c r="M236" s="179">
        <v>5675350</v>
      </c>
      <c r="N236" s="179">
        <v>5675350</v>
      </c>
    </row>
    <row r="237" spans="1:14" s="156" customFormat="1" x14ac:dyDescent="0.25">
      <c r="A237" s="156" t="s">
        <v>545</v>
      </c>
      <c r="B237" s="156" t="s">
        <v>164</v>
      </c>
      <c r="C237" s="156" t="s">
        <v>165</v>
      </c>
      <c r="D237" s="156" t="s">
        <v>541</v>
      </c>
      <c r="E237" s="179">
        <v>3000000</v>
      </c>
      <c r="F237" s="179">
        <v>2550000</v>
      </c>
      <c r="G237" s="179">
        <v>2550000</v>
      </c>
      <c r="H237" s="179">
        <v>0</v>
      </c>
      <c r="I237" s="179">
        <v>0</v>
      </c>
      <c r="J237" s="179">
        <v>0</v>
      </c>
      <c r="K237" s="179">
        <v>1986202.24</v>
      </c>
      <c r="L237" s="179">
        <v>1986202.24</v>
      </c>
      <c r="M237" s="179">
        <v>563797.76000000001</v>
      </c>
      <c r="N237" s="179">
        <v>563797.76000000001</v>
      </c>
    </row>
    <row r="238" spans="1:14" s="156" customFormat="1" x14ac:dyDescent="0.25">
      <c r="A238" s="156" t="s">
        <v>545</v>
      </c>
      <c r="B238" s="156" t="s">
        <v>166</v>
      </c>
      <c r="C238" s="156" t="s">
        <v>167</v>
      </c>
      <c r="D238" s="156" t="s">
        <v>541</v>
      </c>
      <c r="E238" s="179">
        <v>7500000</v>
      </c>
      <c r="F238" s="179">
        <v>6121205</v>
      </c>
      <c r="G238" s="179">
        <v>6121205</v>
      </c>
      <c r="H238" s="179">
        <v>0</v>
      </c>
      <c r="I238" s="179">
        <v>0</v>
      </c>
      <c r="J238" s="179">
        <v>0</v>
      </c>
      <c r="K238" s="179">
        <v>4672451.34</v>
      </c>
      <c r="L238" s="179">
        <v>4672451.34</v>
      </c>
      <c r="M238" s="179">
        <v>1448753.66</v>
      </c>
      <c r="N238" s="179">
        <v>1448753.66</v>
      </c>
    </row>
    <row r="239" spans="1:14" s="156" customFormat="1" x14ac:dyDescent="0.25">
      <c r="A239" s="156" t="s">
        <v>545</v>
      </c>
      <c r="B239" s="156" t="s">
        <v>168</v>
      </c>
      <c r="C239" s="156" t="s">
        <v>169</v>
      </c>
      <c r="D239" s="156" t="s">
        <v>541</v>
      </c>
      <c r="E239" s="179">
        <v>91000000</v>
      </c>
      <c r="F239" s="179">
        <v>91000000</v>
      </c>
      <c r="G239" s="179">
        <v>91000000</v>
      </c>
      <c r="H239" s="179">
        <v>0</v>
      </c>
      <c r="I239" s="179">
        <v>15042546</v>
      </c>
      <c r="J239" s="179">
        <v>0</v>
      </c>
      <c r="K239" s="179">
        <v>75076900</v>
      </c>
      <c r="L239" s="179">
        <v>49119446</v>
      </c>
      <c r="M239" s="179">
        <v>880554</v>
      </c>
      <c r="N239" s="179">
        <v>880554</v>
      </c>
    </row>
    <row r="240" spans="1:14" s="156" customFormat="1" x14ac:dyDescent="0.25">
      <c r="A240" s="156" t="s">
        <v>545</v>
      </c>
      <c r="B240" s="156" t="s">
        <v>170</v>
      </c>
      <c r="C240" s="156" t="s">
        <v>171</v>
      </c>
      <c r="D240" s="156" t="s">
        <v>541</v>
      </c>
      <c r="E240" s="179">
        <v>91000000</v>
      </c>
      <c r="F240" s="179">
        <v>91000000</v>
      </c>
      <c r="G240" s="179">
        <v>91000000</v>
      </c>
      <c r="H240" s="179">
        <v>0</v>
      </c>
      <c r="I240" s="179">
        <v>15042546</v>
      </c>
      <c r="J240" s="179">
        <v>0</v>
      </c>
      <c r="K240" s="179">
        <v>75076900</v>
      </c>
      <c r="L240" s="179">
        <v>49119446</v>
      </c>
      <c r="M240" s="179">
        <v>880554</v>
      </c>
      <c r="N240" s="179">
        <v>880554</v>
      </c>
    </row>
    <row r="241" spans="1:14" s="156" customFormat="1" x14ac:dyDescent="0.25">
      <c r="A241" s="156" t="s">
        <v>545</v>
      </c>
      <c r="B241" s="156" t="s">
        <v>172</v>
      </c>
      <c r="C241" s="156" t="s">
        <v>173</v>
      </c>
      <c r="D241" s="156" t="s">
        <v>541</v>
      </c>
      <c r="E241" s="179">
        <v>6000000</v>
      </c>
      <c r="F241" s="179">
        <v>6000000</v>
      </c>
      <c r="G241" s="179">
        <v>6000000</v>
      </c>
      <c r="H241" s="179">
        <v>0</v>
      </c>
      <c r="I241" s="179">
        <v>0</v>
      </c>
      <c r="J241" s="179">
        <v>0</v>
      </c>
      <c r="K241" s="179">
        <v>5999561</v>
      </c>
      <c r="L241" s="179">
        <v>2224561</v>
      </c>
      <c r="M241" s="179">
        <v>439</v>
      </c>
      <c r="N241" s="179">
        <v>439</v>
      </c>
    </row>
    <row r="242" spans="1:14" s="156" customFormat="1" x14ac:dyDescent="0.25">
      <c r="A242" s="156" t="s">
        <v>545</v>
      </c>
      <c r="B242" s="156" t="s">
        <v>309</v>
      </c>
      <c r="C242" s="156" t="s">
        <v>310</v>
      </c>
      <c r="D242" s="156" t="s">
        <v>541</v>
      </c>
      <c r="E242" s="179">
        <v>6000000</v>
      </c>
      <c r="F242" s="179">
        <v>6000000</v>
      </c>
      <c r="G242" s="179">
        <v>6000000</v>
      </c>
      <c r="H242" s="179">
        <v>0</v>
      </c>
      <c r="I242" s="179">
        <v>0</v>
      </c>
      <c r="J242" s="179">
        <v>0</v>
      </c>
      <c r="K242" s="179">
        <v>5999561</v>
      </c>
      <c r="L242" s="179">
        <v>2224561</v>
      </c>
      <c r="M242" s="179">
        <v>439</v>
      </c>
      <c r="N242" s="179">
        <v>439</v>
      </c>
    </row>
    <row r="243" spans="1:14" s="156" customFormat="1" x14ac:dyDescent="0.25">
      <c r="A243" s="156" t="s">
        <v>545</v>
      </c>
      <c r="B243" s="156" t="s">
        <v>178</v>
      </c>
      <c r="C243" s="156" t="s">
        <v>179</v>
      </c>
      <c r="D243" s="156" t="s">
        <v>541</v>
      </c>
      <c r="E243" s="179">
        <v>113272000</v>
      </c>
      <c r="F243" s="179">
        <v>98272000</v>
      </c>
      <c r="G243" s="179">
        <v>98272000</v>
      </c>
      <c r="H243" s="179">
        <v>0</v>
      </c>
      <c r="I243" s="179">
        <v>9878597</v>
      </c>
      <c r="J243" s="179">
        <v>0</v>
      </c>
      <c r="K243" s="179">
        <v>58806421.439999998</v>
      </c>
      <c r="L243" s="179">
        <v>36547831.130000003</v>
      </c>
      <c r="M243" s="179">
        <v>29586981.559999999</v>
      </c>
      <c r="N243" s="179">
        <v>29586981.559999999</v>
      </c>
    </row>
    <row r="244" spans="1:14" s="156" customFormat="1" x14ac:dyDescent="0.25">
      <c r="A244" s="156" t="s">
        <v>545</v>
      </c>
      <c r="B244" s="156" t="s">
        <v>180</v>
      </c>
      <c r="C244" s="156" t="s">
        <v>181</v>
      </c>
      <c r="D244" s="156" t="s">
        <v>541</v>
      </c>
      <c r="E244" s="179">
        <v>19900000</v>
      </c>
      <c r="F244" s="179">
        <v>19900000</v>
      </c>
      <c r="G244" s="179">
        <v>19900000</v>
      </c>
      <c r="H244" s="179">
        <v>0</v>
      </c>
      <c r="I244" s="179">
        <v>3626541</v>
      </c>
      <c r="J244" s="179">
        <v>0</v>
      </c>
      <c r="K244" s="179">
        <v>11762967.75</v>
      </c>
      <c r="L244" s="179">
        <v>3085312.24</v>
      </c>
      <c r="M244" s="179">
        <v>4510491.25</v>
      </c>
      <c r="N244" s="179">
        <v>4510491.25</v>
      </c>
    </row>
    <row r="245" spans="1:14" s="156" customFormat="1" x14ac:dyDescent="0.25">
      <c r="A245" s="156" t="s">
        <v>545</v>
      </c>
      <c r="B245" s="156" t="s">
        <v>332</v>
      </c>
      <c r="C245" s="156" t="s">
        <v>333</v>
      </c>
      <c r="D245" s="156" t="s">
        <v>541</v>
      </c>
      <c r="E245" s="179">
        <v>4750000</v>
      </c>
      <c r="F245" s="179">
        <v>4750000</v>
      </c>
      <c r="G245" s="179">
        <v>4750000</v>
      </c>
      <c r="H245" s="179">
        <v>0</v>
      </c>
      <c r="I245" s="179">
        <v>0</v>
      </c>
      <c r="J245" s="179">
        <v>0</v>
      </c>
      <c r="K245" s="179">
        <v>3648037.86</v>
      </c>
      <c r="L245" s="179">
        <v>3270506.61</v>
      </c>
      <c r="M245" s="179">
        <v>1101962.1399999999</v>
      </c>
      <c r="N245" s="179">
        <v>1101962.1399999999</v>
      </c>
    </row>
    <row r="246" spans="1:14" s="156" customFormat="1" x14ac:dyDescent="0.25">
      <c r="A246" s="156" t="s">
        <v>545</v>
      </c>
      <c r="B246" s="156" t="s">
        <v>182</v>
      </c>
      <c r="C246" s="156" t="s">
        <v>183</v>
      </c>
      <c r="D246" s="156" t="s">
        <v>541</v>
      </c>
      <c r="E246" s="179">
        <v>28300000</v>
      </c>
      <c r="F246" s="179">
        <v>15300000</v>
      </c>
      <c r="G246" s="179">
        <v>15300000</v>
      </c>
      <c r="H246" s="179">
        <v>0</v>
      </c>
      <c r="I246" s="179">
        <v>5442056</v>
      </c>
      <c r="J246" s="179">
        <v>0</v>
      </c>
      <c r="K246" s="179">
        <v>9737209</v>
      </c>
      <c r="L246" s="179">
        <v>4920999</v>
      </c>
      <c r="M246" s="179">
        <v>120735</v>
      </c>
      <c r="N246" s="179">
        <v>120735</v>
      </c>
    </row>
    <row r="247" spans="1:14" s="156" customFormat="1" x14ac:dyDescent="0.25">
      <c r="A247" s="156" t="s">
        <v>545</v>
      </c>
      <c r="B247" s="156" t="s">
        <v>184</v>
      </c>
      <c r="C247" s="156" t="s">
        <v>185</v>
      </c>
      <c r="D247" s="156" t="s">
        <v>541</v>
      </c>
      <c r="E247" s="179">
        <v>8900000</v>
      </c>
      <c r="F247" s="179">
        <v>8900000</v>
      </c>
      <c r="G247" s="179">
        <v>8900000</v>
      </c>
      <c r="H247" s="179">
        <v>0</v>
      </c>
      <c r="I247" s="179">
        <v>0</v>
      </c>
      <c r="J247" s="179">
        <v>0</v>
      </c>
      <c r="K247" s="179">
        <v>7183785.3499999996</v>
      </c>
      <c r="L247" s="179">
        <v>3256329.65</v>
      </c>
      <c r="M247" s="179">
        <v>1716214.65</v>
      </c>
      <c r="N247" s="179">
        <v>1716214.65</v>
      </c>
    </row>
    <row r="248" spans="1:14" s="156" customFormat="1" x14ac:dyDescent="0.25">
      <c r="A248" s="156" t="s">
        <v>545</v>
      </c>
      <c r="B248" s="156" t="s">
        <v>186</v>
      </c>
      <c r="C248" s="156" t="s">
        <v>187</v>
      </c>
      <c r="D248" s="156" t="s">
        <v>541</v>
      </c>
      <c r="E248" s="179">
        <v>13062000</v>
      </c>
      <c r="F248" s="179">
        <v>9562000</v>
      </c>
      <c r="G248" s="179">
        <v>9562000</v>
      </c>
      <c r="H248" s="179">
        <v>0</v>
      </c>
      <c r="I248" s="179">
        <v>0</v>
      </c>
      <c r="J248" s="179">
        <v>0</v>
      </c>
      <c r="K248" s="179">
        <v>6320288.4000000004</v>
      </c>
      <c r="L248" s="179">
        <v>4418196.8</v>
      </c>
      <c r="M248" s="179">
        <v>3241711.6</v>
      </c>
      <c r="N248" s="179">
        <v>3241711.6</v>
      </c>
    </row>
    <row r="249" spans="1:14" s="156" customFormat="1" x14ac:dyDescent="0.25">
      <c r="A249" s="156" t="s">
        <v>545</v>
      </c>
      <c r="B249" s="156" t="s">
        <v>188</v>
      </c>
      <c r="C249" s="156" t="s">
        <v>189</v>
      </c>
      <c r="D249" s="156" t="s">
        <v>541</v>
      </c>
      <c r="E249" s="179">
        <v>35260000</v>
      </c>
      <c r="F249" s="179">
        <v>35260000</v>
      </c>
      <c r="G249" s="179">
        <v>35260000</v>
      </c>
      <c r="H249" s="179">
        <v>0</v>
      </c>
      <c r="I249" s="179">
        <v>810000</v>
      </c>
      <c r="J249" s="179">
        <v>0</v>
      </c>
      <c r="K249" s="179">
        <v>16744004.890000001</v>
      </c>
      <c r="L249" s="179">
        <v>14745104.890000001</v>
      </c>
      <c r="M249" s="179">
        <v>17705995.109999999</v>
      </c>
      <c r="N249" s="179">
        <v>17705995.109999999</v>
      </c>
    </row>
    <row r="250" spans="1:14" s="156" customFormat="1" x14ac:dyDescent="0.25">
      <c r="A250" s="156" t="s">
        <v>545</v>
      </c>
      <c r="B250" s="156" t="s">
        <v>190</v>
      </c>
      <c r="C250" s="156" t="s">
        <v>191</v>
      </c>
      <c r="D250" s="156" t="s">
        <v>541</v>
      </c>
      <c r="E250" s="179">
        <v>3100000</v>
      </c>
      <c r="F250" s="179">
        <v>4600000</v>
      </c>
      <c r="G250" s="179">
        <v>4600000</v>
      </c>
      <c r="H250" s="179">
        <v>0</v>
      </c>
      <c r="I250" s="179">
        <v>0</v>
      </c>
      <c r="J250" s="179">
        <v>0</v>
      </c>
      <c r="K250" s="179">
        <v>3410128.19</v>
      </c>
      <c r="L250" s="179">
        <v>2851381.94</v>
      </c>
      <c r="M250" s="179">
        <v>1189871.81</v>
      </c>
      <c r="N250" s="179">
        <v>1189871.81</v>
      </c>
    </row>
    <row r="251" spans="1:14" s="156" customFormat="1" x14ac:dyDescent="0.25">
      <c r="A251" s="156" t="s">
        <v>545</v>
      </c>
      <c r="B251" s="156" t="s">
        <v>192</v>
      </c>
      <c r="C251" s="156" t="s">
        <v>193</v>
      </c>
      <c r="D251" s="156" t="s">
        <v>541</v>
      </c>
      <c r="E251" s="179">
        <v>1550000</v>
      </c>
      <c r="F251" s="179">
        <v>1550000</v>
      </c>
      <c r="G251" s="179">
        <v>1550000</v>
      </c>
      <c r="H251" s="179">
        <v>0</v>
      </c>
      <c r="I251" s="179">
        <v>852363</v>
      </c>
      <c r="J251" s="179">
        <v>0</v>
      </c>
      <c r="K251" s="179">
        <v>673237</v>
      </c>
      <c r="L251" s="179">
        <v>600</v>
      </c>
      <c r="M251" s="179">
        <v>24400</v>
      </c>
      <c r="N251" s="179">
        <v>24400</v>
      </c>
    </row>
    <row r="252" spans="1:14" s="156" customFormat="1" x14ac:dyDescent="0.25">
      <c r="A252" s="156" t="s">
        <v>545</v>
      </c>
      <c r="B252" s="156" t="s">
        <v>194</v>
      </c>
      <c r="C252" s="156" t="s">
        <v>195</v>
      </c>
      <c r="D252" s="156" t="s">
        <v>541</v>
      </c>
      <c r="E252" s="179">
        <v>1550000</v>
      </c>
      <c r="F252" s="179">
        <v>1550000</v>
      </c>
      <c r="G252" s="179">
        <v>1550000</v>
      </c>
      <c r="H252" s="179">
        <v>0</v>
      </c>
      <c r="I252" s="179">
        <v>852363</v>
      </c>
      <c r="J252" s="179">
        <v>0</v>
      </c>
      <c r="K252" s="179">
        <v>673237</v>
      </c>
      <c r="L252" s="179">
        <v>600</v>
      </c>
      <c r="M252" s="179">
        <v>24400</v>
      </c>
      <c r="N252" s="179">
        <v>24400</v>
      </c>
    </row>
    <row r="253" spans="1:14" s="156" customFormat="1" x14ac:dyDescent="0.25">
      <c r="A253" s="156" t="s">
        <v>545</v>
      </c>
      <c r="B253" s="156" t="s">
        <v>196</v>
      </c>
      <c r="C253" s="156" t="s">
        <v>197</v>
      </c>
      <c r="D253" s="156" t="s">
        <v>541</v>
      </c>
      <c r="E253" s="179">
        <v>2150000</v>
      </c>
      <c r="F253" s="179">
        <v>2150000</v>
      </c>
      <c r="G253" s="179">
        <v>2150000</v>
      </c>
      <c r="H253" s="179">
        <v>0</v>
      </c>
      <c r="I253" s="179">
        <v>113207.78</v>
      </c>
      <c r="J253" s="179">
        <v>0</v>
      </c>
      <c r="K253" s="179">
        <v>186650</v>
      </c>
      <c r="L253" s="179">
        <v>186650</v>
      </c>
      <c r="M253" s="179">
        <v>1850142.22</v>
      </c>
      <c r="N253" s="179">
        <v>1850142.22</v>
      </c>
    </row>
    <row r="254" spans="1:14" s="156" customFormat="1" x14ac:dyDescent="0.25">
      <c r="A254" s="156" t="s">
        <v>545</v>
      </c>
      <c r="B254" s="156" t="s">
        <v>334</v>
      </c>
      <c r="C254" s="156" t="s">
        <v>335</v>
      </c>
      <c r="D254" s="156" t="s">
        <v>541</v>
      </c>
      <c r="E254" s="179">
        <v>150000</v>
      </c>
      <c r="F254" s="179">
        <v>150000</v>
      </c>
      <c r="G254" s="179">
        <v>150000</v>
      </c>
      <c r="H254" s="179">
        <v>0</v>
      </c>
      <c r="I254" s="179">
        <v>113207.78</v>
      </c>
      <c r="J254" s="179">
        <v>0</v>
      </c>
      <c r="K254" s="179">
        <v>36650</v>
      </c>
      <c r="L254" s="179">
        <v>36650</v>
      </c>
      <c r="M254" s="179">
        <v>142.22</v>
      </c>
      <c r="N254" s="179">
        <v>142.22</v>
      </c>
    </row>
    <row r="255" spans="1:14" s="156" customFormat="1" x14ac:dyDescent="0.25">
      <c r="A255" s="156" t="s">
        <v>545</v>
      </c>
      <c r="B255" s="156" t="s">
        <v>198</v>
      </c>
      <c r="C255" s="156" t="s">
        <v>199</v>
      </c>
      <c r="D255" s="156" t="s">
        <v>541</v>
      </c>
      <c r="E255" s="179">
        <v>2000000</v>
      </c>
      <c r="F255" s="179">
        <v>2000000</v>
      </c>
      <c r="G255" s="179">
        <v>2000000</v>
      </c>
      <c r="H255" s="179">
        <v>0</v>
      </c>
      <c r="I255" s="179">
        <v>0</v>
      </c>
      <c r="J255" s="179">
        <v>0</v>
      </c>
      <c r="K255" s="179">
        <v>150000</v>
      </c>
      <c r="L255" s="179">
        <v>150000</v>
      </c>
      <c r="M255" s="179">
        <v>1850000</v>
      </c>
      <c r="N255" s="179">
        <v>1850000</v>
      </c>
    </row>
    <row r="256" spans="1:14" s="156" customFormat="1" x14ac:dyDescent="0.25">
      <c r="A256" s="156" t="s">
        <v>545</v>
      </c>
      <c r="B256" s="156" t="s">
        <v>200</v>
      </c>
      <c r="C256" s="156" t="s">
        <v>201</v>
      </c>
      <c r="D256" s="156" t="s">
        <v>541</v>
      </c>
      <c r="E256" s="179">
        <v>100332000</v>
      </c>
      <c r="F256" s="179">
        <v>64025000</v>
      </c>
      <c r="G256" s="179">
        <v>64025000</v>
      </c>
      <c r="H256" s="179">
        <v>0</v>
      </c>
      <c r="I256" s="179">
        <v>5107035</v>
      </c>
      <c r="J256" s="179">
        <v>0</v>
      </c>
      <c r="K256" s="179">
        <v>44683006.229999997</v>
      </c>
      <c r="L256" s="179">
        <v>35576119.960000001</v>
      </c>
      <c r="M256" s="179">
        <v>14234958.77</v>
      </c>
      <c r="N256" s="179">
        <v>14234958.77</v>
      </c>
    </row>
    <row r="257" spans="1:14" s="156" customFormat="1" x14ac:dyDescent="0.25">
      <c r="A257" s="156" t="s">
        <v>545</v>
      </c>
      <c r="B257" s="156" t="s">
        <v>202</v>
      </c>
      <c r="C257" s="156" t="s">
        <v>203</v>
      </c>
      <c r="D257" s="156" t="s">
        <v>541</v>
      </c>
      <c r="E257" s="179">
        <v>55950000</v>
      </c>
      <c r="F257" s="179">
        <v>33743000</v>
      </c>
      <c r="G257" s="179">
        <v>33743000</v>
      </c>
      <c r="H257" s="179">
        <v>0</v>
      </c>
      <c r="I257" s="179">
        <v>4009920</v>
      </c>
      <c r="J257" s="179">
        <v>0</v>
      </c>
      <c r="K257" s="179">
        <v>20189581.5</v>
      </c>
      <c r="L257" s="179">
        <v>19042477.07</v>
      </c>
      <c r="M257" s="179">
        <v>9543498.5</v>
      </c>
      <c r="N257" s="179">
        <v>9543498.5</v>
      </c>
    </row>
    <row r="258" spans="1:14" s="156" customFormat="1" x14ac:dyDescent="0.25">
      <c r="A258" s="156" t="s">
        <v>545</v>
      </c>
      <c r="B258" s="156" t="s">
        <v>204</v>
      </c>
      <c r="C258" s="156" t="s">
        <v>205</v>
      </c>
      <c r="D258" s="156" t="s">
        <v>541</v>
      </c>
      <c r="E258" s="179">
        <v>30200000</v>
      </c>
      <c r="F258" s="179">
        <v>30200000</v>
      </c>
      <c r="G258" s="179">
        <v>30200000</v>
      </c>
      <c r="H258" s="179">
        <v>0</v>
      </c>
      <c r="I258" s="179">
        <v>4009920</v>
      </c>
      <c r="J258" s="179">
        <v>0</v>
      </c>
      <c r="K258" s="179">
        <v>18459213.84</v>
      </c>
      <c r="L258" s="179">
        <v>18092266.84</v>
      </c>
      <c r="M258" s="179">
        <v>7730866.1600000001</v>
      </c>
      <c r="N258" s="179">
        <v>7730866.1600000001</v>
      </c>
    </row>
    <row r="259" spans="1:14" s="156" customFormat="1" x14ac:dyDescent="0.25">
      <c r="A259" s="156" t="s">
        <v>545</v>
      </c>
      <c r="B259" s="156" t="s">
        <v>206</v>
      </c>
      <c r="C259" s="156" t="s">
        <v>207</v>
      </c>
      <c r="D259" s="156" t="s">
        <v>541</v>
      </c>
      <c r="E259" s="179">
        <v>7000</v>
      </c>
      <c r="F259" s="179">
        <v>0</v>
      </c>
      <c r="G259" s="179">
        <v>0</v>
      </c>
      <c r="H259" s="179">
        <v>0</v>
      </c>
      <c r="I259" s="179">
        <v>0</v>
      </c>
      <c r="J259" s="179">
        <v>0</v>
      </c>
      <c r="K259" s="179">
        <v>0</v>
      </c>
      <c r="L259" s="179">
        <v>0</v>
      </c>
      <c r="M259" s="179">
        <v>0</v>
      </c>
      <c r="N259" s="179">
        <v>0</v>
      </c>
    </row>
    <row r="260" spans="1:14" s="156" customFormat="1" x14ac:dyDescent="0.25">
      <c r="A260" s="156" t="s">
        <v>545</v>
      </c>
      <c r="B260" s="156" t="s">
        <v>208</v>
      </c>
      <c r="C260" s="156" t="s">
        <v>209</v>
      </c>
      <c r="D260" s="156" t="s">
        <v>541</v>
      </c>
      <c r="E260" s="179">
        <v>25615000</v>
      </c>
      <c r="F260" s="179">
        <v>3415000</v>
      </c>
      <c r="G260" s="179">
        <v>3415000</v>
      </c>
      <c r="H260" s="179">
        <v>0</v>
      </c>
      <c r="I260" s="179">
        <v>0</v>
      </c>
      <c r="J260" s="179">
        <v>0</v>
      </c>
      <c r="K260" s="179">
        <v>1730367.66</v>
      </c>
      <c r="L260" s="179">
        <v>950210.23</v>
      </c>
      <c r="M260" s="179">
        <v>1684632.34</v>
      </c>
      <c r="N260" s="179">
        <v>1684632.34</v>
      </c>
    </row>
    <row r="261" spans="1:14" s="156" customFormat="1" x14ac:dyDescent="0.25">
      <c r="A261" s="156" t="s">
        <v>545</v>
      </c>
      <c r="B261" s="156" t="s">
        <v>210</v>
      </c>
      <c r="C261" s="156" t="s">
        <v>211</v>
      </c>
      <c r="D261" s="156" t="s">
        <v>541</v>
      </c>
      <c r="E261" s="179">
        <v>128000</v>
      </c>
      <c r="F261" s="179">
        <v>128000</v>
      </c>
      <c r="G261" s="179">
        <v>128000</v>
      </c>
      <c r="H261" s="179">
        <v>0</v>
      </c>
      <c r="I261" s="179">
        <v>0</v>
      </c>
      <c r="J261" s="179">
        <v>0</v>
      </c>
      <c r="K261" s="179">
        <v>0</v>
      </c>
      <c r="L261" s="179">
        <v>0</v>
      </c>
      <c r="M261" s="179">
        <v>128000</v>
      </c>
      <c r="N261" s="179">
        <v>128000</v>
      </c>
    </row>
    <row r="262" spans="1:14" s="156" customFormat="1" x14ac:dyDescent="0.25">
      <c r="A262" s="156" t="s">
        <v>545</v>
      </c>
      <c r="B262" s="156" t="s">
        <v>216</v>
      </c>
      <c r="C262" s="156" t="s">
        <v>217</v>
      </c>
      <c r="D262" s="156" t="s">
        <v>541</v>
      </c>
      <c r="E262" s="179">
        <v>3275000</v>
      </c>
      <c r="F262" s="179">
        <v>3275000</v>
      </c>
      <c r="G262" s="179">
        <v>3275000</v>
      </c>
      <c r="H262" s="179">
        <v>0</v>
      </c>
      <c r="I262" s="179">
        <v>0</v>
      </c>
      <c r="J262" s="179">
        <v>0</v>
      </c>
      <c r="K262" s="179">
        <v>1699364</v>
      </c>
      <c r="L262" s="179">
        <v>25950</v>
      </c>
      <c r="M262" s="179">
        <v>1575636</v>
      </c>
      <c r="N262" s="179">
        <v>1575636</v>
      </c>
    </row>
    <row r="263" spans="1:14" s="156" customFormat="1" x14ac:dyDescent="0.25">
      <c r="A263" s="156" t="s">
        <v>545</v>
      </c>
      <c r="B263" s="156" t="s">
        <v>218</v>
      </c>
      <c r="C263" s="156" t="s">
        <v>219</v>
      </c>
      <c r="D263" s="156" t="s">
        <v>541</v>
      </c>
      <c r="E263" s="179">
        <v>437000</v>
      </c>
      <c r="F263" s="179">
        <v>437000</v>
      </c>
      <c r="G263" s="179">
        <v>437000</v>
      </c>
      <c r="H263" s="179">
        <v>0</v>
      </c>
      <c r="I263" s="179">
        <v>0</v>
      </c>
      <c r="J263" s="179">
        <v>0</v>
      </c>
      <c r="K263" s="179">
        <v>315315</v>
      </c>
      <c r="L263" s="179">
        <v>25950</v>
      </c>
      <c r="M263" s="179">
        <v>121685</v>
      </c>
      <c r="N263" s="179">
        <v>121685</v>
      </c>
    </row>
    <row r="264" spans="1:14" s="156" customFormat="1" x14ac:dyDescent="0.25">
      <c r="A264" s="156" t="s">
        <v>545</v>
      </c>
      <c r="B264" s="156" t="s">
        <v>336</v>
      </c>
      <c r="C264" s="156" t="s">
        <v>337</v>
      </c>
      <c r="D264" s="156" t="s">
        <v>541</v>
      </c>
      <c r="E264" s="179">
        <v>120000</v>
      </c>
      <c r="F264" s="179">
        <v>120000</v>
      </c>
      <c r="G264" s="179">
        <v>120000</v>
      </c>
      <c r="H264" s="179">
        <v>0</v>
      </c>
      <c r="I264" s="179">
        <v>0</v>
      </c>
      <c r="J264" s="179">
        <v>0</v>
      </c>
      <c r="K264" s="179">
        <v>75487</v>
      </c>
      <c r="L264" s="179">
        <v>0</v>
      </c>
      <c r="M264" s="179">
        <v>44513</v>
      </c>
      <c r="N264" s="179">
        <v>44513</v>
      </c>
    </row>
    <row r="265" spans="1:14" s="156" customFormat="1" x14ac:dyDescent="0.25">
      <c r="A265" s="156" t="s">
        <v>545</v>
      </c>
      <c r="B265" s="156" t="s">
        <v>338</v>
      </c>
      <c r="C265" s="156" t="s">
        <v>339</v>
      </c>
      <c r="D265" s="156" t="s">
        <v>541</v>
      </c>
      <c r="E265" s="179">
        <v>88000</v>
      </c>
      <c r="F265" s="179">
        <v>88000</v>
      </c>
      <c r="G265" s="179">
        <v>88000</v>
      </c>
      <c r="H265" s="179">
        <v>0</v>
      </c>
      <c r="I265" s="179">
        <v>0</v>
      </c>
      <c r="J265" s="179">
        <v>0</v>
      </c>
      <c r="K265" s="179">
        <v>0</v>
      </c>
      <c r="L265" s="179">
        <v>0</v>
      </c>
      <c r="M265" s="179">
        <v>88000</v>
      </c>
      <c r="N265" s="179">
        <v>88000</v>
      </c>
    </row>
    <row r="266" spans="1:14" s="156" customFormat="1" x14ac:dyDescent="0.25">
      <c r="A266" s="156" t="s">
        <v>545</v>
      </c>
      <c r="B266" s="156" t="s">
        <v>220</v>
      </c>
      <c r="C266" s="156" t="s">
        <v>221</v>
      </c>
      <c r="D266" s="156" t="s">
        <v>541</v>
      </c>
      <c r="E266" s="179">
        <v>1750000</v>
      </c>
      <c r="F266" s="179">
        <v>1750000</v>
      </c>
      <c r="G266" s="179">
        <v>1750000</v>
      </c>
      <c r="H266" s="179">
        <v>0</v>
      </c>
      <c r="I266" s="179">
        <v>0</v>
      </c>
      <c r="J266" s="179">
        <v>0</v>
      </c>
      <c r="K266" s="179">
        <v>1071598</v>
      </c>
      <c r="L266" s="179">
        <v>0</v>
      </c>
      <c r="M266" s="179">
        <v>678402</v>
      </c>
      <c r="N266" s="179">
        <v>678402</v>
      </c>
    </row>
    <row r="267" spans="1:14" s="156" customFormat="1" x14ac:dyDescent="0.25">
      <c r="A267" s="156" t="s">
        <v>545</v>
      </c>
      <c r="B267" s="156" t="s">
        <v>222</v>
      </c>
      <c r="C267" s="156" t="s">
        <v>223</v>
      </c>
      <c r="D267" s="156" t="s">
        <v>541</v>
      </c>
      <c r="E267" s="179">
        <v>70000</v>
      </c>
      <c r="F267" s="179">
        <v>70000</v>
      </c>
      <c r="G267" s="179">
        <v>70000</v>
      </c>
      <c r="H267" s="179">
        <v>0</v>
      </c>
      <c r="I267" s="179">
        <v>0</v>
      </c>
      <c r="J267" s="179">
        <v>0</v>
      </c>
      <c r="K267" s="179">
        <v>0</v>
      </c>
      <c r="L267" s="179">
        <v>0</v>
      </c>
      <c r="M267" s="179">
        <v>70000</v>
      </c>
      <c r="N267" s="179">
        <v>70000</v>
      </c>
    </row>
    <row r="268" spans="1:14" s="156" customFormat="1" x14ac:dyDescent="0.25">
      <c r="A268" s="156" t="s">
        <v>545</v>
      </c>
      <c r="B268" s="156" t="s">
        <v>224</v>
      </c>
      <c r="C268" s="156" t="s">
        <v>225</v>
      </c>
      <c r="D268" s="156" t="s">
        <v>541</v>
      </c>
      <c r="E268" s="179">
        <v>500000</v>
      </c>
      <c r="F268" s="179">
        <v>500000</v>
      </c>
      <c r="G268" s="179">
        <v>500000</v>
      </c>
      <c r="H268" s="179">
        <v>0</v>
      </c>
      <c r="I268" s="179">
        <v>0</v>
      </c>
      <c r="J268" s="179">
        <v>0</v>
      </c>
      <c r="K268" s="179">
        <v>236964</v>
      </c>
      <c r="L268" s="179">
        <v>0</v>
      </c>
      <c r="M268" s="179">
        <v>263036</v>
      </c>
      <c r="N268" s="179">
        <v>263036</v>
      </c>
    </row>
    <row r="269" spans="1:14" s="156" customFormat="1" x14ac:dyDescent="0.25">
      <c r="A269" s="156" t="s">
        <v>545</v>
      </c>
      <c r="B269" s="156" t="s">
        <v>226</v>
      </c>
      <c r="C269" s="156" t="s">
        <v>227</v>
      </c>
      <c r="D269" s="156" t="s">
        <v>541</v>
      </c>
      <c r="E269" s="179">
        <v>310000</v>
      </c>
      <c r="F269" s="179">
        <v>310000</v>
      </c>
      <c r="G269" s="179">
        <v>310000</v>
      </c>
      <c r="H269" s="179">
        <v>0</v>
      </c>
      <c r="I269" s="179">
        <v>0</v>
      </c>
      <c r="J269" s="179">
        <v>0</v>
      </c>
      <c r="K269" s="179">
        <v>0</v>
      </c>
      <c r="L269" s="179">
        <v>0</v>
      </c>
      <c r="M269" s="179">
        <v>310000</v>
      </c>
      <c r="N269" s="179">
        <v>310000</v>
      </c>
    </row>
    <row r="270" spans="1:14" s="156" customFormat="1" x14ac:dyDescent="0.25">
      <c r="A270" s="156" t="s">
        <v>545</v>
      </c>
      <c r="B270" s="156" t="s">
        <v>228</v>
      </c>
      <c r="C270" s="156" t="s">
        <v>229</v>
      </c>
      <c r="D270" s="156" t="s">
        <v>541</v>
      </c>
      <c r="E270" s="179">
        <v>956000</v>
      </c>
      <c r="F270" s="179">
        <v>1956000</v>
      </c>
      <c r="G270" s="179">
        <v>1956000</v>
      </c>
      <c r="H270" s="179">
        <v>0</v>
      </c>
      <c r="I270" s="179">
        <v>0</v>
      </c>
      <c r="J270" s="179">
        <v>0</v>
      </c>
      <c r="K270" s="179">
        <v>1436461.32</v>
      </c>
      <c r="L270" s="179">
        <v>787930.24</v>
      </c>
      <c r="M270" s="179">
        <v>519538.68</v>
      </c>
      <c r="N270" s="179">
        <v>519538.68</v>
      </c>
    </row>
    <row r="271" spans="1:14" s="156" customFormat="1" x14ac:dyDescent="0.25">
      <c r="A271" s="156" t="s">
        <v>545</v>
      </c>
      <c r="B271" s="156" t="s">
        <v>230</v>
      </c>
      <c r="C271" s="156" t="s">
        <v>231</v>
      </c>
      <c r="D271" s="156" t="s">
        <v>541</v>
      </c>
      <c r="E271" s="179">
        <v>171000</v>
      </c>
      <c r="F271" s="179">
        <v>171000</v>
      </c>
      <c r="G271" s="179">
        <v>171000</v>
      </c>
      <c r="H271" s="179">
        <v>0</v>
      </c>
      <c r="I271" s="179">
        <v>0</v>
      </c>
      <c r="J271" s="179">
        <v>0</v>
      </c>
      <c r="K271" s="179">
        <v>33289.75</v>
      </c>
      <c r="L271" s="179">
        <v>18284.75</v>
      </c>
      <c r="M271" s="179">
        <v>137710.25</v>
      </c>
      <c r="N271" s="179">
        <v>137710.25</v>
      </c>
    </row>
    <row r="272" spans="1:14" s="156" customFormat="1" x14ac:dyDescent="0.25">
      <c r="A272" s="156" t="s">
        <v>545</v>
      </c>
      <c r="B272" s="156" t="s">
        <v>232</v>
      </c>
      <c r="C272" s="156" t="s">
        <v>233</v>
      </c>
      <c r="D272" s="156" t="s">
        <v>541</v>
      </c>
      <c r="E272" s="179">
        <v>785000</v>
      </c>
      <c r="F272" s="179">
        <v>1785000</v>
      </c>
      <c r="G272" s="179">
        <v>1785000</v>
      </c>
      <c r="H272" s="179">
        <v>0</v>
      </c>
      <c r="I272" s="179">
        <v>0</v>
      </c>
      <c r="J272" s="179">
        <v>0</v>
      </c>
      <c r="K272" s="179">
        <v>1403171.57</v>
      </c>
      <c r="L272" s="179">
        <v>769645.49</v>
      </c>
      <c r="M272" s="179">
        <v>381828.43</v>
      </c>
      <c r="N272" s="179">
        <v>381828.43</v>
      </c>
    </row>
    <row r="273" spans="1:14" s="156" customFormat="1" x14ac:dyDescent="0.25">
      <c r="A273" s="156" t="s">
        <v>545</v>
      </c>
      <c r="B273" s="156" t="s">
        <v>234</v>
      </c>
      <c r="C273" s="156" t="s">
        <v>624</v>
      </c>
      <c r="D273" s="156" t="s">
        <v>541</v>
      </c>
      <c r="E273" s="179">
        <v>40151000</v>
      </c>
      <c r="F273" s="179">
        <v>25051000</v>
      </c>
      <c r="G273" s="179">
        <v>25051000</v>
      </c>
      <c r="H273" s="179">
        <v>0</v>
      </c>
      <c r="I273" s="179">
        <v>1097115</v>
      </c>
      <c r="J273" s="179">
        <v>0</v>
      </c>
      <c r="K273" s="179">
        <v>21357599.41</v>
      </c>
      <c r="L273" s="179">
        <v>15719762.65</v>
      </c>
      <c r="M273" s="179">
        <v>2596285.59</v>
      </c>
      <c r="N273" s="179">
        <v>2596285.59</v>
      </c>
    </row>
    <row r="274" spans="1:14" s="156" customFormat="1" x14ac:dyDescent="0.25">
      <c r="A274" s="156" t="s">
        <v>545</v>
      </c>
      <c r="B274" s="156" t="s">
        <v>235</v>
      </c>
      <c r="C274" s="156" t="s">
        <v>236</v>
      </c>
      <c r="D274" s="156" t="s">
        <v>541</v>
      </c>
      <c r="E274" s="179">
        <v>8270000</v>
      </c>
      <c r="F274" s="179">
        <v>4770000</v>
      </c>
      <c r="G274" s="179">
        <v>4770000</v>
      </c>
      <c r="H274" s="179">
        <v>0</v>
      </c>
      <c r="I274" s="179">
        <v>119000</v>
      </c>
      <c r="J274" s="179">
        <v>0</v>
      </c>
      <c r="K274" s="179">
        <v>3884720.95</v>
      </c>
      <c r="L274" s="179">
        <v>3182095.95</v>
      </c>
      <c r="M274" s="179">
        <v>766279.05</v>
      </c>
      <c r="N274" s="179">
        <v>766279.05</v>
      </c>
    </row>
    <row r="275" spans="1:14" s="156" customFormat="1" x14ac:dyDescent="0.25">
      <c r="A275" s="156" t="s">
        <v>545</v>
      </c>
      <c r="B275" s="156" t="s">
        <v>237</v>
      </c>
      <c r="C275" s="156" t="s">
        <v>238</v>
      </c>
      <c r="D275" s="156" t="s">
        <v>541</v>
      </c>
      <c r="E275" s="179">
        <v>21000</v>
      </c>
      <c r="F275" s="179">
        <v>21000</v>
      </c>
      <c r="G275" s="179">
        <v>21000</v>
      </c>
      <c r="H275" s="179">
        <v>0</v>
      </c>
      <c r="I275" s="179">
        <v>0</v>
      </c>
      <c r="J275" s="179">
        <v>0</v>
      </c>
      <c r="K275" s="179">
        <v>18856.259999999998</v>
      </c>
      <c r="L275" s="179">
        <v>0</v>
      </c>
      <c r="M275" s="179">
        <v>2143.7399999999998</v>
      </c>
      <c r="N275" s="179">
        <v>2143.7399999999998</v>
      </c>
    </row>
    <row r="276" spans="1:14" s="156" customFormat="1" x14ac:dyDescent="0.25">
      <c r="A276" s="156" t="s">
        <v>545</v>
      </c>
      <c r="B276" s="156" t="s">
        <v>239</v>
      </c>
      <c r="C276" s="156" t="s">
        <v>240</v>
      </c>
      <c r="D276" s="156" t="s">
        <v>541</v>
      </c>
      <c r="E276" s="179">
        <v>28400000</v>
      </c>
      <c r="F276" s="179">
        <v>17400000</v>
      </c>
      <c r="G276" s="179">
        <v>17400000</v>
      </c>
      <c r="H276" s="179">
        <v>0</v>
      </c>
      <c r="I276" s="179">
        <v>449375</v>
      </c>
      <c r="J276" s="179">
        <v>0</v>
      </c>
      <c r="K276" s="179">
        <v>15516463.199999999</v>
      </c>
      <c r="L276" s="179">
        <v>10600107.699999999</v>
      </c>
      <c r="M276" s="179">
        <v>1434161.8</v>
      </c>
      <c r="N276" s="179">
        <v>1434161.8</v>
      </c>
    </row>
    <row r="277" spans="1:14" s="156" customFormat="1" x14ac:dyDescent="0.25">
      <c r="A277" s="156" t="s">
        <v>545</v>
      </c>
      <c r="B277" s="156" t="s">
        <v>241</v>
      </c>
      <c r="C277" s="156" t="s">
        <v>242</v>
      </c>
      <c r="D277" s="156" t="s">
        <v>541</v>
      </c>
      <c r="E277" s="179">
        <v>1255000</v>
      </c>
      <c r="F277" s="179">
        <v>1255000</v>
      </c>
      <c r="G277" s="179">
        <v>1255000</v>
      </c>
      <c r="H277" s="179">
        <v>0</v>
      </c>
      <c r="I277" s="179">
        <v>0</v>
      </c>
      <c r="J277" s="179">
        <v>0</v>
      </c>
      <c r="K277" s="179">
        <v>1094570</v>
      </c>
      <c r="L277" s="179">
        <v>1094570</v>
      </c>
      <c r="M277" s="179">
        <v>160430</v>
      </c>
      <c r="N277" s="179">
        <v>160430</v>
      </c>
    </row>
    <row r="278" spans="1:14" s="156" customFormat="1" x14ac:dyDescent="0.25">
      <c r="A278" s="156" t="s">
        <v>545</v>
      </c>
      <c r="B278" s="156" t="s">
        <v>243</v>
      </c>
      <c r="C278" s="156" t="s">
        <v>244</v>
      </c>
      <c r="D278" s="156" t="s">
        <v>541</v>
      </c>
      <c r="E278" s="179">
        <v>1360000</v>
      </c>
      <c r="F278" s="179">
        <v>860000</v>
      </c>
      <c r="G278" s="179">
        <v>860000</v>
      </c>
      <c r="H278" s="179">
        <v>0</v>
      </c>
      <c r="I278" s="179">
        <v>386600</v>
      </c>
      <c r="J278" s="179">
        <v>0</v>
      </c>
      <c r="K278" s="179">
        <v>368959</v>
      </c>
      <c r="L278" s="179">
        <v>368959</v>
      </c>
      <c r="M278" s="179">
        <v>104441</v>
      </c>
      <c r="N278" s="179">
        <v>104441</v>
      </c>
    </row>
    <row r="279" spans="1:14" s="156" customFormat="1" x14ac:dyDescent="0.25">
      <c r="A279" s="156" t="s">
        <v>545</v>
      </c>
      <c r="B279" s="156" t="s">
        <v>245</v>
      </c>
      <c r="C279" s="156" t="s">
        <v>246</v>
      </c>
      <c r="D279" s="156" t="s">
        <v>541</v>
      </c>
      <c r="E279" s="179">
        <v>105000</v>
      </c>
      <c r="F279" s="179">
        <v>105000</v>
      </c>
      <c r="G279" s="179">
        <v>105000</v>
      </c>
      <c r="H279" s="179">
        <v>0</v>
      </c>
      <c r="I279" s="179">
        <v>4800</v>
      </c>
      <c r="J279" s="179">
        <v>0</v>
      </c>
      <c r="K279" s="179">
        <v>83580</v>
      </c>
      <c r="L279" s="179">
        <v>83580</v>
      </c>
      <c r="M279" s="179">
        <v>16620</v>
      </c>
      <c r="N279" s="179">
        <v>16620</v>
      </c>
    </row>
    <row r="280" spans="1:14" s="156" customFormat="1" x14ac:dyDescent="0.25">
      <c r="A280" s="156" t="s">
        <v>545</v>
      </c>
      <c r="B280" s="156" t="s">
        <v>247</v>
      </c>
      <c r="C280" s="156" t="s">
        <v>248</v>
      </c>
      <c r="D280" s="156" t="s">
        <v>541</v>
      </c>
      <c r="E280" s="179">
        <v>100000</v>
      </c>
      <c r="F280" s="179">
        <v>0</v>
      </c>
      <c r="G280" s="179">
        <v>0</v>
      </c>
      <c r="H280" s="179">
        <v>0</v>
      </c>
      <c r="I280" s="179">
        <v>0</v>
      </c>
      <c r="J280" s="179">
        <v>0</v>
      </c>
      <c r="K280" s="179">
        <v>0</v>
      </c>
      <c r="L280" s="179">
        <v>0</v>
      </c>
      <c r="M280" s="179">
        <v>0</v>
      </c>
      <c r="N280" s="179">
        <v>0</v>
      </c>
    </row>
    <row r="281" spans="1:14" s="156" customFormat="1" x14ac:dyDescent="0.25">
      <c r="A281" s="156" t="s">
        <v>545</v>
      </c>
      <c r="B281" s="156" t="s">
        <v>249</v>
      </c>
      <c r="C281" s="156" t="s">
        <v>250</v>
      </c>
      <c r="D281" s="156" t="s">
        <v>541</v>
      </c>
      <c r="E281" s="179">
        <v>640000</v>
      </c>
      <c r="F281" s="179">
        <v>640000</v>
      </c>
      <c r="G281" s="179">
        <v>640000</v>
      </c>
      <c r="H281" s="179">
        <v>0</v>
      </c>
      <c r="I281" s="179">
        <v>137340</v>
      </c>
      <c r="J281" s="179">
        <v>0</v>
      </c>
      <c r="K281" s="179">
        <v>390450</v>
      </c>
      <c r="L281" s="179">
        <v>390450</v>
      </c>
      <c r="M281" s="179">
        <v>112210</v>
      </c>
      <c r="N281" s="179">
        <v>112210</v>
      </c>
    </row>
    <row r="282" spans="1:14" s="156" customFormat="1" x14ac:dyDescent="0.25">
      <c r="A282" s="156" t="s">
        <v>545</v>
      </c>
      <c r="B282" s="156" t="s">
        <v>251</v>
      </c>
      <c r="C282" s="156" t="s">
        <v>252</v>
      </c>
      <c r="D282" s="156" t="s">
        <v>541</v>
      </c>
      <c r="E282" s="179">
        <v>212092000</v>
      </c>
      <c r="F282" s="179">
        <v>221812236</v>
      </c>
      <c r="G282" s="179">
        <v>221812236</v>
      </c>
      <c r="H282" s="179">
        <v>0</v>
      </c>
      <c r="I282" s="179">
        <v>0</v>
      </c>
      <c r="J282" s="179">
        <v>0</v>
      </c>
      <c r="K282" s="179">
        <v>210221037.65000001</v>
      </c>
      <c r="L282" s="179">
        <v>184527718.03999999</v>
      </c>
      <c r="M282" s="179">
        <v>11591198.35</v>
      </c>
      <c r="N282" s="179">
        <v>11591198.35</v>
      </c>
    </row>
    <row r="283" spans="1:14" s="156" customFormat="1" x14ac:dyDescent="0.25">
      <c r="A283" s="156" t="s">
        <v>545</v>
      </c>
      <c r="B283" s="156" t="s">
        <v>253</v>
      </c>
      <c r="C283" s="156" t="s">
        <v>254</v>
      </c>
      <c r="D283" s="156" t="s">
        <v>541</v>
      </c>
      <c r="E283" s="179">
        <v>60592000</v>
      </c>
      <c r="F283" s="179">
        <v>59176836</v>
      </c>
      <c r="G283" s="179">
        <v>59176836</v>
      </c>
      <c r="H283" s="179">
        <v>0</v>
      </c>
      <c r="I283" s="179">
        <v>0</v>
      </c>
      <c r="J283" s="179">
        <v>0</v>
      </c>
      <c r="K283" s="179">
        <v>58135697.829999998</v>
      </c>
      <c r="L283" s="179">
        <v>58135697.829999998</v>
      </c>
      <c r="M283" s="179">
        <v>1041138.17</v>
      </c>
      <c r="N283" s="179">
        <v>1041138.17</v>
      </c>
    </row>
    <row r="284" spans="1:14" s="156" customFormat="1" x14ac:dyDescent="0.25">
      <c r="A284" s="156" t="s">
        <v>545</v>
      </c>
      <c r="B284" s="156" t="s">
        <v>344</v>
      </c>
      <c r="C284" s="156" t="s">
        <v>625</v>
      </c>
      <c r="D284" s="156" t="s">
        <v>541</v>
      </c>
      <c r="E284" s="179">
        <v>42341000</v>
      </c>
      <c r="F284" s="179">
        <v>42341000</v>
      </c>
      <c r="G284" s="179">
        <v>42341000</v>
      </c>
      <c r="H284" s="179">
        <v>0</v>
      </c>
      <c r="I284" s="179">
        <v>0</v>
      </c>
      <c r="J284" s="179">
        <v>0</v>
      </c>
      <c r="K284" s="179">
        <v>42341000</v>
      </c>
      <c r="L284" s="179">
        <v>42341000</v>
      </c>
      <c r="M284" s="179">
        <v>0</v>
      </c>
      <c r="N284" s="179">
        <v>0</v>
      </c>
    </row>
    <row r="285" spans="1:14" s="156" customFormat="1" x14ac:dyDescent="0.25">
      <c r="A285" s="156" t="s">
        <v>545</v>
      </c>
      <c r="B285" s="156" t="s">
        <v>345</v>
      </c>
      <c r="C285" s="156" t="s">
        <v>626</v>
      </c>
      <c r="D285" s="156" t="s">
        <v>541</v>
      </c>
      <c r="E285" s="179">
        <v>18251000</v>
      </c>
      <c r="F285" s="179">
        <v>16835836</v>
      </c>
      <c r="G285" s="179">
        <v>16835836</v>
      </c>
      <c r="H285" s="179">
        <v>0</v>
      </c>
      <c r="I285" s="179">
        <v>0</v>
      </c>
      <c r="J285" s="179">
        <v>0</v>
      </c>
      <c r="K285" s="179">
        <v>15794697.83</v>
      </c>
      <c r="L285" s="179">
        <v>15794697.83</v>
      </c>
      <c r="M285" s="179">
        <v>1041138.17</v>
      </c>
      <c r="N285" s="179">
        <v>1041138.17</v>
      </c>
    </row>
    <row r="286" spans="1:14" s="156" customFormat="1" x14ac:dyDescent="0.25">
      <c r="A286" s="156" t="s">
        <v>545</v>
      </c>
      <c r="B286" s="156" t="s">
        <v>261</v>
      </c>
      <c r="C286" s="156" t="s">
        <v>262</v>
      </c>
      <c r="D286" s="156" t="s">
        <v>541</v>
      </c>
      <c r="E286" s="179">
        <v>148500000</v>
      </c>
      <c r="F286" s="179">
        <v>159635400</v>
      </c>
      <c r="G286" s="179">
        <v>159635400</v>
      </c>
      <c r="H286" s="179">
        <v>0</v>
      </c>
      <c r="I286" s="179">
        <v>0</v>
      </c>
      <c r="J286" s="179">
        <v>0</v>
      </c>
      <c r="K286" s="179">
        <v>151423680</v>
      </c>
      <c r="L286" s="179">
        <v>125730360.39</v>
      </c>
      <c r="M286" s="179">
        <v>8211720</v>
      </c>
      <c r="N286" s="179">
        <v>8211720</v>
      </c>
    </row>
    <row r="287" spans="1:14" s="156" customFormat="1" x14ac:dyDescent="0.25">
      <c r="A287" s="156" t="s">
        <v>545</v>
      </c>
      <c r="B287" s="156" t="s">
        <v>263</v>
      </c>
      <c r="C287" s="156" t="s">
        <v>264</v>
      </c>
      <c r="D287" s="156" t="s">
        <v>541</v>
      </c>
      <c r="E287" s="179">
        <v>118500000</v>
      </c>
      <c r="F287" s="179">
        <v>129635400</v>
      </c>
      <c r="G287" s="179">
        <v>129635400</v>
      </c>
      <c r="H287" s="179">
        <v>0</v>
      </c>
      <c r="I287" s="179">
        <v>0</v>
      </c>
      <c r="J287" s="179">
        <v>0</v>
      </c>
      <c r="K287" s="179">
        <v>129635400</v>
      </c>
      <c r="L287" s="179">
        <v>103942080.39</v>
      </c>
      <c r="M287" s="179">
        <v>0</v>
      </c>
      <c r="N287" s="179">
        <v>0</v>
      </c>
    </row>
    <row r="288" spans="1:14" s="156" customFormat="1" x14ac:dyDescent="0.25">
      <c r="A288" s="156" t="s">
        <v>545</v>
      </c>
      <c r="B288" s="156" t="s">
        <v>265</v>
      </c>
      <c r="C288" s="156" t="s">
        <v>266</v>
      </c>
      <c r="D288" s="156" t="s">
        <v>541</v>
      </c>
      <c r="E288" s="179">
        <v>30000000</v>
      </c>
      <c r="F288" s="179">
        <v>30000000</v>
      </c>
      <c r="G288" s="179">
        <v>30000000</v>
      </c>
      <c r="H288" s="179">
        <v>0</v>
      </c>
      <c r="I288" s="179">
        <v>0</v>
      </c>
      <c r="J288" s="179">
        <v>0</v>
      </c>
      <c r="K288" s="179">
        <v>21788280</v>
      </c>
      <c r="L288" s="179">
        <v>21788280</v>
      </c>
      <c r="M288" s="179">
        <v>8211720</v>
      </c>
      <c r="N288" s="179">
        <v>8211720</v>
      </c>
    </row>
    <row r="289" spans="1:14" s="156" customFormat="1" x14ac:dyDescent="0.25">
      <c r="A289" s="156" t="s">
        <v>545</v>
      </c>
      <c r="B289" s="156" t="s">
        <v>267</v>
      </c>
      <c r="C289" s="156" t="s">
        <v>268</v>
      </c>
      <c r="D289" s="156" t="s">
        <v>541</v>
      </c>
      <c r="E289" s="179">
        <v>3000000</v>
      </c>
      <c r="F289" s="179">
        <v>3000000</v>
      </c>
      <c r="G289" s="179">
        <v>3000000</v>
      </c>
      <c r="H289" s="179">
        <v>0</v>
      </c>
      <c r="I289" s="179">
        <v>0</v>
      </c>
      <c r="J289" s="179">
        <v>0</v>
      </c>
      <c r="K289" s="179">
        <v>661659.81999999995</v>
      </c>
      <c r="L289" s="179">
        <v>661659.81999999995</v>
      </c>
      <c r="M289" s="179">
        <v>2338340.1800000002</v>
      </c>
      <c r="N289" s="179">
        <v>2338340.1800000002</v>
      </c>
    </row>
    <row r="290" spans="1:14" s="156" customFormat="1" x14ac:dyDescent="0.25">
      <c r="A290" s="156" t="s">
        <v>545</v>
      </c>
      <c r="B290" s="156" t="s">
        <v>269</v>
      </c>
      <c r="C290" s="156" t="s">
        <v>270</v>
      </c>
      <c r="D290" s="156" t="s">
        <v>541</v>
      </c>
      <c r="E290" s="179">
        <v>3000000</v>
      </c>
      <c r="F290" s="179">
        <v>3000000</v>
      </c>
      <c r="G290" s="179">
        <v>3000000</v>
      </c>
      <c r="H290" s="179">
        <v>0</v>
      </c>
      <c r="I290" s="179">
        <v>0</v>
      </c>
      <c r="J290" s="179">
        <v>0</v>
      </c>
      <c r="K290" s="179">
        <v>661659.81999999995</v>
      </c>
      <c r="L290" s="179">
        <v>661659.81999999995</v>
      </c>
      <c r="M290" s="179">
        <v>2338340.1800000002</v>
      </c>
      <c r="N290" s="179">
        <v>2338340.1800000002</v>
      </c>
    </row>
    <row r="291" spans="1:14" s="156" customFormat="1" x14ac:dyDescent="0.25">
      <c r="A291" s="156" t="s">
        <v>545</v>
      </c>
      <c r="B291" s="156" t="s">
        <v>576</v>
      </c>
      <c r="C291" s="156" t="s">
        <v>577</v>
      </c>
      <c r="D291" s="156" t="s">
        <v>541</v>
      </c>
      <c r="E291" s="179">
        <v>0</v>
      </c>
      <c r="F291" s="179">
        <v>0</v>
      </c>
      <c r="G291" s="179">
        <v>0</v>
      </c>
      <c r="H291" s="179">
        <v>0</v>
      </c>
      <c r="I291" s="179">
        <v>0</v>
      </c>
      <c r="J291" s="179">
        <v>0</v>
      </c>
      <c r="K291" s="179">
        <v>0</v>
      </c>
      <c r="L291" s="179">
        <v>0</v>
      </c>
      <c r="M291" s="179">
        <v>0</v>
      </c>
      <c r="N291" s="179">
        <v>0</v>
      </c>
    </row>
    <row r="292" spans="1:14" s="156" customFormat="1" x14ac:dyDescent="0.25">
      <c r="A292" s="156" t="s">
        <v>545</v>
      </c>
      <c r="B292" s="156" t="s">
        <v>574</v>
      </c>
      <c r="C292" s="156" t="s">
        <v>575</v>
      </c>
      <c r="D292" s="156" t="s">
        <v>541</v>
      </c>
      <c r="E292" s="179">
        <v>0</v>
      </c>
      <c r="F292" s="179">
        <v>0</v>
      </c>
      <c r="G292" s="179">
        <v>0</v>
      </c>
      <c r="H292" s="179">
        <v>0</v>
      </c>
      <c r="I292" s="179">
        <v>0</v>
      </c>
      <c r="J292" s="179">
        <v>0</v>
      </c>
      <c r="K292" s="179">
        <v>0</v>
      </c>
      <c r="L292" s="179">
        <v>0</v>
      </c>
      <c r="M292" s="179">
        <v>0</v>
      </c>
      <c r="N292" s="179">
        <v>0</v>
      </c>
    </row>
    <row r="293" spans="1:14" s="156" customFormat="1" x14ac:dyDescent="0.25">
      <c r="A293" s="156" t="s">
        <v>545</v>
      </c>
      <c r="B293" s="156" t="s">
        <v>572</v>
      </c>
      <c r="C293" s="156" t="s">
        <v>573</v>
      </c>
      <c r="D293" s="156" t="s">
        <v>541</v>
      </c>
      <c r="E293" s="179">
        <v>0</v>
      </c>
      <c r="F293" s="179">
        <v>0</v>
      </c>
      <c r="G293" s="179">
        <v>0</v>
      </c>
      <c r="H293" s="179">
        <v>0</v>
      </c>
      <c r="I293" s="179">
        <v>0</v>
      </c>
      <c r="J293" s="179">
        <v>0</v>
      </c>
      <c r="K293" s="179">
        <v>0</v>
      </c>
      <c r="L293" s="179">
        <v>0</v>
      </c>
      <c r="M293" s="179">
        <v>0</v>
      </c>
      <c r="N293" s="179">
        <v>0</v>
      </c>
    </row>
    <row r="294" spans="1:14" s="156" customFormat="1" x14ac:dyDescent="0.25">
      <c r="A294" s="156" t="s">
        <v>545</v>
      </c>
      <c r="B294" s="156" t="s">
        <v>572</v>
      </c>
      <c r="C294" s="156" t="s">
        <v>573</v>
      </c>
      <c r="D294" s="156" t="s">
        <v>543</v>
      </c>
      <c r="E294" s="179">
        <v>0</v>
      </c>
      <c r="F294" s="179">
        <v>0</v>
      </c>
      <c r="G294" s="179">
        <v>0</v>
      </c>
      <c r="H294" s="179">
        <v>0</v>
      </c>
      <c r="I294" s="179">
        <v>0</v>
      </c>
      <c r="J294" s="179">
        <v>0</v>
      </c>
      <c r="K294" s="179">
        <v>0</v>
      </c>
      <c r="L294" s="179">
        <v>0</v>
      </c>
      <c r="M294" s="179">
        <v>0</v>
      </c>
      <c r="N294" s="179">
        <v>0</v>
      </c>
    </row>
    <row r="295" spans="1:14" s="156" customFormat="1" x14ac:dyDescent="0.25">
      <c r="A295" s="156" t="s">
        <v>545</v>
      </c>
      <c r="B295" s="156" t="s">
        <v>279</v>
      </c>
      <c r="C295" s="156" t="s">
        <v>280</v>
      </c>
      <c r="D295" s="156" t="s">
        <v>543</v>
      </c>
      <c r="E295" s="179">
        <v>441435000</v>
      </c>
      <c r="F295" s="179">
        <v>426435000</v>
      </c>
      <c r="G295" s="179">
        <v>426435000</v>
      </c>
      <c r="H295" s="179">
        <v>0</v>
      </c>
      <c r="I295" s="179">
        <v>16006564.1</v>
      </c>
      <c r="J295" s="179">
        <v>0</v>
      </c>
      <c r="K295" s="179">
        <v>320634474.94999999</v>
      </c>
      <c r="L295" s="179">
        <v>225404530.03</v>
      </c>
      <c r="M295" s="179">
        <v>89793960.950000003</v>
      </c>
      <c r="N295" s="179">
        <v>89793960.950000003</v>
      </c>
    </row>
    <row r="296" spans="1:14" s="156" customFormat="1" x14ac:dyDescent="0.25">
      <c r="A296" s="156" t="s">
        <v>545</v>
      </c>
      <c r="B296" s="156" t="s">
        <v>281</v>
      </c>
      <c r="C296" s="156" t="s">
        <v>282</v>
      </c>
      <c r="D296" s="156" t="s">
        <v>543</v>
      </c>
      <c r="E296" s="179">
        <v>209185000</v>
      </c>
      <c r="F296" s="179">
        <v>209185000</v>
      </c>
      <c r="G296" s="179">
        <v>209185000</v>
      </c>
      <c r="H296" s="179">
        <v>0</v>
      </c>
      <c r="I296" s="179">
        <v>14655581.91</v>
      </c>
      <c r="J296" s="179">
        <v>0</v>
      </c>
      <c r="K296" s="179">
        <v>183374709.53</v>
      </c>
      <c r="L296" s="179">
        <v>145299331.81</v>
      </c>
      <c r="M296" s="179">
        <v>11154708.560000001</v>
      </c>
      <c r="N296" s="179">
        <v>11154708.560000001</v>
      </c>
    </row>
    <row r="297" spans="1:14" s="156" customFormat="1" x14ac:dyDescent="0.25">
      <c r="A297" s="156" t="s">
        <v>545</v>
      </c>
      <c r="B297" s="156" t="s">
        <v>283</v>
      </c>
      <c r="C297" s="156" t="s">
        <v>284</v>
      </c>
      <c r="D297" s="156" t="s">
        <v>543</v>
      </c>
      <c r="E297" s="179">
        <v>75000</v>
      </c>
      <c r="F297" s="179">
        <v>75000</v>
      </c>
      <c r="G297" s="179">
        <v>75000</v>
      </c>
      <c r="H297" s="179">
        <v>0</v>
      </c>
      <c r="I297" s="179">
        <v>0</v>
      </c>
      <c r="J297" s="179">
        <v>0</v>
      </c>
      <c r="K297" s="179">
        <v>0</v>
      </c>
      <c r="L297" s="179">
        <v>0</v>
      </c>
      <c r="M297" s="179">
        <v>75000</v>
      </c>
      <c r="N297" s="179">
        <v>75000</v>
      </c>
    </row>
    <row r="298" spans="1:14" s="156" customFormat="1" x14ac:dyDescent="0.25">
      <c r="A298" s="156" t="s">
        <v>545</v>
      </c>
      <c r="B298" s="156" t="s">
        <v>398</v>
      </c>
      <c r="C298" s="156" t="s">
        <v>501</v>
      </c>
      <c r="D298" s="156" t="s">
        <v>543</v>
      </c>
      <c r="E298" s="179">
        <v>29000000</v>
      </c>
      <c r="F298" s="179">
        <v>29000000</v>
      </c>
      <c r="G298" s="179">
        <v>29000000</v>
      </c>
      <c r="H298" s="179">
        <v>0</v>
      </c>
      <c r="I298" s="179">
        <v>14655581.91</v>
      </c>
      <c r="J298" s="179">
        <v>0</v>
      </c>
      <c r="K298" s="179">
        <v>14235296.560000001</v>
      </c>
      <c r="L298" s="179">
        <v>0</v>
      </c>
      <c r="M298" s="179">
        <v>109121.53</v>
      </c>
      <c r="N298" s="179">
        <v>109121.53</v>
      </c>
    </row>
    <row r="299" spans="1:14" s="156" customFormat="1" x14ac:dyDescent="0.25">
      <c r="A299" s="156" t="s">
        <v>545</v>
      </c>
      <c r="B299" s="156" t="s">
        <v>285</v>
      </c>
      <c r="C299" s="156" t="s">
        <v>286</v>
      </c>
      <c r="D299" s="156" t="s">
        <v>543</v>
      </c>
      <c r="E299" s="179">
        <v>9900000</v>
      </c>
      <c r="F299" s="179">
        <v>9900000</v>
      </c>
      <c r="G299" s="179">
        <v>9900000</v>
      </c>
      <c r="H299" s="179">
        <v>0</v>
      </c>
      <c r="I299" s="179">
        <v>0</v>
      </c>
      <c r="J299" s="179">
        <v>0</v>
      </c>
      <c r="K299" s="179">
        <v>8696071.6099999994</v>
      </c>
      <c r="L299" s="179">
        <v>8197071.6100000003</v>
      </c>
      <c r="M299" s="179">
        <v>1203928.3899999999</v>
      </c>
      <c r="N299" s="179">
        <v>1203928.3899999999</v>
      </c>
    </row>
    <row r="300" spans="1:14" s="156" customFormat="1" x14ac:dyDescent="0.25">
      <c r="A300" s="156" t="s">
        <v>545</v>
      </c>
      <c r="B300" s="156" t="s">
        <v>287</v>
      </c>
      <c r="C300" s="156" t="s">
        <v>288</v>
      </c>
      <c r="D300" s="156" t="s">
        <v>543</v>
      </c>
      <c r="E300" s="179">
        <v>22140000</v>
      </c>
      <c r="F300" s="179">
        <v>22140000</v>
      </c>
      <c r="G300" s="179">
        <v>22140000</v>
      </c>
      <c r="H300" s="179">
        <v>0</v>
      </c>
      <c r="I300" s="179">
        <v>0</v>
      </c>
      <c r="J300" s="179">
        <v>0</v>
      </c>
      <c r="K300" s="179">
        <v>20212691.68</v>
      </c>
      <c r="L300" s="179">
        <v>10160460.880000001</v>
      </c>
      <c r="M300" s="179">
        <v>1927308.32</v>
      </c>
      <c r="N300" s="179">
        <v>1927308.32</v>
      </c>
    </row>
    <row r="301" spans="1:14" s="156" customFormat="1" x14ac:dyDescent="0.25">
      <c r="A301" s="156" t="s">
        <v>545</v>
      </c>
      <c r="B301" s="156" t="s">
        <v>289</v>
      </c>
      <c r="C301" s="156" t="s">
        <v>290</v>
      </c>
      <c r="D301" s="156" t="s">
        <v>543</v>
      </c>
      <c r="E301" s="179">
        <v>142070000</v>
      </c>
      <c r="F301" s="179">
        <v>142070000</v>
      </c>
      <c r="G301" s="179">
        <v>142070000</v>
      </c>
      <c r="H301" s="179">
        <v>0</v>
      </c>
      <c r="I301" s="179">
        <v>0</v>
      </c>
      <c r="J301" s="179">
        <v>0</v>
      </c>
      <c r="K301" s="179">
        <v>134778067.52000001</v>
      </c>
      <c r="L301" s="179">
        <v>121580417.16</v>
      </c>
      <c r="M301" s="179">
        <v>7291932.4800000004</v>
      </c>
      <c r="N301" s="179">
        <v>7291932.4800000004</v>
      </c>
    </row>
    <row r="302" spans="1:14" s="156" customFormat="1" x14ac:dyDescent="0.25">
      <c r="A302" s="156" t="s">
        <v>545</v>
      </c>
      <c r="B302" s="156" t="s">
        <v>291</v>
      </c>
      <c r="C302" s="156" t="s">
        <v>292</v>
      </c>
      <c r="D302" s="156" t="s">
        <v>543</v>
      </c>
      <c r="E302" s="179">
        <v>400000</v>
      </c>
      <c r="F302" s="179">
        <v>400000</v>
      </c>
      <c r="G302" s="179">
        <v>400000</v>
      </c>
      <c r="H302" s="179">
        <v>0</v>
      </c>
      <c r="I302" s="179">
        <v>0</v>
      </c>
      <c r="J302" s="179">
        <v>0</v>
      </c>
      <c r="K302" s="179">
        <v>369400</v>
      </c>
      <c r="L302" s="179">
        <v>278200</v>
      </c>
      <c r="M302" s="179">
        <v>30600</v>
      </c>
      <c r="N302" s="179">
        <v>30600</v>
      </c>
    </row>
    <row r="303" spans="1:14" s="156" customFormat="1" x14ac:dyDescent="0.25">
      <c r="A303" s="156" t="s">
        <v>545</v>
      </c>
      <c r="B303" s="156" t="s">
        <v>295</v>
      </c>
      <c r="C303" s="156" t="s">
        <v>296</v>
      </c>
      <c r="D303" s="156" t="s">
        <v>543</v>
      </c>
      <c r="E303" s="179">
        <v>5600000</v>
      </c>
      <c r="F303" s="179">
        <v>5600000</v>
      </c>
      <c r="G303" s="179">
        <v>5600000</v>
      </c>
      <c r="H303" s="179">
        <v>0</v>
      </c>
      <c r="I303" s="179">
        <v>0</v>
      </c>
      <c r="J303" s="179">
        <v>0</v>
      </c>
      <c r="K303" s="179">
        <v>5083182.16</v>
      </c>
      <c r="L303" s="179">
        <v>5083182.16</v>
      </c>
      <c r="M303" s="179">
        <v>516817.84</v>
      </c>
      <c r="N303" s="179">
        <v>516817.84</v>
      </c>
    </row>
    <row r="304" spans="1:14" s="156" customFormat="1" x14ac:dyDescent="0.25">
      <c r="A304" s="156" t="s">
        <v>545</v>
      </c>
      <c r="B304" s="156" t="s">
        <v>297</v>
      </c>
      <c r="C304" s="156" t="s">
        <v>298</v>
      </c>
      <c r="D304" s="156" t="s">
        <v>543</v>
      </c>
      <c r="E304" s="179">
        <v>180000000</v>
      </c>
      <c r="F304" s="179">
        <v>165000000</v>
      </c>
      <c r="G304" s="179">
        <v>165000000</v>
      </c>
      <c r="H304" s="179">
        <v>0</v>
      </c>
      <c r="I304" s="179">
        <v>1350982.19</v>
      </c>
      <c r="J304" s="179">
        <v>0</v>
      </c>
      <c r="K304" s="179">
        <v>88797396.719999999</v>
      </c>
      <c r="L304" s="179">
        <v>46031368.630000003</v>
      </c>
      <c r="M304" s="179">
        <v>74851621.090000004</v>
      </c>
      <c r="N304" s="179">
        <v>74851621.090000004</v>
      </c>
    </row>
    <row r="305" spans="1:14" s="156" customFormat="1" x14ac:dyDescent="0.25">
      <c r="A305" s="156" t="s">
        <v>545</v>
      </c>
      <c r="B305" s="156" t="s">
        <v>299</v>
      </c>
      <c r="C305" s="156" t="s">
        <v>300</v>
      </c>
      <c r="D305" s="156" t="s">
        <v>543</v>
      </c>
      <c r="E305" s="179">
        <v>180000000</v>
      </c>
      <c r="F305" s="179">
        <v>165000000</v>
      </c>
      <c r="G305" s="179">
        <v>165000000</v>
      </c>
      <c r="H305" s="179">
        <v>0</v>
      </c>
      <c r="I305" s="179">
        <v>1350982.19</v>
      </c>
      <c r="J305" s="179">
        <v>0</v>
      </c>
      <c r="K305" s="179">
        <v>88797396.719999999</v>
      </c>
      <c r="L305" s="179">
        <v>46031368.630000003</v>
      </c>
      <c r="M305" s="179">
        <v>74851621.090000004</v>
      </c>
      <c r="N305" s="179">
        <v>74851621.090000004</v>
      </c>
    </row>
    <row r="306" spans="1:14" s="156" customFormat="1" x14ac:dyDescent="0.25">
      <c r="A306" s="156" t="s">
        <v>545</v>
      </c>
      <c r="B306" s="156" t="s">
        <v>340</v>
      </c>
      <c r="C306" s="156" t="s">
        <v>341</v>
      </c>
      <c r="D306" s="156" t="s">
        <v>543</v>
      </c>
      <c r="E306" s="179">
        <v>52250000</v>
      </c>
      <c r="F306" s="179">
        <v>52250000</v>
      </c>
      <c r="G306" s="179">
        <v>52250000</v>
      </c>
      <c r="H306" s="179">
        <v>0</v>
      </c>
      <c r="I306" s="179">
        <v>0</v>
      </c>
      <c r="J306" s="179">
        <v>0</v>
      </c>
      <c r="K306" s="179">
        <v>48462368.700000003</v>
      </c>
      <c r="L306" s="179">
        <v>34073829.590000004</v>
      </c>
      <c r="M306" s="179">
        <v>3787631.3</v>
      </c>
      <c r="N306" s="179">
        <v>3787631.3</v>
      </c>
    </row>
    <row r="307" spans="1:14" s="156" customFormat="1" x14ac:dyDescent="0.25">
      <c r="A307" s="156" t="s">
        <v>545</v>
      </c>
      <c r="B307" s="156" t="s">
        <v>342</v>
      </c>
      <c r="C307" s="156" t="s">
        <v>343</v>
      </c>
      <c r="D307" s="156" t="s">
        <v>543</v>
      </c>
      <c r="E307" s="179">
        <v>52250000</v>
      </c>
      <c r="F307" s="179">
        <v>52250000</v>
      </c>
      <c r="G307" s="179">
        <v>52250000</v>
      </c>
      <c r="H307" s="179">
        <v>0</v>
      </c>
      <c r="I307" s="179">
        <v>0</v>
      </c>
      <c r="J307" s="179">
        <v>0</v>
      </c>
      <c r="K307" s="179">
        <v>48462368.700000003</v>
      </c>
      <c r="L307" s="179">
        <v>34073829.590000004</v>
      </c>
      <c r="M307" s="179">
        <v>3787631.3</v>
      </c>
      <c r="N307" s="179">
        <v>3787631.3</v>
      </c>
    </row>
    <row r="308" spans="1:14" s="156" customFormat="1" x14ac:dyDescent="0.25">
      <c r="A308" s="156">
        <v>214783</v>
      </c>
      <c r="B308" s="156" t="s">
        <v>587</v>
      </c>
      <c r="C308" s="156" t="s">
        <v>587</v>
      </c>
      <c r="D308" s="156" t="s">
        <v>541</v>
      </c>
      <c r="E308" s="179">
        <v>108467611690</v>
      </c>
      <c r="F308" s="179">
        <v>106772514109</v>
      </c>
      <c r="G308" s="179">
        <v>106772514109</v>
      </c>
      <c r="H308" s="179">
        <v>0</v>
      </c>
      <c r="I308" s="179">
        <v>3803484545</v>
      </c>
      <c r="J308" s="179">
        <v>0</v>
      </c>
      <c r="K308" s="179">
        <v>98043556410.990005</v>
      </c>
      <c r="L308" s="179">
        <v>93688983915.089996</v>
      </c>
      <c r="M308" s="179">
        <v>4925473153.0100002</v>
      </c>
      <c r="N308" s="179">
        <v>4925473153.0100002</v>
      </c>
    </row>
    <row r="309" spans="1:14" s="156" customFormat="1" x14ac:dyDescent="0.25">
      <c r="A309" s="156" t="s">
        <v>546</v>
      </c>
      <c r="B309" s="156" t="s">
        <v>92</v>
      </c>
      <c r="C309" s="156" t="s">
        <v>93</v>
      </c>
      <c r="D309" s="156" t="s">
        <v>541</v>
      </c>
      <c r="E309" s="179">
        <v>69280985000</v>
      </c>
      <c r="F309" s="179">
        <v>66194787471</v>
      </c>
      <c r="G309" s="179">
        <v>66194787471</v>
      </c>
      <c r="H309" s="179">
        <v>0</v>
      </c>
      <c r="I309" s="179">
        <v>0</v>
      </c>
      <c r="J309" s="179">
        <v>0</v>
      </c>
      <c r="K309" s="179">
        <v>63387066495.970001</v>
      </c>
      <c r="L309" s="179">
        <v>63387066495.970001</v>
      </c>
      <c r="M309" s="179">
        <v>2807720975.0300002</v>
      </c>
      <c r="N309" s="179">
        <v>2807720975.0300002</v>
      </c>
    </row>
    <row r="310" spans="1:14" s="156" customFormat="1" x14ac:dyDescent="0.25">
      <c r="A310" s="156" t="s">
        <v>546</v>
      </c>
      <c r="B310" s="156" t="s">
        <v>94</v>
      </c>
      <c r="C310" s="156" t="s">
        <v>95</v>
      </c>
      <c r="D310" s="156" t="s">
        <v>541</v>
      </c>
      <c r="E310" s="179">
        <v>24948626000</v>
      </c>
      <c r="F310" s="179">
        <v>24179508538</v>
      </c>
      <c r="G310" s="179">
        <v>24179508538</v>
      </c>
      <c r="H310" s="179">
        <v>0</v>
      </c>
      <c r="I310" s="179">
        <v>0</v>
      </c>
      <c r="J310" s="179">
        <v>0</v>
      </c>
      <c r="K310" s="179">
        <v>22804921617.889999</v>
      </c>
      <c r="L310" s="179">
        <v>22804921617.889999</v>
      </c>
      <c r="M310" s="179">
        <v>1374586920.1099999</v>
      </c>
      <c r="N310" s="179">
        <v>1374586920.1099999</v>
      </c>
    </row>
    <row r="311" spans="1:14" s="156" customFormat="1" x14ac:dyDescent="0.25">
      <c r="A311" s="156" t="s">
        <v>546</v>
      </c>
      <c r="B311" s="156" t="s">
        <v>96</v>
      </c>
      <c r="C311" s="156" t="s">
        <v>97</v>
      </c>
      <c r="D311" s="156" t="s">
        <v>541</v>
      </c>
      <c r="E311" s="179">
        <v>24786984000</v>
      </c>
      <c r="F311" s="179">
        <v>23966347328</v>
      </c>
      <c r="G311" s="179">
        <v>23966347328</v>
      </c>
      <c r="H311" s="179">
        <v>0</v>
      </c>
      <c r="I311" s="179">
        <v>0</v>
      </c>
      <c r="J311" s="179">
        <v>0</v>
      </c>
      <c r="K311" s="179">
        <v>22638359622.889999</v>
      </c>
      <c r="L311" s="179">
        <v>22638359622.889999</v>
      </c>
      <c r="M311" s="179">
        <v>1327987705.1099999</v>
      </c>
      <c r="N311" s="179">
        <v>1327987705.1099999</v>
      </c>
    </row>
    <row r="312" spans="1:14" s="156" customFormat="1" x14ac:dyDescent="0.25">
      <c r="A312" s="156" t="s">
        <v>546</v>
      </c>
      <c r="B312" s="156" t="s">
        <v>346</v>
      </c>
      <c r="C312" s="156" t="s">
        <v>347</v>
      </c>
      <c r="D312" s="156" t="s">
        <v>541</v>
      </c>
      <c r="E312" s="179">
        <v>161642000</v>
      </c>
      <c r="F312" s="179">
        <v>213161210</v>
      </c>
      <c r="G312" s="179">
        <v>213161210</v>
      </c>
      <c r="H312" s="179">
        <v>0</v>
      </c>
      <c r="I312" s="179">
        <v>0</v>
      </c>
      <c r="J312" s="179">
        <v>0</v>
      </c>
      <c r="K312" s="179">
        <v>166561995</v>
      </c>
      <c r="L312" s="179">
        <v>166561995</v>
      </c>
      <c r="M312" s="179">
        <v>46599215</v>
      </c>
      <c r="N312" s="179">
        <v>46599215</v>
      </c>
    </row>
    <row r="313" spans="1:14" s="156" customFormat="1" x14ac:dyDescent="0.25">
      <c r="A313" s="156" t="s">
        <v>546</v>
      </c>
      <c r="B313" s="156" t="s">
        <v>98</v>
      </c>
      <c r="C313" s="156" t="s">
        <v>99</v>
      </c>
      <c r="D313" s="156" t="s">
        <v>541</v>
      </c>
      <c r="E313" s="179">
        <v>3816434000</v>
      </c>
      <c r="F313" s="179">
        <v>3634302747</v>
      </c>
      <c r="G313" s="179">
        <v>3634302747</v>
      </c>
      <c r="H313" s="179">
        <v>0</v>
      </c>
      <c r="I313" s="179">
        <v>0</v>
      </c>
      <c r="J313" s="179">
        <v>0</v>
      </c>
      <c r="K313" s="179">
        <v>3557718703.1300001</v>
      </c>
      <c r="L313" s="179">
        <v>3557718703.1300001</v>
      </c>
      <c r="M313" s="179">
        <v>76584043.870000005</v>
      </c>
      <c r="N313" s="179">
        <v>76584043.870000005</v>
      </c>
    </row>
    <row r="314" spans="1:14" s="156" customFormat="1" x14ac:dyDescent="0.25">
      <c r="A314" s="156" t="s">
        <v>546</v>
      </c>
      <c r="B314" s="156" t="s">
        <v>100</v>
      </c>
      <c r="C314" s="156" t="s">
        <v>101</v>
      </c>
      <c r="D314" s="156" t="s">
        <v>541</v>
      </c>
      <c r="E314" s="179">
        <v>10000000</v>
      </c>
      <c r="F314" s="179">
        <v>7868747</v>
      </c>
      <c r="G314" s="179">
        <v>7868747</v>
      </c>
      <c r="H314" s="179">
        <v>0</v>
      </c>
      <c r="I314" s="179">
        <v>0</v>
      </c>
      <c r="J314" s="179">
        <v>0</v>
      </c>
      <c r="K314" s="179">
        <v>7868623</v>
      </c>
      <c r="L314" s="179">
        <v>7868623</v>
      </c>
      <c r="M314" s="179">
        <v>124</v>
      </c>
      <c r="N314" s="179">
        <v>124</v>
      </c>
    </row>
    <row r="315" spans="1:14" s="156" customFormat="1" x14ac:dyDescent="0.25">
      <c r="A315" s="156" t="s">
        <v>546</v>
      </c>
      <c r="B315" s="156" t="s">
        <v>348</v>
      </c>
      <c r="C315" s="156" t="s">
        <v>349</v>
      </c>
      <c r="D315" s="156" t="s">
        <v>541</v>
      </c>
      <c r="E315" s="179">
        <v>25000000</v>
      </c>
      <c r="F315" s="179">
        <v>15000000</v>
      </c>
      <c r="G315" s="179">
        <v>15000000</v>
      </c>
      <c r="H315" s="179">
        <v>0</v>
      </c>
      <c r="I315" s="179">
        <v>0</v>
      </c>
      <c r="J315" s="179">
        <v>0</v>
      </c>
      <c r="K315" s="179">
        <v>12613806.5</v>
      </c>
      <c r="L315" s="179">
        <v>12613806.5</v>
      </c>
      <c r="M315" s="179">
        <v>2386193.5</v>
      </c>
      <c r="N315" s="179">
        <v>2386193.5</v>
      </c>
    </row>
    <row r="316" spans="1:14" s="156" customFormat="1" x14ac:dyDescent="0.25">
      <c r="A316" s="156" t="s">
        <v>546</v>
      </c>
      <c r="B316" s="156" t="s">
        <v>350</v>
      </c>
      <c r="C316" s="156" t="s">
        <v>351</v>
      </c>
      <c r="D316" s="156" t="s">
        <v>541</v>
      </c>
      <c r="E316" s="179">
        <v>3781434000</v>
      </c>
      <c r="F316" s="179">
        <v>3611434000</v>
      </c>
      <c r="G316" s="179">
        <v>3611434000</v>
      </c>
      <c r="H316" s="179">
        <v>0</v>
      </c>
      <c r="I316" s="179">
        <v>0</v>
      </c>
      <c r="J316" s="179">
        <v>0</v>
      </c>
      <c r="K316" s="179">
        <v>3537236273.6300001</v>
      </c>
      <c r="L316" s="179">
        <v>3537236273.6300001</v>
      </c>
      <c r="M316" s="179">
        <v>74197726.370000005</v>
      </c>
      <c r="N316" s="179">
        <v>74197726.370000005</v>
      </c>
    </row>
    <row r="317" spans="1:14" s="156" customFormat="1" x14ac:dyDescent="0.25">
      <c r="A317" s="156" t="s">
        <v>546</v>
      </c>
      <c r="B317" s="156" t="s">
        <v>102</v>
      </c>
      <c r="C317" s="156" t="s">
        <v>103</v>
      </c>
      <c r="D317" s="156" t="s">
        <v>541</v>
      </c>
      <c r="E317" s="179">
        <v>30011202000</v>
      </c>
      <c r="F317" s="179">
        <v>28308861097</v>
      </c>
      <c r="G317" s="179">
        <v>28308861097</v>
      </c>
      <c r="H317" s="179">
        <v>0</v>
      </c>
      <c r="I317" s="179">
        <v>0</v>
      </c>
      <c r="J317" s="179">
        <v>0</v>
      </c>
      <c r="K317" s="179">
        <v>27459326944.950001</v>
      </c>
      <c r="L317" s="179">
        <v>27459326944.950001</v>
      </c>
      <c r="M317" s="179">
        <v>849534152.04999995</v>
      </c>
      <c r="N317" s="179">
        <v>849534152.04999995</v>
      </c>
    </row>
    <row r="318" spans="1:14" s="156" customFormat="1" x14ac:dyDescent="0.25">
      <c r="A318" s="156" t="s">
        <v>546</v>
      </c>
      <c r="B318" s="156" t="s">
        <v>104</v>
      </c>
      <c r="C318" s="156" t="s">
        <v>105</v>
      </c>
      <c r="D318" s="156" t="s">
        <v>541</v>
      </c>
      <c r="E318" s="179">
        <v>9975766000</v>
      </c>
      <c r="F318" s="179">
        <v>9366425097</v>
      </c>
      <c r="G318" s="179">
        <v>9366425097</v>
      </c>
      <c r="H318" s="179">
        <v>0</v>
      </c>
      <c r="I318" s="179">
        <v>0</v>
      </c>
      <c r="J318" s="179">
        <v>0</v>
      </c>
      <c r="K318" s="179">
        <v>9030866061.3400002</v>
      </c>
      <c r="L318" s="179">
        <v>9030866061.3400002</v>
      </c>
      <c r="M318" s="179">
        <v>335559035.66000003</v>
      </c>
      <c r="N318" s="179">
        <v>335559035.66000003</v>
      </c>
    </row>
    <row r="319" spans="1:14" s="156" customFormat="1" x14ac:dyDescent="0.25">
      <c r="A319" s="156" t="s">
        <v>546</v>
      </c>
      <c r="B319" s="156" t="s">
        <v>106</v>
      </c>
      <c r="C319" s="156" t="s">
        <v>107</v>
      </c>
      <c r="D319" s="156" t="s">
        <v>541</v>
      </c>
      <c r="E319" s="179">
        <v>3798397000</v>
      </c>
      <c r="F319" s="179">
        <v>3316397000</v>
      </c>
      <c r="G319" s="179">
        <v>3316397000</v>
      </c>
      <c r="H319" s="179">
        <v>0</v>
      </c>
      <c r="I319" s="179">
        <v>0</v>
      </c>
      <c r="J319" s="179">
        <v>0</v>
      </c>
      <c r="K319" s="179">
        <v>3189306021.4899998</v>
      </c>
      <c r="L319" s="179">
        <v>3189306021.4899998</v>
      </c>
      <c r="M319" s="179">
        <v>127090978.51000001</v>
      </c>
      <c r="N319" s="179">
        <v>127090978.51000001</v>
      </c>
    </row>
    <row r="320" spans="1:14" s="156" customFormat="1" x14ac:dyDescent="0.25">
      <c r="A320" s="156" t="s">
        <v>546</v>
      </c>
      <c r="B320" s="156" t="s">
        <v>108</v>
      </c>
      <c r="C320" s="156" t="s">
        <v>109</v>
      </c>
      <c r="D320" s="156" t="s">
        <v>541</v>
      </c>
      <c r="E320" s="179">
        <v>3597134000</v>
      </c>
      <c r="F320" s="179">
        <v>3637134000</v>
      </c>
      <c r="G320" s="179">
        <v>3637134000</v>
      </c>
      <c r="H320" s="179">
        <v>0</v>
      </c>
      <c r="I320" s="179">
        <v>0</v>
      </c>
      <c r="J320" s="179">
        <v>0</v>
      </c>
      <c r="K320" s="179">
        <v>3633952854.2199998</v>
      </c>
      <c r="L320" s="179">
        <v>3633952854.2199998</v>
      </c>
      <c r="M320" s="179">
        <v>3181145.78</v>
      </c>
      <c r="N320" s="179">
        <v>3181145.78</v>
      </c>
    </row>
    <row r="321" spans="1:14" s="156" customFormat="1" x14ac:dyDescent="0.25">
      <c r="A321" s="156" t="s">
        <v>546</v>
      </c>
      <c r="B321" s="156" t="s">
        <v>110</v>
      </c>
      <c r="C321" s="156" t="s">
        <v>111</v>
      </c>
      <c r="D321" s="156" t="s">
        <v>541</v>
      </c>
      <c r="E321" s="179">
        <v>8205917000</v>
      </c>
      <c r="F321" s="179">
        <v>7762917000</v>
      </c>
      <c r="G321" s="179">
        <v>7762917000</v>
      </c>
      <c r="H321" s="179">
        <v>0</v>
      </c>
      <c r="I321" s="179">
        <v>0</v>
      </c>
      <c r="J321" s="179">
        <v>0</v>
      </c>
      <c r="K321" s="179">
        <v>7453151390.7299995</v>
      </c>
      <c r="L321" s="179">
        <v>7453151390.7299995</v>
      </c>
      <c r="M321" s="179">
        <v>309765609.26999998</v>
      </c>
      <c r="N321" s="179">
        <v>309765609.26999998</v>
      </c>
    </row>
    <row r="322" spans="1:14" s="156" customFormat="1" x14ac:dyDescent="0.25">
      <c r="A322" s="156" t="s">
        <v>546</v>
      </c>
      <c r="B322" s="156" t="s">
        <v>112</v>
      </c>
      <c r="C322" s="156" t="s">
        <v>113</v>
      </c>
      <c r="D322" s="156" t="s">
        <v>543</v>
      </c>
      <c r="E322" s="179">
        <v>4433988000</v>
      </c>
      <c r="F322" s="179">
        <v>4225988000</v>
      </c>
      <c r="G322" s="179">
        <v>4225988000</v>
      </c>
      <c r="H322" s="179">
        <v>0</v>
      </c>
      <c r="I322" s="179">
        <v>0</v>
      </c>
      <c r="J322" s="179">
        <v>0</v>
      </c>
      <c r="K322" s="179">
        <v>4152050617.1700001</v>
      </c>
      <c r="L322" s="179">
        <v>4152050617.1700001</v>
      </c>
      <c r="M322" s="179">
        <v>73937382.829999998</v>
      </c>
      <c r="N322" s="179">
        <v>73937382.829999998</v>
      </c>
    </row>
    <row r="323" spans="1:14" s="156" customFormat="1" x14ac:dyDescent="0.25">
      <c r="A323" s="156" t="s">
        <v>546</v>
      </c>
      <c r="B323" s="156" t="s">
        <v>114</v>
      </c>
      <c r="C323" s="156" t="s">
        <v>115</v>
      </c>
      <c r="D323" s="156" t="s">
        <v>541</v>
      </c>
      <c r="E323" s="179">
        <v>5298403000</v>
      </c>
      <c r="F323" s="179">
        <v>5081180800</v>
      </c>
      <c r="G323" s="179">
        <v>5081180800</v>
      </c>
      <c r="H323" s="179">
        <v>0</v>
      </c>
      <c r="I323" s="179">
        <v>0</v>
      </c>
      <c r="J323" s="179">
        <v>0</v>
      </c>
      <c r="K323" s="179">
        <v>4827245159</v>
      </c>
      <c r="L323" s="179">
        <v>4827245159</v>
      </c>
      <c r="M323" s="179">
        <v>253935641</v>
      </c>
      <c r="N323" s="179">
        <v>253935641</v>
      </c>
    </row>
    <row r="324" spans="1:14" s="156" customFormat="1" x14ac:dyDescent="0.25">
      <c r="A324" s="156" t="s">
        <v>546</v>
      </c>
      <c r="B324" s="156" t="s">
        <v>352</v>
      </c>
      <c r="C324" s="156" t="s">
        <v>620</v>
      </c>
      <c r="D324" s="156" t="s">
        <v>541</v>
      </c>
      <c r="E324" s="179">
        <v>5026689000</v>
      </c>
      <c r="F324" s="179">
        <v>4820585887</v>
      </c>
      <c r="G324" s="179">
        <v>4820585887</v>
      </c>
      <c r="H324" s="179">
        <v>0</v>
      </c>
      <c r="I324" s="179">
        <v>0</v>
      </c>
      <c r="J324" s="179">
        <v>0</v>
      </c>
      <c r="K324" s="179">
        <v>4579731453</v>
      </c>
      <c r="L324" s="179">
        <v>4579731453</v>
      </c>
      <c r="M324" s="179">
        <v>240854434</v>
      </c>
      <c r="N324" s="179">
        <v>240854434</v>
      </c>
    </row>
    <row r="325" spans="1:14" s="156" customFormat="1" x14ac:dyDescent="0.25">
      <c r="A325" s="156" t="s">
        <v>546</v>
      </c>
      <c r="B325" s="156" t="s">
        <v>353</v>
      </c>
      <c r="C325" s="156" t="s">
        <v>583</v>
      </c>
      <c r="D325" s="156" t="s">
        <v>541</v>
      </c>
      <c r="E325" s="179">
        <v>271714000</v>
      </c>
      <c r="F325" s="179">
        <v>260594913</v>
      </c>
      <c r="G325" s="179">
        <v>260594913</v>
      </c>
      <c r="H325" s="179">
        <v>0</v>
      </c>
      <c r="I325" s="179">
        <v>0</v>
      </c>
      <c r="J325" s="179">
        <v>0</v>
      </c>
      <c r="K325" s="179">
        <v>247513706</v>
      </c>
      <c r="L325" s="179">
        <v>247513706</v>
      </c>
      <c r="M325" s="179">
        <v>13081207</v>
      </c>
      <c r="N325" s="179">
        <v>13081207</v>
      </c>
    </row>
    <row r="326" spans="1:14" s="156" customFormat="1" x14ac:dyDescent="0.25">
      <c r="A326" s="156" t="s">
        <v>546</v>
      </c>
      <c r="B326" s="156" t="s">
        <v>118</v>
      </c>
      <c r="C326" s="156" t="s">
        <v>119</v>
      </c>
      <c r="D326" s="156" t="s">
        <v>541</v>
      </c>
      <c r="E326" s="179">
        <v>5206020000</v>
      </c>
      <c r="F326" s="179">
        <v>4990934289</v>
      </c>
      <c r="G326" s="179">
        <v>4990934289</v>
      </c>
      <c r="H326" s="179">
        <v>0</v>
      </c>
      <c r="I326" s="179">
        <v>0</v>
      </c>
      <c r="J326" s="179">
        <v>0</v>
      </c>
      <c r="K326" s="179">
        <v>4737854071</v>
      </c>
      <c r="L326" s="179">
        <v>4737854071</v>
      </c>
      <c r="M326" s="179">
        <v>253080218</v>
      </c>
      <c r="N326" s="179">
        <v>253080218</v>
      </c>
    </row>
    <row r="327" spans="1:14" s="156" customFormat="1" x14ac:dyDescent="0.25">
      <c r="A327" s="156" t="s">
        <v>546</v>
      </c>
      <c r="B327" s="156" t="s">
        <v>354</v>
      </c>
      <c r="C327" s="156" t="s">
        <v>621</v>
      </c>
      <c r="D327" s="156" t="s">
        <v>541</v>
      </c>
      <c r="E327" s="179">
        <v>2760603000</v>
      </c>
      <c r="F327" s="179">
        <v>2646889074</v>
      </c>
      <c r="G327" s="179">
        <v>2646889074</v>
      </c>
      <c r="H327" s="179">
        <v>0</v>
      </c>
      <c r="I327" s="179">
        <v>0</v>
      </c>
      <c r="J327" s="179">
        <v>0</v>
      </c>
      <c r="K327" s="179">
        <v>2510231685</v>
      </c>
      <c r="L327" s="179">
        <v>2510231685</v>
      </c>
      <c r="M327" s="179">
        <v>136657389</v>
      </c>
      <c r="N327" s="179">
        <v>136657389</v>
      </c>
    </row>
    <row r="328" spans="1:14" s="156" customFormat="1" x14ac:dyDescent="0.25">
      <c r="A328" s="156" t="s">
        <v>546</v>
      </c>
      <c r="B328" s="156" t="s">
        <v>355</v>
      </c>
      <c r="C328" s="156" t="s">
        <v>622</v>
      </c>
      <c r="D328" s="156" t="s">
        <v>541</v>
      </c>
      <c r="E328" s="179">
        <v>815139000</v>
      </c>
      <c r="F328" s="179">
        <v>781381738</v>
      </c>
      <c r="G328" s="179">
        <v>781381738</v>
      </c>
      <c r="H328" s="179">
        <v>0</v>
      </c>
      <c r="I328" s="179">
        <v>0</v>
      </c>
      <c r="J328" s="179">
        <v>0</v>
      </c>
      <c r="K328" s="179">
        <v>742540274</v>
      </c>
      <c r="L328" s="179">
        <v>742540274</v>
      </c>
      <c r="M328" s="179">
        <v>38841464</v>
      </c>
      <c r="N328" s="179">
        <v>38841464</v>
      </c>
    </row>
    <row r="329" spans="1:14" s="156" customFormat="1" x14ac:dyDescent="0.25">
      <c r="A329" s="156" t="s">
        <v>546</v>
      </c>
      <c r="B329" s="156" t="s">
        <v>356</v>
      </c>
      <c r="C329" s="156" t="s">
        <v>623</v>
      </c>
      <c r="D329" s="156" t="s">
        <v>541</v>
      </c>
      <c r="E329" s="179">
        <v>1630278000</v>
      </c>
      <c r="F329" s="179">
        <v>1562663477</v>
      </c>
      <c r="G329" s="179">
        <v>1562663477</v>
      </c>
      <c r="H329" s="179">
        <v>0</v>
      </c>
      <c r="I329" s="179">
        <v>0</v>
      </c>
      <c r="J329" s="179">
        <v>0</v>
      </c>
      <c r="K329" s="179">
        <v>1485082112</v>
      </c>
      <c r="L329" s="179">
        <v>1485082112</v>
      </c>
      <c r="M329" s="179">
        <v>77581365</v>
      </c>
      <c r="N329" s="179">
        <v>77581365</v>
      </c>
    </row>
    <row r="330" spans="1:14" s="156" customFormat="1" x14ac:dyDescent="0.25">
      <c r="A330" s="156" t="s">
        <v>546</v>
      </c>
      <c r="B330" s="156" t="s">
        <v>357</v>
      </c>
      <c r="C330" s="156" t="s">
        <v>630</v>
      </c>
      <c r="D330" s="156" t="s">
        <v>541</v>
      </c>
      <c r="E330" s="179">
        <v>300000</v>
      </c>
      <c r="F330" s="179">
        <v>0</v>
      </c>
      <c r="G330" s="179">
        <v>0</v>
      </c>
      <c r="H330" s="179">
        <v>0</v>
      </c>
      <c r="I330" s="179">
        <v>0</v>
      </c>
      <c r="J330" s="179">
        <v>0</v>
      </c>
      <c r="K330" s="179">
        <v>0</v>
      </c>
      <c r="L330" s="179">
        <v>0</v>
      </c>
      <c r="M330" s="179">
        <v>0</v>
      </c>
      <c r="N330" s="179">
        <v>0</v>
      </c>
    </row>
    <row r="331" spans="1:14" s="156" customFormat="1" x14ac:dyDescent="0.25">
      <c r="A331" s="156" t="s">
        <v>546</v>
      </c>
      <c r="B331" s="156" t="s">
        <v>358</v>
      </c>
      <c r="C331" s="156" t="s">
        <v>631</v>
      </c>
      <c r="D331" s="156" t="s">
        <v>541</v>
      </c>
      <c r="E331" s="179">
        <v>300000</v>
      </c>
      <c r="F331" s="179">
        <v>0</v>
      </c>
      <c r="G331" s="179">
        <v>0</v>
      </c>
      <c r="H331" s="179">
        <v>0</v>
      </c>
      <c r="I331" s="179">
        <v>0</v>
      </c>
      <c r="J331" s="179">
        <v>0</v>
      </c>
      <c r="K331" s="179">
        <v>0</v>
      </c>
      <c r="L331" s="179">
        <v>0</v>
      </c>
      <c r="M331" s="179">
        <v>0</v>
      </c>
      <c r="N331" s="179">
        <v>0</v>
      </c>
    </row>
    <row r="332" spans="1:14" s="156" customFormat="1" x14ac:dyDescent="0.25">
      <c r="A332" s="156" t="s">
        <v>546</v>
      </c>
      <c r="B332" s="156" t="s">
        <v>123</v>
      </c>
      <c r="C332" s="156" t="s">
        <v>124</v>
      </c>
      <c r="D332" s="156" t="s">
        <v>541</v>
      </c>
      <c r="E332" s="179">
        <v>15290060000</v>
      </c>
      <c r="F332" s="179">
        <v>14187171121.32</v>
      </c>
      <c r="G332" s="179">
        <v>14187171121.32</v>
      </c>
      <c r="H332" s="179">
        <v>0</v>
      </c>
      <c r="I332" s="179">
        <v>1757730370.1300001</v>
      </c>
      <c r="J332" s="179">
        <v>0</v>
      </c>
      <c r="K332" s="179">
        <v>11417901790.5</v>
      </c>
      <c r="L332" s="179">
        <v>9719253239.9699993</v>
      </c>
      <c r="M332" s="179">
        <v>1011538960.6900001</v>
      </c>
      <c r="N332" s="179">
        <v>1011538960.6900001</v>
      </c>
    </row>
    <row r="333" spans="1:14" s="156" customFormat="1" x14ac:dyDescent="0.25">
      <c r="A333" s="156" t="s">
        <v>546</v>
      </c>
      <c r="B333" s="156" t="s">
        <v>125</v>
      </c>
      <c r="C333" s="156" t="s">
        <v>126</v>
      </c>
      <c r="D333" s="156" t="s">
        <v>541</v>
      </c>
      <c r="E333" s="179">
        <v>7388276000</v>
      </c>
      <c r="F333" s="179">
        <v>5941867616</v>
      </c>
      <c r="G333" s="179">
        <v>5941867616</v>
      </c>
      <c r="H333" s="179">
        <v>0</v>
      </c>
      <c r="I333" s="179">
        <v>423315318.86000001</v>
      </c>
      <c r="J333" s="179">
        <v>0</v>
      </c>
      <c r="K333" s="179">
        <v>5073188535.4200001</v>
      </c>
      <c r="L333" s="179">
        <v>3814945872.0100002</v>
      </c>
      <c r="M333" s="179">
        <v>445363761.72000003</v>
      </c>
      <c r="N333" s="179">
        <v>445363761.72000003</v>
      </c>
    </row>
    <row r="334" spans="1:14" s="156" customFormat="1" x14ac:dyDescent="0.25">
      <c r="A334" s="156" t="s">
        <v>546</v>
      </c>
      <c r="B334" s="156" t="s">
        <v>306</v>
      </c>
      <c r="C334" s="156" t="s">
        <v>307</v>
      </c>
      <c r="D334" s="156" t="s">
        <v>541</v>
      </c>
      <c r="E334" s="179">
        <v>447714000</v>
      </c>
      <c r="F334" s="179">
        <v>447714000</v>
      </c>
      <c r="G334" s="179">
        <v>447714000</v>
      </c>
      <c r="H334" s="179">
        <v>0</v>
      </c>
      <c r="I334" s="179">
        <v>6646419.6900000004</v>
      </c>
      <c r="J334" s="179">
        <v>0</v>
      </c>
      <c r="K334" s="179">
        <v>423331283.33999997</v>
      </c>
      <c r="L334" s="179">
        <v>390534515.54000002</v>
      </c>
      <c r="M334" s="179">
        <v>17736296.969999999</v>
      </c>
      <c r="N334" s="179">
        <v>17736296.969999999</v>
      </c>
    </row>
    <row r="335" spans="1:14" s="156" customFormat="1" x14ac:dyDescent="0.25">
      <c r="A335" s="156" t="s">
        <v>546</v>
      </c>
      <c r="B335" s="156" t="s">
        <v>320</v>
      </c>
      <c r="C335" s="156" t="s">
        <v>321</v>
      </c>
      <c r="D335" s="156" t="s">
        <v>541</v>
      </c>
      <c r="E335" s="179">
        <v>1150000</v>
      </c>
      <c r="F335" s="179">
        <v>1150000</v>
      </c>
      <c r="G335" s="179">
        <v>1150000</v>
      </c>
      <c r="H335" s="179">
        <v>0</v>
      </c>
      <c r="I335" s="179">
        <v>0</v>
      </c>
      <c r="J335" s="179">
        <v>0</v>
      </c>
      <c r="K335" s="179">
        <v>0</v>
      </c>
      <c r="L335" s="179">
        <v>0</v>
      </c>
      <c r="M335" s="179">
        <v>1150000</v>
      </c>
      <c r="N335" s="179">
        <v>1150000</v>
      </c>
    </row>
    <row r="336" spans="1:14" s="156" customFormat="1" x14ac:dyDescent="0.25">
      <c r="A336" s="156" t="s">
        <v>546</v>
      </c>
      <c r="B336" s="156" t="s">
        <v>127</v>
      </c>
      <c r="C336" s="156" t="s">
        <v>128</v>
      </c>
      <c r="D336" s="156" t="s">
        <v>541</v>
      </c>
      <c r="E336" s="179">
        <v>897159000</v>
      </c>
      <c r="F336" s="179">
        <v>897159000</v>
      </c>
      <c r="G336" s="179">
        <v>897159000</v>
      </c>
      <c r="H336" s="179">
        <v>0</v>
      </c>
      <c r="I336" s="179">
        <v>91179751.939999998</v>
      </c>
      <c r="J336" s="179">
        <v>0</v>
      </c>
      <c r="K336" s="179">
        <v>704810041.44000006</v>
      </c>
      <c r="L336" s="179">
        <v>583197042.64999998</v>
      </c>
      <c r="M336" s="179">
        <v>101169206.62</v>
      </c>
      <c r="N336" s="179">
        <v>101169206.62</v>
      </c>
    </row>
    <row r="337" spans="1:14" s="156" customFormat="1" x14ac:dyDescent="0.25">
      <c r="A337" s="156" t="s">
        <v>546</v>
      </c>
      <c r="B337" s="156" t="s">
        <v>322</v>
      </c>
      <c r="C337" s="156" t="s">
        <v>323</v>
      </c>
      <c r="D337" s="156" t="s">
        <v>541</v>
      </c>
      <c r="E337" s="179">
        <v>42253000</v>
      </c>
      <c r="F337" s="179">
        <v>19062488</v>
      </c>
      <c r="G337" s="179">
        <v>19062488</v>
      </c>
      <c r="H337" s="179">
        <v>0</v>
      </c>
      <c r="I337" s="179">
        <v>3666276.17</v>
      </c>
      <c r="J337" s="179">
        <v>0</v>
      </c>
      <c r="K337" s="179">
        <v>15396211.83</v>
      </c>
      <c r="L337" s="179">
        <v>12192973.99</v>
      </c>
      <c r="M337" s="179">
        <v>0</v>
      </c>
      <c r="N337" s="179">
        <v>0</v>
      </c>
    </row>
    <row r="338" spans="1:14" s="156" customFormat="1" x14ac:dyDescent="0.25">
      <c r="A338" s="156" t="s">
        <v>546</v>
      </c>
      <c r="B338" s="156" t="s">
        <v>129</v>
      </c>
      <c r="C338" s="156" t="s">
        <v>130</v>
      </c>
      <c r="D338" s="156" t="s">
        <v>541</v>
      </c>
      <c r="E338" s="179">
        <v>6000000000</v>
      </c>
      <c r="F338" s="179">
        <v>4576782128</v>
      </c>
      <c r="G338" s="179">
        <v>4576782128</v>
      </c>
      <c r="H338" s="179">
        <v>0</v>
      </c>
      <c r="I338" s="179">
        <v>321822871.06</v>
      </c>
      <c r="J338" s="179">
        <v>0</v>
      </c>
      <c r="K338" s="179">
        <v>3929650998.8099999</v>
      </c>
      <c r="L338" s="179">
        <v>2829021339.8299999</v>
      </c>
      <c r="M338" s="179">
        <v>325308258.13</v>
      </c>
      <c r="N338" s="179">
        <v>325308258.13</v>
      </c>
    </row>
    <row r="339" spans="1:14" s="156" customFormat="1" x14ac:dyDescent="0.25">
      <c r="A339" s="156" t="s">
        <v>546</v>
      </c>
      <c r="B339" s="156" t="s">
        <v>131</v>
      </c>
      <c r="C339" s="156" t="s">
        <v>132</v>
      </c>
      <c r="D339" s="156" t="s">
        <v>541</v>
      </c>
      <c r="E339" s="179">
        <v>4954374000</v>
      </c>
      <c r="F339" s="179">
        <v>5424244314</v>
      </c>
      <c r="G339" s="179">
        <v>5424244314</v>
      </c>
      <c r="H339" s="179">
        <v>0</v>
      </c>
      <c r="I339" s="179">
        <v>781398130.53999996</v>
      </c>
      <c r="J339" s="179">
        <v>0</v>
      </c>
      <c r="K339" s="179">
        <v>4521804969.4300003</v>
      </c>
      <c r="L339" s="179">
        <v>4316506631.3699999</v>
      </c>
      <c r="M339" s="179">
        <v>121041214.03</v>
      </c>
      <c r="N339" s="179">
        <v>121041214.03</v>
      </c>
    </row>
    <row r="340" spans="1:14" s="156" customFormat="1" x14ac:dyDescent="0.25">
      <c r="A340" s="156" t="s">
        <v>546</v>
      </c>
      <c r="B340" s="156" t="s">
        <v>133</v>
      </c>
      <c r="C340" s="156" t="s">
        <v>134</v>
      </c>
      <c r="D340" s="156" t="s">
        <v>541</v>
      </c>
      <c r="E340" s="179">
        <v>2372291000</v>
      </c>
      <c r="F340" s="179">
        <v>3072291000</v>
      </c>
      <c r="G340" s="179">
        <v>3072291000</v>
      </c>
      <c r="H340" s="179">
        <v>0</v>
      </c>
      <c r="I340" s="179">
        <v>472003074.39999998</v>
      </c>
      <c r="J340" s="179">
        <v>0</v>
      </c>
      <c r="K340" s="179">
        <v>2600257897.5999999</v>
      </c>
      <c r="L340" s="179">
        <v>2599063654.5999999</v>
      </c>
      <c r="M340" s="179">
        <v>30028</v>
      </c>
      <c r="N340" s="179">
        <v>30028</v>
      </c>
    </row>
    <row r="341" spans="1:14" s="156" customFormat="1" x14ac:dyDescent="0.25">
      <c r="A341" s="156" t="s">
        <v>546</v>
      </c>
      <c r="B341" s="156" t="s">
        <v>135</v>
      </c>
      <c r="C341" s="156" t="s">
        <v>136</v>
      </c>
      <c r="D341" s="156" t="s">
        <v>541</v>
      </c>
      <c r="E341" s="179">
        <v>1100946000</v>
      </c>
      <c r="F341" s="179">
        <v>1423946000</v>
      </c>
      <c r="G341" s="179">
        <v>1423946000</v>
      </c>
      <c r="H341" s="179">
        <v>0</v>
      </c>
      <c r="I341" s="179">
        <v>91167221.849999994</v>
      </c>
      <c r="J341" s="179">
        <v>0</v>
      </c>
      <c r="K341" s="179">
        <v>1332648296.1500001</v>
      </c>
      <c r="L341" s="179">
        <v>1218888435.46</v>
      </c>
      <c r="M341" s="179">
        <v>130482</v>
      </c>
      <c r="N341" s="179">
        <v>130482</v>
      </c>
    </row>
    <row r="342" spans="1:14" s="156" customFormat="1" x14ac:dyDescent="0.25">
      <c r="A342" s="156" t="s">
        <v>546</v>
      </c>
      <c r="B342" s="156" t="s">
        <v>137</v>
      </c>
      <c r="C342" s="156" t="s">
        <v>138</v>
      </c>
      <c r="D342" s="156" t="s">
        <v>541</v>
      </c>
      <c r="E342" s="179">
        <v>6000000</v>
      </c>
      <c r="F342" s="179">
        <v>6000000</v>
      </c>
      <c r="G342" s="179">
        <v>6000000</v>
      </c>
      <c r="H342" s="179">
        <v>0</v>
      </c>
      <c r="I342" s="179">
        <v>607275</v>
      </c>
      <c r="J342" s="179">
        <v>0</v>
      </c>
      <c r="K342" s="179">
        <v>2599840</v>
      </c>
      <c r="L342" s="179">
        <v>2352630</v>
      </c>
      <c r="M342" s="179">
        <v>2792885</v>
      </c>
      <c r="N342" s="179">
        <v>2792885</v>
      </c>
    </row>
    <row r="343" spans="1:14" s="156" customFormat="1" x14ac:dyDescent="0.25">
      <c r="A343" s="156" t="s">
        <v>546</v>
      </c>
      <c r="B343" s="156" t="s">
        <v>139</v>
      </c>
      <c r="C343" s="156" t="s">
        <v>140</v>
      </c>
      <c r="D343" s="156" t="s">
        <v>541</v>
      </c>
      <c r="E343" s="179">
        <v>1381495000</v>
      </c>
      <c r="F343" s="179">
        <v>765215316</v>
      </c>
      <c r="G343" s="179">
        <v>765215316</v>
      </c>
      <c r="H343" s="179">
        <v>0</v>
      </c>
      <c r="I343" s="179">
        <v>140261132.28</v>
      </c>
      <c r="J343" s="179">
        <v>0</v>
      </c>
      <c r="K343" s="179">
        <v>507895714.69</v>
      </c>
      <c r="L343" s="179">
        <v>425831715.20999998</v>
      </c>
      <c r="M343" s="179">
        <v>117058469.03</v>
      </c>
      <c r="N343" s="179">
        <v>117058469.03</v>
      </c>
    </row>
    <row r="344" spans="1:14" s="156" customFormat="1" x14ac:dyDescent="0.25">
      <c r="A344" s="156" t="s">
        <v>546</v>
      </c>
      <c r="B344" s="156" t="s">
        <v>141</v>
      </c>
      <c r="C344" s="156" t="s">
        <v>142</v>
      </c>
      <c r="D344" s="156" t="s">
        <v>541</v>
      </c>
      <c r="E344" s="179">
        <v>93642000</v>
      </c>
      <c r="F344" s="179">
        <v>156791998</v>
      </c>
      <c r="G344" s="179">
        <v>156791998</v>
      </c>
      <c r="H344" s="179">
        <v>0</v>
      </c>
      <c r="I344" s="179">
        <v>77359427.010000005</v>
      </c>
      <c r="J344" s="179">
        <v>0</v>
      </c>
      <c r="K344" s="179">
        <v>78403220.989999995</v>
      </c>
      <c r="L344" s="179">
        <v>70370196.099999994</v>
      </c>
      <c r="M344" s="179">
        <v>1029350</v>
      </c>
      <c r="N344" s="179">
        <v>1029350</v>
      </c>
    </row>
    <row r="345" spans="1:14" s="156" customFormat="1" x14ac:dyDescent="0.25">
      <c r="A345" s="156" t="s">
        <v>546</v>
      </c>
      <c r="B345" s="156" t="s">
        <v>143</v>
      </c>
      <c r="C345" s="156" t="s">
        <v>144</v>
      </c>
      <c r="D345" s="156" t="s">
        <v>541</v>
      </c>
      <c r="E345" s="179">
        <v>5449000</v>
      </c>
      <c r="F345" s="179">
        <v>8557560</v>
      </c>
      <c r="G345" s="179">
        <v>8557560</v>
      </c>
      <c r="H345" s="179">
        <v>0</v>
      </c>
      <c r="I345" s="179">
        <v>2525180</v>
      </c>
      <c r="J345" s="179">
        <v>0</v>
      </c>
      <c r="K345" s="179">
        <v>5757380</v>
      </c>
      <c r="L345" s="179">
        <v>3444700</v>
      </c>
      <c r="M345" s="179">
        <v>275000</v>
      </c>
      <c r="N345" s="179">
        <v>275000</v>
      </c>
    </row>
    <row r="346" spans="1:14" s="156" customFormat="1" x14ac:dyDescent="0.25">
      <c r="A346" s="156" t="s">
        <v>546</v>
      </c>
      <c r="B346" s="156" t="s">
        <v>145</v>
      </c>
      <c r="C346" s="156" t="s">
        <v>146</v>
      </c>
      <c r="D346" s="156" t="s">
        <v>541</v>
      </c>
      <c r="E346" s="179">
        <v>1149000</v>
      </c>
      <c r="F346" s="179">
        <v>4257560</v>
      </c>
      <c r="G346" s="179">
        <v>4257560</v>
      </c>
      <c r="H346" s="179">
        <v>0</v>
      </c>
      <c r="I346" s="179">
        <v>1482540</v>
      </c>
      <c r="J346" s="179">
        <v>0</v>
      </c>
      <c r="K346" s="179">
        <v>2775020</v>
      </c>
      <c r="L346" s="179">
        <v>462340</v>
      </c>
      <c r="M346" s="179">
        <v>0</v>
      </c>
      <c r="N346" s="179">
        <v>0</v>
      </c>
    </row>
    <row r="347" spans="1:14" s="156" customFormat="1" x14ac:dyDescent="0.25">
      <c r="A347" s="156" t="s">
        <v>546</v>
      </c>
      <c r="B347" s="156" t="s">
        <v>147</v>
      </c>
      <c r="C347" s="156" t="s">
        <v>148</v>
      </c>
      <c r="D347" s="156" t="s">
        <v>541</v>
      </c>
      <c r="E347" s="179">
        <v>4300000</v>
      </c>
      <c r="F347" s="179">
        <v>4300000</v>
      </c>
      <c r="G347" s="179">
        <v>4300000</v>
      </c>
      <c r="H347" s="179">
        <v>0</v>
      </c>
      <c r="I347" s="179">
        <v>1042640</v>
      </c>
      <c r="J347" s="179">
        <v>0</v>
      </c>
      <c r="K347" s="179">
        <v>2982360</v>
      </c>
      <c r="L347" s="179">
        <v>2982360</v>
      </c>
      <c r="M347" s="179">
        <v>275000</v>
      </c>
      <c r="N347" s="179">
        <v>275000</v>
      </c>
    </row>
    <row r="348" spans="1:14" s="156" customFormat="1" x14ac:dyDescent="0.25">
      <c r="A348" s="156" t="s">
        <v>546</v>
      </c>
      <c r="B348" s="156" t="s">
        <v>151</v>
      </c>
      <c r="C348" s="156" t="s">
        <v>152</v>
      </c>
      <c r="D348" s="156" t="s">
        <v>541</v>
      </c>
      <c r="E348" s="179">
        <v>232183000</v>
      </c>
      <c r="F348" s="179">
        <v>328109093</v>
      </c>
      <c r="G348" s="179">
        <v>328109093</v>
      </c>
      <c r="H348" s="179">
        <v>0</v>
      </c>
      <c r="I348" s="179">
        <v>43241010.710000001</v>
      </c>
      <c r="J348" s="179">
        <v>0</v>
      </c>
      <c r="K348" s="179">
        <v>217803085.81999999</v>
      </c>
      <c r="L348" s="179">
        <v>146881863.78999999</v>
      </c>
      <c r="M348" s="179">
        <v>67064996.469999999</v>
      </c>
      <c r="N348" s="179">
        <v>67064996.469999999</v>
      </c>
    </row>
    <row r="349" spans="1:14" s="156" customFormat="1" x14ac:dyDescent="0.25">
      <c r="A349" s="156" t="s">
        <v>546</v>
      </c>
      <c r="B349" s="156" t="s">
        <v>359</v>
      </c>
      <c r="C349" s="156" t="s">
        <v>632</v>
      </c>
      <c r="D349" s="156" t="s">
        <v>541</v>
      </c>
      <c r="E349" s="179">
        <v>24045000</v>
      </c>
      <c r="F349" s="179">
        <v>24045000</v>
      </c>
      <c r="G349" s="179">
        <v>24045000</v>
      </c>
      <c r="H349" s="179">
        <v>0</v>
      </c>
      <c r="I349" s="179">
        <v>190000</v>
      </c>
      <c r="J349" s="179">
        <v>0</v>
      </c>
      <c r="K349" s="179">
        <v>21771056</v>
      </c>
      <c r="L349" s="179">
        <v>1811000</v>
      </c>
      <c r="M349" s="179">
        <v>2083944</v>
      </c>
      <c r="N349" s="179">
        <v>2083944</v>
      </c>
    </row>
    <row r="350" spans="1:14" s="156" customFormat="1" x14ac:dyDescent="0.25">
      <c r="A350" s="156" t="s">
        <v>546</v>
      </c>
      <c r="B350" s="156" t="s">
        <v>330</v>
      </c>
      <c r="C350" s="156" t="s">
        <v>628</v>
      </c>
      <c r="D350" s="156" t="s">
        <v>541</v>
      </c>
      <c r="E350" s="179">
        <v>36500000</v>
      </c>
      <c r="F350" s="179">
        <v>86966885</v>
      </c>
      <c r="G350" s="179">
        <v>86966885</v>
      </c>
      <c r="H350" s="179">
        <v>0</v>
      </c>
      <c r="I350" s="179">
        <v>24917663.219999999</v>
      </c>
      <c r="J350" s="179">
        <v>0</v>
      </c>
      <c r="K350" s="179">
        <v>58096631.350000001</v>
      </c>
      <c r="L350" s="179">
        <v>34435628.340000004</v>
      </c>
      <c r="M350" s="179">
        <v>3952590.43</v>
      </c>
      <c r="N350" s="179">
        <v>3952590.43</v>
      </c>
    </row>
    <row r="351" spans="1:14" s="156" customFormat="1" x14ac:dyDescent="0.25">
      <c r="A351" s="156" t="s">
        <v>546</v>
      </c>
      <c r="B351" s="156" t="s">
        <v>154</v>
      </c>
      <c r="C351" s="156" t="s">
        <v>155</v>
      </c>
      <c r="D351" s="156" t="s">
        <v>541</v>
      </c>
      <c r="E351" s="179">
        <v>142000000</v>
      </c>
      <c r="F351" s="179">
        <v>133851875</v>
      </c>
      <c r="G351" s="179">
        <v>133851875</v>
      </c>
      <c r="H351" s="179">
        <v>0</v>
      </c>
      <c r="I351" s="179">
        <v>12755027.810000001</v>
      </c>
      <c r="J351" s="179">
        <v>0</v>
      </c>
      <c r="K351" s="179">
        <v>105114269.17</v>
      </c>
      <c r="L351" s="179">
        <v>81792487.079999998</v>
      </c>
      <c r="M351" s="179">
        <v>15982578.02</v>
      </c>
      <c r="N351" s="179">
        <v>15982578.02</v>
      </c>
    </row>
    <row r="352" spans="1:14" s="156" customFormat="1" x14ac:dyDescent="0.25">
      <c r="A352" s="156" t="s">
        <v>546</v>
      </c>
      <c r="B352" s="156" t="s">
        <v>156</v>
      </c>
      <c r="C352" s="156" t="s">
        <v>157</v>
      </c>
      <c r="D352" s="156" t="s">
        <v>541</v>
      </c>
      <c r="E352" s="179">
        <v>29638000</v>
      </c>
      <c r="F352" s="179">
        <v>83245333</v>
      </c>
      <c r="G352" s="179">
        <v>83245333</v>
      </c>
      <c r="H352" s="179">
        <v>0</v>
      </c>
      <c r="I352" s="179">
        <v>5378319.6799999997</v>
      </c>
      <c r="J352" s="179">
        <v>0</v>
      </c>
      <c r="K352" s="179">
        <v>32821129.300000001</v>
      </c>
      <c r="L352" s="179">
        <v>28842748.370000001</v>
      </c>
      <c r="M352" s="179">
        <v>45045884.020000003</v>
      </c>
      <c r="N352" s="179">
        <v>45045884.020000003</v>
      </c>
    </row>
    <row r="353" spans="1:14" s="156" customFormat="1" x14ac:dyDescent="0.25">
      <c r="A353" s="156" t="s">
        <v>546</v>
      </c>
      <c r="B353" s="156" t="s">
        <v>158</v>
      </c>
      <c r="C353" s="156" t="s">
        <v>159</v>
      </c>
      <c r="D353" s="156" t="s">
        <v>541</v>
      </c>
      <c r="E353" s="179">
        <v>158364000</v>
      </c>
      <c r="F353" s="179">
        <v>159170448.31999999</v>
      </c>
      <c r="G353" s="179">
        <v>159170448.31999999</v>
      </c>
      <c r="H353" s="179">
        <v>0</v>
      </c>
      <c r="I353" s="179">
        <v>48928240</v>
      </c>
      <c r="J353" s="179">
        <v>0</v>
      </c>
      <c r="K353" s="179">
        <v>103877715</v>
      </c>
      <c r="L353" s="179">
        <v>103825915</v>
      </c>
      <c r="M353" s="179">
        <v>6364493.3200000003</v>
      </c>
      <c r="N353" s="179">
        <v>6364493.3200000003</v>
      </c>
    </row>
    <row r="354" spans="1:14" s="156" customFormat="1" x14ac:dyDescent="0.25">
      <c r="A354" s="156" t="s">
        <v>546</v>
      </c>
      <c r="B354" s="156" t="s">
        <v>160</v>
      </c>
      <c r="C354" s="156" t="s">
        <v>161</v>
      </c>
      <c r="D354" s="156" t="s">
        <v>541</v>
      </c>
      <c r="E354" s="179">
        <v>8364000</v>
      </c>
      <c r="F354" s="179">
        <v>8364000</v>
      </c>
      <c r="G354" s="179">
        <v>8364000</v>
      </c>
      <c r="H354" s="179">
        <v>0</v>
      </c>
      <c r="I354" s="179">
        <v>2514210</v>
      </c>
      <c r="J354" s="179">
        <v>0</v>
      </c>
      <c r="K354" s="179">
        <v>5614570</v>
      </c>
      <c r="L354" s="179">
        <v>5614570</v>
      </c>
      <c r="M354" s="179">
        <v>235220</v>
      </c>
      <c r="N354" s="179">
        <v>235220</v>
      </c>
    </row>
    <row r="355" spans="1:14" s="156" customFormat="1" x14ac:dyDescent="0.25">
      <c r="A355" s="156" t="s">
        <v>546</v>
      </c>
      <c r="B355" s="156" t="s">
        <v>162</v>
      </c>
      <c r="C355" s="156" t="s">
        <v>163</v>
      </c>
      <c r="D355" s="156" t="s">
        <v>541</v>
      </c>
      <c r="E355" s="179">
        <v>150000000</v>
      </c>
      <c r="F355" s="179">
        <v>150000000</v>
      </c>
      <c r="G355" s="179">
        <v>150000000</v>
      </c>
      <c r="H355" s="179">
        <v>0</v>
      </c>
      <c r="I355" s="179">
        <v>46414030</v>
      </c>
      <c r="J355" s="179">
        <v>0</v>
      </c>
      <c r="K355" s="179">
        <v>98263145</v>
      </c>
      <c r="L355" s="179">
        <v>98211345</v>
      </c>
      <c r="M355" s="179">
        <v>5322825</v>
      </c>
      <c r="N355" s="179">
        <v>5322825</v>
      </c>
    </row>
    <row r="356" spans="1:14" s="156" customFormat="1" x14ac:dyDescent="0.25">
      <c r="A356" s="156" t="s">
        <v>546</v>
      </c>
      <c r="B356" s="156" t="s">
        <v>164</v>
      </c>
      <c r="C356" s="156" t="s">
        <v>165</v>
      </c>
      <c r="D356" s="156" t="s">
        <v>541</v>
      </c>
      <c r="E356" s="179">
        <v>0</v>
      </c>
      <c r="F356" s="179">
        <v>271810.02</v>
      </c>
      <c r="G356" s="179">
        <v>271810.02</v>
      </c>
      <c r="H356" s="179">
        <v>0</v>
      </c>
      <c r="I356" s="179">
        <v>0</v>
      </c>
      <c r="J356" s="179">
        <v>0</v>
      </c>
      <c r="K356" s="179">
        <v>0</v>
      </c>
      <c r="L356" s="179">
        <v>0</v>
      </c>
      <c r="M356" s="179">
        <v>271810.02</v>
      </c>
      <c r="N356" s="179">
        <v>271810.02</v>
      </c>
    </row>
    <row r="357" spans="1:14" s="156" customFormat="1" x14ac:dyDescent="0.25">
      <c r="A357" s="156" t="s">
        <v>546</v>
      </c>
      <c r="B357" s="156" t="s">
        <v>166</v>
      </c>
      <c r="C357" s="156" t="s">
        <v>167</v>
      </c>
      <c r="D357" s="156" t="s">
        <v>541</v>
      </c>
      <c r="E357" s="179">
        <v>0</v>
      </c>
      <c r="F357" s="179">
        <v>534638.30000000005</v>
      </c>
      <c r="G357" s="179">
        <v>534638.30000000005</v>
      </c>
      <c r="H357" s="179">
        <v>0</v>
      </c>
      <c r="I357" s="179">
        <v>0</v>
      </c>
      <c r="J357" s="179">
        <v>0</v>
      </c>
      <c r="K357" s="179">
        <v>0</v>
      </c>
      <c r="L357" s="179">
        <v>0</v>
      </c>
      <c r="M357" s="179">
        <v>534638.30000000005</v>
      </c>
      <c r="N357" s="179">
        <v>534638.30000000005</v>
      </c>
    </row>
    <row r="358" spans="1:14" s="156" customFormat="1" x14ac:dyDescent="0.25">
      <c r="A358" s="156" t="s">
        <v>546</v>
      </c>
      <c r="B358" s="156" t="s">
        <v>168</v>
      </c>
      <c r="C358" s="156" t="s">
        <v>169</v>
      </c>
      <c r="D358" s="156" t="s">
        <v>541</v>
      </c>
      <c r="E358" s="179">
        <v>1404477000</v>
      </c>
      <c r="F358" s="179">
        <v>1404477000</v>
      </c>
      <c r="G358" s="179">
        <v>1404477000</v>
      </c>
      <c r="H358" s="179">
        <v>0</v>
      </c>
      <c r="I358" s="179">
        <v>148734876</v>
      </c>
      <c r="J358" s="179">
        <v>0</v>
      </c>
      <c r="K358" s="179">
        <v>1036740286</v>
      </c>
      <c r="L358" s="179">
        <v>996217321</v>
      </c>
      <c r="M358" s="179">
        <v>219001838</v>
      </c>
      <c r="N358" s="179">
        <v>219001838</v>
      </c>
    </row>
    <row r="359" spans="1:14" s="156" customFormat="1" x14ac:dyDescent="0.25">
      <c r="A359" s="156" t="s">
        <v>546</v>
      </c>
      <c r="B359" s="156" t="s">
        <v>170</v>
      </c>
      <c r="C359" s="156" t="s">
        <v>171</v>
      </c>
      <c r="D359" s="156" t="s">
        <v>541</v>
      </c>
      <c r="E359" s="179">
        <v>1404477000</v>
      </c>
      <c r="F359" s="179">
        <v>1404477000</v>
      </c>
      <c r="G359" s="179">
        <v>1404477000</v>
      </c>
      <c r="H359" s="179">
        <v>0</v>
      </c>
      <c r="I359" s="179">
        <v>148734876</v>
      </c>
      <c r="J359" s="179">
        <v>0</v>
      </c>
      <c r="K359" s="179">
        <v>1036740286</v>
      </c>
      <c r="L359" s="179">
        <v>996217321</v>
      </c>
      <c r="M359" s="179">
        <v>219001838</v>
      </c>
      <c r="N359" s="179">
        <v>219001838</v>
      </c>
    </row>
    <row r="360" spans="1:14" s="156" customFormat="1" x14ac:dyDescent="0.25">
      <c r="A360" s="156" t="s">
        <v>546</v>
      </c>
      <c r="B360" s="156" t="s">
        <v>172</v>
      </c>
      <c r="C360" s="156" t="s">
        <v>173</v>
      </c>
      <c r="D360" s="156" t="s">
        <v>541</v>
      </c>
      <c r="E360" s="179">
        <v>1000000</v>
      </c>
      <c r="F360" s="179">
        <v>860000</v>
      </c>
      <c r="G360" s="179">
        <v>860000</v>
      </c>
      <c r="H360" s="179">
        <v>0</v>
      </c>
      <c r="I360" s="179">
        <v>0</v>
      </c>
      <c r="J360" s="179">
        <v>0</v>
      </c>
      <c r="K360" s="179">
        <v>860000</v>
      </c>
      <c r="L360" s="179">
        <v>860000</v>
      </c>
      <c r="M360" s="179">
        <v>0</v>
      </c>
      <c r="N360" s="179">
        <v>0</v>
      </c>
    </row>
    <row r="361" spans="1:14" s="156" customFormat="1" x14ac:dyDescent="0.25">
      <c r="A361" s="156" t="s">
        <v>546</v>
      </c>
      <c r="B361" s="156" t="s">
        <v>309</v>
      </c>
      <c r="C361" s="156" t="s">
        <v>310</v>
      </c>
      <c r="D361" s="156" t="s">
        <v>541</v>
      </c>
      <c r="E361" s="179">
        <v>1000000</v>
      </c>
      <c r="F361" s="179">
        <v>860000</v>
      </c>
      <c r="G361" s="179">
        <v>860000</v>
      </c>
      <c r="H361" s="179">
        <v>0</v>
      </c>
      <c r="I361" s="179">
        <v>0</v>
      </c>
      <c r="J361" s="179">
        <v>0</v>
      </c>
      <c r="K361" s="179">
        <v>860000</v>
      </c>
      <c r="L361" s="179">
        <v>860000</v>
      </c>
      <c r="M361" s="179">
        <v>0</v>
      </c>
      <c r="N361" s="179">
        <v>0</v>
      </c>
    </row>
    <row r="362" spans="1:14" s="156" customFormat="1" x14ac:dyDescent="0.25">
      <c r="A362" s="156" t="s">
        <v>546</v>
      </c>
      <c r="B362" s="156" t="s">
        <v>178</v>
      </c>
      <c r="C362" s="156" t="s">
        <v>179</v>
      </c>
      <c r="D362" s="156" t="s">
        <v>541</v>
      </c>
      <c r="E362" s="179">
        <v>1092012000</v>
      </c>
      <c r="F362" s="179">
        <v>817691575</v>
      </c>
      <c r="G362" s="179">
        <v>817691575</v>
      </c>
      <c r="H362" s="179">
        <v>0</v>
      </c>
      <c r="I362" s="179">
        <v>245106148.31</v>
      </c>
      <c r="J362" s="179">
        <v>0</v>
      </c>
      <c r="K362" s="179">
        <v>428940646.92000002</v>
      </c>
      <c r="L362" s="179">
        <v>326706003.31999999</v>
      </c>
      <c r="M362" s="179">
        <v>143644779.77000001</v>
      </c>
      <c r="N362" s="179">
        <v>143644779.77000001</v>
      </c>
    </row>
    <row r="363" spans="1:14" s="156" customFormat="1" x14ac:dyDescent="0.25">
      <c r="A363" s="156" t="s">
        <v>546</v>
      </c>
      <c r="B363" s="156" t="s">
        <v>180</v>
      </c>
      <c r="C363" s="156" t="s">
        <v>181</v>
      </c>
      <c r="D363" s="156" t="s">
        <v>541</v>
      </c>
      <c r="E363" s="179">
        <v>40000000</v>
      </c>
      <c r="F363" s="179">
        <v>108187087</v>
      </c>
      <c r="G363" s="179">
        <v>108187087</v>
      </c>
      <c r="H363" s="179">
        <v>0</v>
      </c>
      <c r="I363" s="179">
        <v>23008.85</v>
      </c>
      <c r="J363" s="179">
        <v>0</v>
      </c>
      <c r="K363" s="179">
        <v>76991.149999999994</v>
      </c>
      <c r="L363" s="179">
        <v>76991.149999999994</v>
      </c>
      <c r="M363" s="179">
        <v>108087087</v>
      </c>
      <c r="N363" s="179">
        <v>108087087</v>
      </c>
    </row>
    <row r="364" spans="1:14" s="156" customFormat="1" x14ac:dyDescent="0.25">
      <c r="A364" s="156" t="s">
        <v>546</v>
      </c>
      <c r="B364" s="156" t="s">
        <v>332</v>
      </c>
      <c r="C364" s="156" t="s">
        <v>333</v>
      </c>
      <c r="D364" s="156" t="s">
        <v>541</v>
      </c>
      <c r="E364" s="179">
        <v>550000000</v>
      </c>
      <c r="F364" s="179">
        <v>327160642</v>
      </c>
      <c r="G364" s="179">
        <v>327160642</v>
      </c>
      <c r="H364" s="179">
        <v>0</v>
      </c>
      <c r="I364" s="179">
        <v>135135532.81</v>
      </c>
      <c r="J364" s="179">
        <v>0</v>
      </c>
      <c r="K364" s="179">
        <v>191994376.80000001</v>
      </c>
      <c r="L364" s="179">
        <v>139521845.13999999</v>
      </c>
      <c r="M364" s="179">
        <v>30732.39</v>
      </c>
      <c r="N364" s="179">
        <v>30732.39</v>
      </c>
    </row>
    <row r="365" spans="1:14" s="156" customFormat="1" x14ac:dyDescent="0.25">
      <c r="A365" s="156" t="s">
        <v>546</v>
      </c>
      <c r="B365" s="156" t="s">
        <v>182</v>
      </c>
      <c r="C365" s="156" t="s">
        <v>183</v>
      </c>
      <c r="D365" s="156" t="s">
        <v>541</v>
      </c>
      <c r="E365" s="179">
        <v>165180000</v>
      </c>
      <c r="F365" s="179">
        <v>165180000</v>
      </c>
      <c r="G365" s="179">
        <v>165180000</v>
      </c>
      <c r="H365" s="179">
        <v>0</v>
      </c>
      <c r="I365" s="179">
        <v>57170253.380000003</v>
      </c>
      <c r="J365" s="179">
        <v>0</v>
      </c>
      <c r="K365" s="179">
        <v>97258989.400000006</v>
      </c>
      <c r="L365" s="179">
        <v>82912770.980000004</v>
      </c>
      <c r="M365" s="179">
        <v>10750757.220000001</v>
      </c>
      <c r="N365" s="179">
        <v>10750757.220000001</v>
      </c>
    </row>
    <row r="366" spans="1:14" s="156" customFormat="1" x14ac:dyDescent="0.25">
      <c r="A366" s="156" t="s">
        <v>546</v>
      </c>
      <c r="B366" s="156" t="s">
        <v>184</v>
      </c>
      <c r="C366" s="156" t="s">
        <v>185</v>
      </c>
      <c r="D366" s="156" t="s">
        <v>541</v>
      </c>
      <c r="E366" s="179">
        <v>6623000</v>
      </c>
      <c r="F366" s="179">
        <v>413000</v>
      </c>
      <c r="G366" s="179">
        <v>413000</v>
      </c>
      <c r="H366" s="179">
        <v>0</v>
      </c>
      <c r="I366" s="179">
        <v>0</v>
      </c>
      <c r="J366" s="179">
        <v>0</v>
      </c>
      <c r="K366" s="179">
        <v>380855</v>
      </c>
      <c r="L366" s="179">
        <v>380855</v>
      </c>
      <c r="M366" s="179">
        <v>32145</v>
      </c>
      <c r="N366" s="179">
        <v>32145</v>
      </c>
    </row>
    <row r="367" spans="1:14" s="156" customFormat="1" x14ac:dyDescent="0.25">
      <c r="A367" s="156" t="s">
        <v>546</v>
      </c>
      <c r="B367" s="156" t="s">
        <v>186</v>
      </c>
      <c r="C367" s="156" t="s">
        <v>187</v>
      </c>
      <c r="D367" s="156" t="s">
        <v>541</v>
      </c>
      <c r="E367" s="179">
        <v>24424000</v>
      </c>
      <c r="F367" s="179">
        <v>20018759</v>
      </c>
      <c r="G367" s="179">
        <v>20018759</v>
      </c>
      <c r="H367" s="179">
        <v>0</v>
      </c>
      <c r="I367" s="179">
        <v>9223000</v>
      </c>
      <c r="J367" s="179">
        <v>0</v>
      </c>
      <c r="K367" s="179">
        <v>9346092</v>
      </c>
      <c r="L367" s="179">
        <v>5659092</v>
      </c>
      <c r="M367" s="179">
        <v>1449667</v>
      </c>
      <c r="N367" s="179">
        <v>1449667</v>
      </c>
    </row>
    <row r="368" spans="1:14" s="156" customFormat="1" x14ac:dyDescent="0.25">
      <c r="A368" s="156" t="s">
        <v>546</v>
      </c>
      <c r="B368" s="156" t="s">
        <v>188</v>
      </c>
      <c r="C368" s="156" t="s">
        <v>189</v>
      </c>
      <c r="D368" s="156" t="s">
        <v>541</v>
      </c>
      <c r="E368" s="179">
        <v>80000000</v>
      </c>
      <c r="F368" s="179">
        <v>37495119</v>
      </c>
      <c r="G368" s="179">
        <v>37495119</v>
      </c>
      <c r="H368" s="179">
        <v>0</v>
      </c>
      <c r="I368" s="179">
        <v>11286474.789999999</v>
      </c>
      <c r="J368" s="179">
        <v>0</v>
      </c>
      <c r="K368" s="179">
        <v>10621057.369999999</v>
      </c>
      <c r="L368" s="179">
        <v>9616975.2599999998</v>
      </c>
      <c r="M368" s="179">
        <v>15587586.84</v>
      </c>
      <c r="N368" s="179">
        <v>15587586.84</v>
      </c>
    </row>
    <row r="369" spans="1:14" s="156" customFormat="1" x14ac:dyDescent="0.25">
      <c r="A369" s="156" t="s">
        <v>546</v>
      </c>
      <c r="B369" s="156" t="s">
        <v>190</v>
      </c>
      <c r="C369" s="156" t="s">
        <v>191</v>
      </c>
      <c r="D369" s="156" t="s">
        <v>541</v>
      </c>
      <c r="E369" s="179">
        <v>225785000</v>
      </c>
      <c r="F369" s="179">
        <v>159236968</v>
      </c>
      <c r="G369" s="179">
        <v>159236968</v>
      </c>
      <c r="H369" s="179">
        <v>0</v>
      </c>
      <c r="I369" s="179">
        <v>32267878.48</v>
      </c>
      <c r="J369" s="179">
        <v>0</v>
      </c>
      <c r="K369" s="179">
        <v>119262285.2</v>
      </c>
      <c r="L369" s="179">
        <v>88537473.790000007</v>
      </c>
      <c r="M369" s="179">
        <v>7706804.3200000003</v>
      </c>
      <c r="N369" s="179">
        <v>7706804.3200000003</v>
      </c>
    </row>
    <row r="370" spans="1:14" s="156" customFormat="1" x14ac:dyDescent="0.25">
      <c r="A370" s="156" t="s">
        <v>546</v>
      </c>
      <c r="B370" s="156" t="s">
        <v>192</v>
      </c>
      <c r="C370" s="156" t="s">
        <v>193</v>
      </c>
      <c r="D370" s="156" t="s">
        <v>541</v>
      </c>
      <c r="E370" s="179">
        <v>16000000</v>
      </c>
      <c r="F370" s="179">
        <v>16000000</v>
      </c>
      <c r="G370" s="179">
        <v>16000000</v>
      </c>
      <c r="H370" s="179">
        <v>0</v>
      </c>
      <c r="I370" s="179">
        <v>1811101</v>
      </c>
      <c r="J370" s="179">
        <v>0</v>
      </c>
      <c r="K370" s="179">
        <v>9505113</v>
      </c>
      <c r="L370" s="179">
        <v>135141</v>
      </c>
      <c r="M370" s="179">
        <v>4683786</v>
      </c>
      <c r="N370" s="179">
        <v>4683786</v>
      </c>
    </row>
    <row r="371" spans="1:14" s="156" customFormat="1" x14ac:dyDescent="0.25">
      <c r="A371" s="156" t="s">
        <v>546</v>
      </c>
      <c r="B371" s="156" t="s">
        <v>194</v>
      </c>
      <c r="C371" s="156" t="s">
        <v>195</v>
      </c>
      <c r="D371" s="156" t="s">
        <v>541</v>
      </c>
      <c r="E371" s="179">
        <v>16000000</v>
      </c>
      <c r="F371" s="179">
        <v>16000000</v>
      </c>
      <c r="G371" s="179">
        <v>16000000</v>
      </c>
      <c r="H371" s="179">
        <v>0</v>
      </c>
      <c r="I371" s="179">
        <v>1811101</v>
      </c>
      <c r="J371" s="179">
        <v>0</v>
      </c>
      <c r="K371" s="179">
        <v>9505113</v>
      </c>
      <c r="L371" s="179">
        <v>135141</v>
      </c>
      <c r="M371" s="179">
        <v>4683786</v>
      </c>
      <c r="N371" s="179">
        <v>4683786</v>
      </c>
    </row>
    <row r="372" spans="1:14" s="156" customFormat="1" x14ac:dyDescent="0.25">
      <c r="A372" s="156" t="s">
        <v>546</v>
      </c>
      <c r="B372" s="156" t="s">
        <v>196</v>
      </c>
      <c r="C372" s="156" t="s">
        <v>197</v>
      </c>
      <c r="D372" s="156" t="s">
        <v>541</v>
      </c>
      <c r="E372" s="179">
        <v>37925000</v>
      </c>
      <c r="F372" s="179">
        <v>86193515</v>
      </c>
      <c r="G372" s="179">
        <v>86193515</v>
      </c>
      <c r="H372" s="179">
        <v>0</v>
      </c>
      <c r="I372" s="179">
        <v>62670364.710000001</v>
      </c>
      <c r="J372" s="179">
        <v>0</v>
      </c>
      <c r="K372" s="179">
        <v>19424058.91</v>
      </c>
      <c r="L372" s="179">
        <v>9729792.4800000004</v>
      </c>
      <c r="M372" s="179">
        <v>4099091.38</v>
      </c>
      <c r="N372" s="179">
        <v>4099091.38</v>
      </c>
    </row>
    <row r="373" spans="1:14" s="156" customFormat="1" x14ac:dyDescent="0.25">
      <c r="A373" s="156" t="s">
        <v>546</v>
      </c>
      <c r="B373" s="156" t="s">
        <v>360</v>
      </c>
      <c r="C373" s="156" t="s">
        <v>361</v>
      </c>
      <c r="D373" s="156" t="s">
        <v>541</v>
      </c>
      <c r="E373" s="179">
        <v>4000000</v>
      </c>
      <c r="F373" s="179">
        <v>2268515</v>
      </c>
      <c r="G373" s="179">
        <v>2268515</v>
      </c>
      <c r="H373" s="179">
        <v>0</v>
      </c>
      <c r="I373" s="179">
        <v>466174</v>
      </c>
      <c r="J373" s="179">
        <v>0</v>
      </c>
      <c r="K373" s="179">
        <v>1801841.57</v>
      </c>
      <c r="L373" s="179">
        <v>624543.59</v>
      </c>
      <c r="M373" s="179">
        <v>499.43</v>
      </c>
      <c r="N373" s="179">
        <v>499.43</v>
      </c>
    </row>
    <row r="374" spans="1:14" s="156" customFormat="1" x14ac:dyDescent="0.25">
      <c r="A374" s="156" t="s">
        <v>546</v>
      </c>
      <c r="B374" s="156" t="s">
        <v>334</v>
      </c>
      <c r="C374" s="156" t="s">
        <v>335</v>
      </c>
      <c r="D374" s="156" t="s">
        <v>541</v>
      </c>
      <c r="E374" s="179">
        <v>3925000</v>
      </c>
      <c r="F374" s="179">
        <v>53925000</v>
      </c>
      <c r="G374" s="179">
        <v>53925000</v>
      </c>
      <c r="H374" s="179">
        <v>0</v>
      </c>
      <c r="I374" s="179">
        <v>47166460.710000001</v>
      </c>
      <c r="J374" s="179">
        <v>0</v>
      </c>
      <c r="K374" s="179">
        <v>6712217.3399999999</v>
      </c>
      <c r="L374" s="179">
        <v>6495248.8899999997</v>
      </c>
      <c r="M374" s="179">
        <v>46321.95</v>
      </c>
      <c r="N374" s="179">
        <v>46321.95</v>
      </c>
    </row>
    <row r="375" spans="1:14" s="156" customFormat="1" x14ac:dyDescent="0.25">
      <c r="A375" s="156" t="s">
        <v>546</v>
      </c>
      <c r="B375" s="156" t="s">
        <v>198</v>
      </c>
      <c r="C375" s="156" t="s">
        <v>199</v>
      </c>
      <c r="D375" s="156" t="s">
        <v>541</v>
      </c>
      <c r="E375" s="179">
        <v>30000000</v>
      </c>
      <c r="F375" s="179">
        <v>30000000</v>
      </c>
      <c r="G375" s="179">
        <v>30000000</v>
      </c>
      <c r="H375" s="179">
        <v>0</v>
      </c>
      <c r="I375" s="179">
        <v>15037730</v>
      </c>
      <c r="J375" s="179">
        <v>0</v>
      </c>
      <c r="K375" s="179">
        <v>10910000</v>
      </c>
      <c r="L375" s="179">
        <v>2610000</v>
      </c>
      <c r="M375" s="179">
        <v>4052270</v>
      </c>
      <c r="N375" s="179">
        <v>4052270</v>
      </c>
    </row>
    <row r="376" spans="1:14" s="156" customFormat="1" x14ac:dyDescent="0.25">
      <c r="A376" s="156" t="s">
        <v>546</v>
      </c>
      <c r="B376" s="156" t="s">
        <v>200</v>
      </c>
      <c r="C376" s="156" t="s">
        <v>201</v>
      </c>
      <c r="D376" s="156" t="s">
        <v>541</v>
      </c>
      <c r="E376" s="179">
        <v>16405848690</v>
      </c>
      <c r="F376" s="179">
        <v>15290513781.51</v>
      </c>
      <c r="G376" s="179">
        <v>15290513781.51</v>
      </c>
      <c r="H376" s="179">
        <v>0</v>
      </c>
      <c r="I376" s="179">
        <v>1195643706.96</v>
      </c>
      <c r="J376" s="179">
        <v>0</v>
      </c>
      <c r="K376" s="179">
        <v>13594442327.48</v>
      </c>
      <c r="L376" s="179">
        <v>11684495951</v>
      </c>
      <c r="M376" s="179">
        <v>500427747.06999999</v>
      </c>
      <c r="N376" s="179">
        <v>500427747.06999999</v>
      </c>
    </row>
    <row r="377" spans="1:14" s="156" customFormat="1" x14ac:dyDescent="0.25">
      <c r="A377" s="156" t="s">
        <v>546</v>
      </c>
      <c r="B377" s="156" t="s">
        <v>202</v>
      </c>
      <c r="C377" s="156" t="s">
        <v>203</v>
      </c>
      <c r="D377" s="156" t="s">
        <v>541</v>
      </c>
      <c r="E377" s="179">
        <v>917065000</v>
      </c>
      <c r="F377" s="179">
        <v>893159475</v>
      </c>
      <c r="G377" s="179">
        <v>893159475</v>
      </c>
      <c r="H377" s="179">
        <v>0</v>
      </c>
      <c r="I377" s="179">
        <v>58339744</v>
      </c>
      <c r="J377" s="179">
        <v>0</v>
      </c>
      <c r="K377" s="179">
        <v>824850672.11000001</v>
      </c>
      <c r="L377" s="179">
        <v>642699910.99000001</v>
      </c>
      <c r="M377" s="179">
        <v>9969058.8900000006</v>
      </c>
      <c r="N377" s="179">
        <v>9969058.8900000006</v>
      </c>
    </row>
    <row r="378" spans="1:14" s="156" customFormat="1" x14ac:dyDescent="0.25">
      <c r="A378" s="156" t="s">
        <v>546</v>
      </c>
      <c r="B378" s="156" t="s">
        <v>204</v>
      </c>
      <c r="C378" s="156" t="s">
        <v>205</v>
      </c>
      <c r="D378" s="156" t="s">
        <v>541</v>
      </c>
      <c r="E378" s="179">
        <v>633445000</v>
      </c>
      <c r="F378" s="179">
        <v>623445000</v>
      </c>
      <c r="G378" s="179">
        <v>623445000</v>
      </c>
      <c r="H378" s="179">
        <v>0</v>
      </c>
      <c r="I378" s="179">
        <v>57498373</v>
      </c>
      <c r="J378" s="179">
        <v>0</v>
      </c>
      <c r="K378" s="179">
        <v>564684834.11000001</v>
      </c>
      <c r="L378" s="179">
        <v>520726172.99000001</v>
      </c>
      <c r="M378" s="179">
        <v>1261792.8899999999</v>
      </c>
      <c r="N378" s="179">
        <v>1261792.8899999999</v>
      </c>
    </row>
    <row r="379" spans="1:14" s="156" customFormat="1" x14ac:dyDescent="0.25">
      <c r="A379" s="156" t="s">
        <v>546</v>
      </c>
      <c r="B379" s="156" t="s">
        <v>206</v>
      </c>
      <c r="C379" s="156" t="s">
        <v>207</v>
      </c>
      <c r="D379" s="156" t="s">
        <v>541</v>
      </c>
      <c r="E379" s="179">
        <v>216657000</v>
      </c>
      <c r="F379" s="179">
        <v>204939180</v>
      </c>
      <c r="G379" s="179">
        <v>204939180</v>
      </c>
      <c r="H379" s="179">
        <v>0</v>
      </c>
      <c r="I379" s="179">
        <v>820600</v>
      </c>
      <c r="J379" s="179">
        <v>0</v>
      </c>
      <c r="K379" s="179">
        <v>202850750</v>
      </c>
      <c r="L379" s="179">
        <v>67203150</v>
      </c>
      <c r="M379" s="179">
        <v>1267830</v>
      </c>
      <c r="N379" s="179">
        <v>1267830</v>
      </c>
    </row>
    <row r="380" spans="1:14" s="156" customFormat="1" x14ac:dyDescent="0.25">
      <c r="A380" s="156" t="s">
        <v>546</v>
      </c>
      <c r="B380" s="156" t="s">
        <v>362</v>
      </c>
      <c r="C380" s="156" t="s">
        <v>363</v>
      </c>
      <c r="D380" s="156" t="s">
        <v>541</v>
      </c>
      <c r="E380" s="179">
        <v>5824000</v>
      </c>
      <c r="F380" s="179">
        <v>5824000</v>
      </c>
      <c r="G380" s="179">
        <v>5824000</v>
      </c>
      <c r="H380" s="179">
        <v>0</v>
      </c>
      <c r="I380" s="179">
        <v>20771</v>
      </c>
      <c r="J380" s="179">
        <v>0</v>
      </c>
      <c r="K380" s="179">
        <v>279229</v>
      </c>
      <c r="L380" s="179">
        <v>279229</v>
      </c>
      <c r="M380" s="179">
        <v>5524000</v>
      </c>
      <c r="N380" s="179">
        <v>5524000</v>
      </c>
    </row>
    <row r="381" spans="1:14" s="156" customFormat="1" x14ac:dyDescent="0.25">
      <c r="A381" s="156" t="s">
        <v>546</v>
      </c>
      <c r="B381" s="156" t="s">
        <v>208</v>
      </c>
      <c r="C381" s="156" t="s">
        <v>209</v>
      </c>
      <c r="D381" s="156" t="s">
        <v>541</v>
      </c>
      <c r="E381" s="179">
        <v>53735000</v>
      </c>
      <c r="F381" s="179">
        <v>45909400</v>
      </c>
      <c r="G381" s="179">
        <v>45909400</v>
      </c>
      <c r="H381" s="179">
        <v>0</v>
      </c>
      <c r="I381" s="179">
        <v>0</v>
      </c>
      <c r="J381" s="179">
        <v>0</v>
      </c>
      <c r="K381" s="179">
        <v>45526119</v>
      </c>
      <c r="L381" s="179">
        <v>45526119</v>
      </c>
      <c r="M381" s="179">
        <v>383281</v>
      </c>
      <c r="N381" s="179">
        <v>383281</v>
      </c>
    </row>
    <row r="382" spans="1:14" s="156" customFormat="1" x14ac:dyDescent="0.25">
      <c r="A382" s="156" t="s">
        <v>546</v>
      </c>
      <c r="B382" s="156" t="s">
        <v>210</v>
      </c>
      <c r="C382" s="156" t="s">
        <v>211</v>
      </c>
      <c r="D382" s="156" t="s">
        <v>541</v>
      </c>
      <c r="E382" s="179">
        <v>7404000</v>
      </c>
      <c r="F382" s="179">
        <v>13041895</v>
      </c>
      <c r="G382" s="179">
        <v>13041895</v>
      </c>
      <c r="H382" s="179">
        <v>0</v>
      </c>
      <c r="I382" s="179">
        <v>0</v>
      </c>
      <c r="J382" s="179">
        <v>0</v>
      </c>
      <c r="K382" s="179">
        <v>11509740</v>
      </c>
      <c r="L382" s="179">
        <v>8965240</v>
      </c>
      <c r="M382" s="179">
        <v>1532155</v>
      </c>
      <c r="N382" s="179">
        <v>1532155</v>
      </c>
    </row>
    <row r="383" spans="1:14" s="156" customFormat="1" x14ac:dyDescent="0.25">
      <c r="A383" s="156" t="s">
        <v>546</v>
      </c>
      <c r="B383" s="156" t="s">
        <v>212</v>
      </c>
      <c r="C383" s="156" t="s">
        <v>213</v>
      </c>
      <c r="D383" s="156" t="s">
        <v>541</v>
      </c>
      <c r="E383" s="179">
        <v>11011103690</v>
      </c>
      <c r="F383" s="179">
        <v>10517884481.51</v>
      </c>
      <c r="G383" s="179">
        <v>10517884481.51</v>
      </c>
      <c r="H383" s="179">
        <v>0</v>
      </c>
      <c r="I383" s="179">
        <v>643622931.84000003</v>
      </c>
      <c r="J383" s="179">
        <v>0</v>
      </c>
      <c r="K383" s="179">
        <v>9833342319.7000008</v>
      </c>
      <c r="L383" s="179">
        <v>9023570120.7399998</v>
      </c>
      <c r="M383" s="179">
        <v>40919229.969999999</v>
      </c>
      <c r="N383" s="179">
        <v>40919229.969999999</v>
      </c>
    </row>
    <row r="384" spans="1:14" s="156" customFormat="1" x14ac:dyDescent="0.25">
      <c r="A384" s="156" t="s">
        <v>546</v>
      </c>
      <c r="B384" s="156" t="s">
        <v>214</v>
      </c>
      <c r="C384" s="156" t="s">
        <v>215</v>
      </c>
      <c r="D384" s="156" t="s">
        <v>541</v>
      </c>
      <c r="E384" s="179">
        <v>10999103690</v>
      </c>
      <c r="F384" s="179">
        <v>10505884481.51</v>
      </c>
      <c r="G384" s="179">
        <v>10505884481.51</v>
      </c>
      <c r="H384" s="179">
        <v>0</v>
      </c>
      <c r="I384" s="179">
        <v>643622931.84000003</v>
      </c>
      <c r="J384" s="179">
        <v>0</v>
      </c>
      <c r="K384" s="179">
        <v>9821355344.7000008</v>
      </c>
      <c r="L384" s="179">
        <v>9016650965.7399998</v>
      </c>
      <c r="M384" s="179">
        <v>40906204.969999999</v>
      </c>
      <c r="N384" s="179">
        <v>40906204.969999999</v>
      </c>
    </row>
    <row r="385" spans="1:14" s="156" customFormat="1" x14ac:dyDescent="0.25">
      <c r="A385" s="156" t="s">
        <v>546</v>
      </c>
      <c r="B385" s="156" t="s">
        <v>364</v>
      </c>
      <c r="C385" s="156" t="s">
        <v>365</v>
      </c>
      <c r="D385" s="156" t="s">
        <v>541</v>
      </c>
      <c r="E385" s="179">
        <v>12000000</v>
      </c>
      <c r="F385" s="179">
        <v>12000000</v>
      </c>
      <c r="G385" s="179">
        <v>12000000</v>
      </c>
      <c r="H385" s="179">
        <v>0</v>
      </c>
      <c r="I385" s="179">
        <v>0</v>
      </c>
      <c r="J385" s="179">
        <v>0</v>
      </c>
      <c r="K385" s="179">
        <v>11986975</v>
      </c>
      <c r="L385" s="179">
        <v>6919155</v>
      </c>
      <c r="M385" s="179">
        <v>13025</v>
      </c>
      <c r="N385" s="179">
        <v>13025</v>
      </c>
    </row>
    <row r="386" spans="1:14" s="156" customFormat="1" x14ac:dyDescent="0.25">
      <c r="A386" s="156" t="s">
        <v>546</v>
      </c>
      <c r="B386" s="156" t="s">
        <v>216</v>
      </c>
      <c r="C386" s="156" t="s">
        <v>217</v>
      </c>
      <c r="D386" s="156" t="s">
        <v>541</v>
      </c>
      <c r="E386" s="179">
        <v>1141773000</v>
      </c>
      <c r="F386" s="179">
        <v>727388654</v>
      </c>
      <c r="G386" s="179">
        <v>727388654</v>
      </c>
      <c r="H386" s="179">
        <v>0</v>
      </c>
      <c r="I386" s="179">
        <v>49176245.18</v>
      </c>
      <c r="J386" s="179">
        <v>0</v>
      </c>
      <c r="K386" s="179">
        <v>502694606.77999997</v>
      </c>
      <c r="L386" s="179">
        <v>330075174.08999997</v>
      </c>
      <c r="M386" s="179">
        <v>175517802.03999999</v>
      </c>
      <c r="N386" s="179">
        <v>175517802.03999999</v>
      </c>
    </row>
    <row r="387" spans="1:14" s="156" customFormat="1" x14ac:dyDescent="0.25">
      <c r="A387" s="156" t="s">
        <v>546</v>
      </c>
      <c r="B387" s="156" t="s">
        <v>218</v>
      </c>
      <c r="C387" s="156" t="s">
        <v>219</v>
      </c>
      <c r="D387" s="156" t="s">
        <v>541</v>
      </c>
      <c r="E387" s="179">
        <v>433000000</v>
      </c>
      <c r="F387" s="179">
        <v>294279374</v>
      </c>
      <c r="G387" s="179">
        <v>294279374</v>
      </c>
      <c r="H387" s="179">
        <v>0</v>
      </c>
      <c r="I387" s="179">
        <v>6019035</v>
      </c>
      <c r="J387" s="179">
        <v>0</v>
      </c>
      <c r="K387" s="179">
        <v>247173408.13</v>
      </c>
      <c r="L387" s="179">
        <v>164768893.28999999</v>
      </c>
      <c r="M387" s="179">
        <v>41086930.869999997</v>
      </c>
      <c r="N387" s="179">
        <v>41086930.869999997</v>
      </c>
    </row>
    <row r="388" spans="1:14" s="156" customFormat="1" x14ac:dyDescent="0.25">
      <c r="A388" s="156" t="s">
        <v>546</v>
      </c>
      <c r="B388" s="156" t="s">
        <v>336</v>
      </c>
      <c r="C388" s="156" t="s">
        <v>337</v>
      </c>
      <c r="D388" s="156" t="s">
        <v>541</v>
      </c>
      <c r="E388" s="179">
        <v>69048000</v>
      </c>
      <c r="F388" s="179">
        <v>69048000</v>
      </c>
      <c r="G388" s="179">
        <v>69048000</v>
      </c>
      <c r="H388" s="179">
        <v>0</v>
      </c>
      <c r="I388" s="179">
        <v>3935643</v>
      </c>
      <c r="J388" s="179">
        <v>0</v>
      </c>
      <c r="K388" s="179">
        <v>65109866.920000002</v>
      </c>
      <c r="L388" s="179">
        <v>34614699.920000002</v>
      </c>
      <c r="M388" s="179">
        <v>2490.08</v>
      </c>
      <c r="N388" s="179">
        <v>2490.08</v>
      </c>
    </row>
    <row r="389" spans="1:14" s="156" customFormat="1" x14ac:dyDescent="0.25">
      <c r="A389" s="156" t="s">
        <v>546</v>
      </c>
      <c r="B389" s="156" t="s">
        <v>338</v>
      </c>
      <c r="C389" s="156" t="s">
        <v>339</v>
      </c>
      <c r="D389" s="156" t="s">
        <v>541</v>
      </c>
      <c r="E389" s="179">
        <v>116458000</v>
      </c>
      <c r="F389" s="179">
        <v>97606469</v>
      </c>
      <c r="G389" s="179">
        <v>97606469</v>
      </c>
      <c r="H389" s="179">
        <v>0</v>
      </c>
      <c r="I389" s="179">
        <v>39170598</v>
      </c>
      <c r="J389" s="179">
        <v>0</v>
      </c>
      <c r="K389" s="179">
        <v>58406417.5</v>
      </c>
      <c r="L389" s="179">
        <v>34681337.5</v>
      </c>
      <c r="M389" s="179">
        <v>29453.5</v>
      </c>
      <c r="N389" s="179">
        <v>29453.5</v>
      </c>
    </row>
    <row r="390" spans="1:14" s="156" customFormat="1" x14ac:dyDescent="0.25">
      <c r="A390" s="156" t="s">
        <v>546</v>
      </c>
      <c r="B390" s="156" t="s">
        <v>220</v>
      </c>
      <c r="C390" s="156" t="s">
        <v>221</v>
      </c>
      <c r="D390" s="156" t="s">
        <v>541</v>
      </c>
      <c r="E390" s="179">
        <v>330000000</v>
      </c>
      <c r="F390" s="179">
        <v>148640637</v>
      </c>
      <c r="G390" s="179">
        <v>148640637</v>
      </c>
      <c r="H390" s="179">
        <v>0</v>
      </c>
      <c r="I390" s="179">
        <v>10000</v>
      </c>
      <c r="J390" s="179">
        <v>0</v>
      </c>
      <c r="K390" s="179">
        <v>36891896.770000003</v>
      </c>
      <c r="L390" s="179">
        <v>36891896.770000003</v>
      </c>
      <c r="M390" s="179">
        <v>111738740.23</v>
      </c>
      <c r="N390" s="179">
        <v>111738740.23</v>
      </c>
    </row>
    <row r="391" spans="1:14" s="156" customFormat="1" x14ac:dyDescent="0.25">
      <c r="A391" s="156" t="s">
        <v>546</v>
      </c>
      <c r="B391" s="156" t="s">
        <v>222</v>
      </c>
      <c r="C391" s="156" t="s">
        <v>223</v>
      </c>
      <c r="D391" s="156" t="s">
        <v>541</v>
      </c>
      <c r="E391" s="179">
        <v>7059000</v>
      </c>
      <c r="F391" s="179">
        <v>7059000</v>
      </c>
      <c r="G391" s="179">
        <v>7059000</v>
      </c>
      <c r="H391" s="179">
        <v>0</v>
      </c>
      <c r="I391" s="179">
        <v>0</v>
      </c>
      <c r="J391" s="179">
        <v>0</v>
      </c>
      <c r="K391" s="179">
        <v>7043000</v>
      </c>
      <c r="L391" s="179">
        <v>7043000</v>
      </c>
      <c r="M391" s="179">
        <v>16000</v>
      </c>
      <c r="N391" s="179">
        <v>16000</v>
      </c>
    </row>
    <row r="392" spans="1:14" s="156" customFormat="1" x14ac:dyDescent="0.25">
      <c r="A392" s="156" t="s">
        <v>546</v>
      </c>
      <c r="B392" s="156" t="s">
        <v>224</v>
      </c>
      <c r="C392" s="156" t="s">
        <v>225</v>
      </c>
      <c r="D392" s="156" t="s">
        <v>541</v>
      </c>
      <c r="E392" s="179">
        <v>151074000</v>
      </c>
      <c r="F392" s="179">
        <v>85190514</v>
      </c>
      <c r="G392" s="179">
        <v>85190514</v>
      </c>
      <c r="H392" s="179">
        <v>0</v>
      </c>
      <c r="I392" s="179">
        <v>40969.18</v>
      </c>
      <c r="J392" s="179">
        <v>0</v>
      </c>
      <c r="K392" s="179">
        <v>65623461.460000001</v>
      </c>
      <c r="L392" s="179">
        <v>40983036.609999999</v>
      </c>
      <c r="M392" s="179">
        <v>19526083.359999999</v>
      </c>
      <c r="N392" s="179">
        <v>19526083.359999999</v>
      </c>
    </row>
    <row r="393" spans="1:14" s="156" customFormat="1" x14ac:dyDescent="0.25">
      <c r="A393" s="156" t="s">
        <v>546</v>
      </c>
      <c r="B393" s="156" t="s">
        <v>226</v>
      </c>
      <c r="C393" s="156" t="s">
        <v>227</v>
      </c>
      <c r="D393" s="156" t="s">
        <v>541</v>
      </c>
      <c r="E393" s="179">
        <v>35134000</v>
      </c>
      <c r="F393" s="179">
        <v>25564660</v>
      </c>
      <c r="G393" s="179">
        <v>25564660</v>
      </c>
      <c r="H393" s="179">
        <v>0</v>
      </c>
      <c r="I393" s="179">
        <v>0</v>
      </c>
      <c r="J393" s="179">
        <v>0</v>
      </c>
      <c r="K393" s="179">
        <v>22446556</v>
      </c>
      <c r="L393" s="179">
        <v>11092310</v>
      </c>
      <c r="M393" s="179">
        <v>3118104</v>
      </c>
      <c r="N393" s="179">
        <v>3118104</v>
      </c>
    </row>
    <row r="394" spans="1:14" s="156" customFormat="1" x14ac:dyDescent="0.25">
      <c r="A394" s="156" t="s">
        <v>546</v>
      </c>
      <c r="B394" s="156" t="s">
        <v>228</v>
      </c>
      <c r="C394" s="156" t="s">
        <v>229</v>
      </c>
      <c r="D394" s="156" t="s">
        <v>541</v>
      </c>
      <c r="E394" s="179">
        <v>289044000</v>
      </c>
      <c r="F394" s="179">
        <v>241220514</v>
      </c>
      <c r="G394" s="179">
        <v>241220514</v>
      </c>
      <c r="H394" s="179">
        <v>0</v>
      </c>
      <c r="I394" s="179">
        <v>29697133.329999998</v>
      </c>
      <c r="J394" s="179">
        <v>0</v>
      </c>
      <c r="K394" s="179">
        <v>158530159.46000001</v>
      </c>
      <c r="L394" s="179">
        <v>78957855.879999995</v>
      </c>
      <c r="M394" s="179">
        <v>52993221.210000001</v>
      </c>
      <c r="N394" s="179">
        <v>52993221.210000001</v>
      </c>
    </row>
    <row r="395" spans="1:14" s="156" customFormat="1" x14ac:dyDescent="0.25">
      <c r="A395" s="156" t="s">
        <v>546</v>
      </c>
      <c r="B395" s="156" t="s">
        <v>230</v>
      </c>
      <c r="C395" s="156" t="s">
        <v>231</v>
      </c>
      <c r="D395" s="156" t="s">
        <v>541</v>
      </c>
      <c r="E395" s="179">
        <v>74595000</v>
      </c>
      <c r="F395" s="179">
        <v>48605013</v>
      </c>
      <c r="G395" s="179">
        <v>48605013</v>
      </c>
      <c r="H395" s="179">
        <v>0</v>
      </c>
      <c r="I395" s="179">
        <v>16855580</v>
      </c>
      <c r="J395" s="179">
        <v>0</v>
      </c>
      <c r="K395" s="179">
        <v>22385891.039999999</v>
      </c>
      <c r="L395" s="179">
        <v>11647541.800000001</v>
      </c>
      <c r="M395" s="179">
        <v>9363541.9600000009</v>
      </c>
      <c r="N395" s="179">
        <v>9363541.9600000009</v>
      </c>
    </row>
    <row r="396" spans="1:14" s="156" customFormat="1" x14ac:dyDescent="0.25">
      <c r="A396" s="156" t="s">
        <v>546</v>
      </c>
      <c r="B396" s="156" t="s">
        <v>232</v>
      </c>
      <c r="C396" s="156" t="s">
        <v>233</v>
      </c>
      <c r="D396" s="156" t="s">
        <v>541</v>
      </c>
      <c r="E396" s="179">
        <v>214449000</v>
      </c>
      <c r="F396" s="179">
        <v>192615501</v>
      </c>
      <c r="G396" s="179">
        <v>192615501</v>
      </c>
      <c r="H396" s="179">
        <v>0</v>
      </c>
      <c r="I396" s="179">
        <v>12841553.33</v>
      </c>
      <c r="J396" s="179">
        <v>0</v>
      </c>
      <c r="K396" s="179">
        <v>136144268.41999999</v>
      </c>
      <c r="L396" s="179">
        <v>67310314.079999998</v>
      </c>
      <c r="M396" s="179">
        <v>43629679.25</v>
      </c>
      <c r="N396" s="179">
        <v>43629679.25</v>
      </c>
    </row>
    <row r="397" spans="1:14" s="156" customFormat="1" x14ac:dyDescent="0.25">
      <c r="A397" s="156" t="s">
        <v>546</v>
      </c>
      <c r="B397" s="156" t="s">
        <v>234</v>
      </c>
      <c r="C397" s="156" t="s">
        <v>624</v>
      </c>
      <c r="D397" s="156" t="s">
        <v>541</v>
      </c>
      <c r="E397" s="179">
        <v>3046863000</v>
      </c>
      <c r="F397" s="179">
        <v>2910860657</v>
      </c>
      <c r="G397" s="179">
        <v>2910860657</v>
      </c>
      <c r="H397" s="179">
        <v>0</v>
      </c>
      <c r="I397" s="179">
        <v>414807652.61000001</v>
      </c>
      <c r="J397" s="179">
        <v>0</v>
      </c>
      <c r="K397" s="179">
        <v>2275024569.4299998</v>
      </c>
      <c r="L397" s="179">
        <v>1609192889.3</v>
      </c>
      <c r="M397" s="179">
        <v>221028434.96000001</v>
      </c>
      <c r="N397" s="179">
        <v>221028434.96000001</v>
      </c>
    </row>
    <row r="398" spans="1:14" s="156" customFormat="1" x14ac:dyDescent="0.25">
      <c r="A398" s="156" t="s">
        <v>546</v>
      </c>
      <c r="B398" s="156" t="s">
        <v>235</v>
      </c>
      <c r="C398" s="156" t="s">
        <v>236</v>
      </c>
      <c r="D398" s="156" t="s">
        <v>541</v>
      </c>
      <c r="E398" s="179">
        <v>39631000</v>
      </c>
      <c r="F398" s="179">
        <v>11406366</v>
      </c>
      <c r="G398" s="179">
        <v>11406366</v>
      </c>
      <c r="H398" s="179">
        <v>0</v>
      </c>
      <c r="I398" s="179">
        <v>0</v>
      </c>
      <c r="J398" s="179">
        <v>0</v>
      </c>
      <c r="K398" s="179">
        <v>3940645.06</v>
      </c>
      <c r="L398" s="179">
        <v>3702445.06</v>
      </c>
      <c r="M398" s="179">
        <v>7465720.9400000004</v>
      </c>
      <c r="N398" s="179">
        <v>7465720.9400000004</v>
      </c>
    </row>
    <row r="399" spans="1:14" s="156" customFormat="1" x14ac:dyDescent="0.25">
      <c r="A399" s="156" t="s">
        <v>546</v>
      </c>
      <c r="B399" s="156" t="s">
        <v>237</v>
      </c>
      <c r="C399" s="156" t="s">
        <v>238</v>
      </c>
      <c r="D399" s="156" t="s">
        <v>541</v>
      </c>
      <c r="E399" s="179">
        <v>24278000</v>
      </c>
      <c r="F399" s="179">
        <v>23924268</v>
      </c>
      <c r="G399" s="179">
        <v>23924268</v>
      </c>
      <c r="H399" s="179">
        <v>0</v>
      </c>
      <c r="I399" s="179">
        <v>5406256.1900000004</v>
      </c>
      <c r="J399" s="179">
        <v>0</v>
      </c>
      <c r="K399" s="179">
        <v>13571361.869999999</v>
      </c>
      <c r="L399" s="179">
        <v>12149443.52</v>
      </c>
      <c r="M399" s="179">
        <v>4946649.9400000004</v>
      </c>
      <c r="N399" s="179">
        <v>4946649.9400000004</v>
      </c>
    </row>
    <row r="400" spans="1:14" s="156" customFormat="1" x14ac:dyDescent="0.25">
      <c r="A400" s="156" t="s">
        <v>546</v>
      </c>
      <c r="B400" s="156" t="s">
        <v>239</v>
      </c>
      <c r="C400" s="156" t="s">
        <v>240</v>
      </c>
      <c r="D400" s="156" t="s">
        <v>541</v>
      </c>
      <c r="E400" s="179">
        <v>259995000</v>
      </c>
      <c r="F400" s="179">
        <v>221306747</v>
      </c>
      <c r="G400" s="179">
        <v>221306747</v>
      </c>
      <c r="H400" s="179">
        <v>0</v>
      </c>
      <c r="I400" s="179">
        <v>20176205.940000001</v>
      </c>
      <c r="J400" s="179">
        <v>0</v>
      </c>
      <c r="K400" s="179">
        <v>121273573.92</v>
      </c>
      <c r="L400" s="179">
        <v>92679873.920000002</v>
      </c>
      <c r="M400" s="179">
        <v>79856967.140000001</v>
      </c>
      <c r="N400" s="179">
        <v>79856967.140000001</v>
      </c>
    </row>
    <row r="401" spans="1:14" s="156" customFormat="1" x14ac:dyDescent="0.25">
      <c r="A401" s="156" t="s">
        <v>546</v>
      </c>
      <c r="B401" s="156" t="s">
        <v>241</v>
      </c>
      <c r="C401" s="156" t="s">
        <v>242</v>
      </c>
      <c r="D401" s="156" t="s">
        <v>541</v>
      </c>
      <c r="E401" s="179">
        <v>1200000000</v>
      </c>
      <c r="F401" s="179">
        <v>1198984641</v>
      </c>
      <c r="G401" s="179">
        <v>1198984641</v>
      </c>
      <c r="H401" s="179">
        <v>0</v>
      </c>
      <c r="I401" s="179">
        <v>293236817</v>
      </c>
      <c r="J401" s="179">
        <v>0</v>
      </c>
      <c r="K401" s="179">
        <v>858280831.88999999</v>
      </c>
      <c r="L401" s="179">
        <v>297905321.88999999</v>
      </c>
      <c r="M401" s="179">
        <v>47466992.109999999</v>
      </c>
      <c r="N401" s="179">
        <v>47466992.109999999</v>
      </c>
    </row>
    <row r="402" spans="1:14" s="156" customFormat="1" x14ac:dyDescent="0.25">
      <c r="A402" s="156" t="s">
        <v>546</v>
      </c>
      <c r="B402" s="156" t="s">
        <v>243</v>
      </c>
      <c r="C402" s="156" t="s">
        <v>244</v>
      </c>
      <c r="D402" s="156" t="s">
        <v>541</v>
      </c>
      <c r="E402" s="179">
        <v>381516000</v>
      </c>
      <c r="F402" s="179">
        <v>329376981</v>
      </c>
      <c r="G402" s="179">
        <v>329376981</v>
      </c>
      <c r="H402" s="179">
        <v>0</v>
      </c>
      <c r="I402" s="179">
        <v>34293672.210000001</v>
      </c>
      <c r="J402" s="179">
        <v>0</v>
      </c>
      <c r="K402" s="179">
        <v>279917637.05000001</v>
      </c>
      <c r="L402" s="179">
        <v>257460857.13999999</v>
      </c>
      <c r="M402" s="179">
        <v>15165671.74</v>
      </c>
      <c r="N402" s="179">
        <v>15165671.74</v>
      </c>
    </row>
    <row r="403" spans="1:14" s="156" customFormat="1" x14ac:dyDescent="0.25">
      <c r="A403" s="156" t="s">
        <v>546</v>
      </c>
      <c r="B403" s="156" t="s">
        <v>245</v>
      </c>
      <c r="C403" s="156" t="s">
        <v>246</v>
      </c>
      <c r="D403" s="156" t="s">
        <v>541</v>
      </c>
      <c r="E403" s="179">
        <v>800000000</v>
      </c>
      <c r="F403" s="179">
        <v>784512967</v>
      </c>
      <c r="G403" s="179">
        <v>784512967</v>
      </c>
      <c r="H403" s="179">
        <v>0</v>
      </c>
      <c r="I403" s="179">
        <v>420493.25</v>
      </c>
      <c r="J403" s="179">
        <v>0</v>
      </c>
      <c r="K403" s="179">
        <v>776873272.45000005</v>
      </c>
      <c r="L403" s="179">
        <v>767623820.99000001</v>
      </c>
      <c r="M403" s="179">
        <v>7219201.2999999998</v>
      </c>
      <c r="N403" s="179">
        <v>7219201.2999999998</v>
      </c>
    </row>
    <row r="404" spans="1:14" s="156" customFormat="1" x14ac:dyDescent="0.25">
      <c r="A404" s="156" t="s">
        <v>546</v>
      </c>
      <c r="B404" s="156" t="s">
        <v>247</v>
      </c>
      <c r="C404" s="156" t="s">
        <v>248</v>
      </c>
      <c r="D404" s="156" t="s">
        <v>541</v>
      </c>
      <c r="E404" s="179">
        <v>112559000</v>
      </c>
      <c r="F404" s="179">
        <v>112559000</v>
      </c>
      <c r="G404" s="179">
        <v>112559000</v>
      </c>
      <c r="H404" s="179">
        <v>0</v>
      </c>
      <c r="I404" s="179">
        <v>34005576.770000003</v>
      </c>
      <c r="J404" s="179">
        <v>0</v>
      </c>
      <c r="K404" s="179">
        <v>63023805.880000003</v>
      </c>
      <c r="L404" s="179">
        <v>52439805.880000003</v>
      </c>
      <c r="M404" s="179">
        <v>15529617.35</v>
      </c>
      <c r="N404" s="179">
        <v>15529617.35</v>
      </c>
    </row>
    <row r="405" spans="1:14" s="156" customFormat="1" x14ac:dyDescent="0.25">
      <c r="A405" s="156" t="s">
        <v>546</v>
      </c>
      <c r="B405" s="156" t="s">
        <v>249</v>
      </c>
      <c r="C405" s="156" t="s">
        <v>250</v>
      </c>
      <c r="D405" s="156" t="s">
        <v>541</v>
      </c>
      <c r="E405" s="179">
        <v>228884000</v>
      </c>
      <c r="F405" s="179">
        <v>228789687</v>
      </c>
      <c r="G405" s="179">
        <v>228789687</v>
      </c>
      <c r="H405" s="179">
        <v>0</v>
      </c>
      <c r="I405" s="179">
        <v>27268631.25</v>
      </c>
      <c r="J405" s="179">
        <v>0</v>
      </c>
      <c r="K405" s="179">
        <v>158143441.31</v>
      </c>
      <c r="L405" s="179">
        <v>125231320.90000001</v>
      </c>
      <c r="M405" s="179">
        <v>43377614.439999998</v>
      </c>
      <c r="N405" s="179">
        <v>43377614.439999998</v>
      </c>
    </row>
    <row r="406" spans="1:14" s="156" customFormat="1" x14ac:dyDescent="0.25">
      <c r="A406" s="156" t="s">
        <v>546</v>
      </c>
      <c r="B406" s="156" t="s">
        <v>279</v>
      </c>
      <c r="C406" s="156" t="s">
        <v>280</v>
      </c>
      <c r="D406" s="156" t="s">
        <v>541</v>
      </c>
      <c r="E406" s="179">
        <v>3776821000</v>
      </c>
      <c r="F406" s="179">
        <v>3504078444</v>
      </c>
      <c r="G406" s="179">
        <v>3504078444</v>
      </c>
      <c r="H406" s="179">
        <v>0</v>
      </c>
      <c r="I406" s="179">
        <v>772237673.52999997</v>
      </c>
      <c r="J406" s="179">
        <v>0</v>
      </c>
      <c r="K406" s="179">
        <v>2457127272.3200002</v>
      </c>
      <c r="L406" s="179">
        <v>1735270701.0899999</v>
      </c>
      <c r="M406" s="179">
        <v>274713498.14999998</v>
      </c>
      <c r="N406" s="179">
        <v>274713498.14999998</v>
      </c>
    </row>
    <row r="407" spans="1:14" s="156" customFormat="1" x14ac:dyDescent="0.25">
      <c r="A407" s="156" t="s">
        <v>546</v>
      </c>
      <c r="B407" s="156" t="s">
        <v>281</v>
      </c>
      <c r="C407" s="156" t="s">
        <v>282</v>
      </c>
      <c r="D407" s="156" t="s">
        <v>541</v>
      </c>
      <c r="E407" s="179">
        <v>1343483000</v>
      </c>
      <c r="F407" s="179">
        <v>1443057663</v>
      </c>
      <c r="G407" s="179">
        <v>1443057663</v>
      </c>
      <c r="H407" s="179">
        <v>0</v>
      </c>
      <c r="I407" s="179">
        <v>128173154.40000001</v>
      </c>
      <c r="J407" s="179">
        <v>0</v>
      </c>
      <c r="K407" s="179">
        <v>1204278171.5799999</v>
      </c>
      <c r="L407" s="179">
        <v>801956463.50999999</v>
      </c>
      <c r="M407" s="179">
        <v>110606337.02</v>
      </c>
      <c r="N407" s="179">
        <v>110606337.02</v>
      </c>
    </row>
    <row r="408" spans="1:14" s="156" customFormat="1" x14ac:dyDescent="0.25">
      <c r="A408" s="156" t="s">
        <v>546</v>
      </c>
      <c r="B408" s="156" t="s">
        <v>398</v>
      </c>
      <c r="C408" s="156" t="s">
        <v>501</v>
      </c>
      <c r="D408" s="156" t="s">
        <v>541</v>
      </c>
      <c r="E408" s="179">
        <v>0</v>
      </c>
      <c r="F408" s="179">
        <v>2815000</v>
      </c>
      <c r="G408" s="179">
        <v>2815000</v>
      </c>
      <c r="H408" s="179">
        <v>0</v>
      </c>
      <c r="I408" s="179">
        <v>0</v>
      </c>
      <c r="J408" s="179">
        <v>0</v>
      </c>
      <c r="K408" s="179">
        <v>0</v>
      </c>
      <c r="L408" s="179">
        <v>0</v>
      </c>
      <c r="M408" s="179">
        <v>2815000</v>
      </c>
      <c r="N408" s="179">
        <v>2815000</v>
      </c>
    </row>
    <row r="409" spans="1:14" s="156" customFormat="1" x14ac:dyDescent="0.25">
      <c r="A409" s="156" t="s">
        <v>546</v>
      </c>
      <c r="B409" s="156" t="s">
        <v>285</v>
      </c>
      <c r="C409" s="156" t="s">
        <v>286</v>
      </c>
      <c r="D409" s="156" t="s">
        <v>541</v>
      </c>
      <c r="E409" s="179">
        <v>0</v>
      </c>
      <c r="F409" s="179">
        <v>79288653</v>
      </c>
      <c r="G409" s="179">
        <v>79288653</v>
      </c>
      <c r="H409" s="179">
        <v>0</v>
      </c>
      <c r="I409" s="179">
        <v>16197.33</v>
      </c>
      <c r="J409" s="179">
        <v>0</v>
      </c>
      <c r="K409" s="179">
        <v>63611738.490000002</v>
      </c>
      <c r="L409" s="179">
        <v>155307.09</v>
      </c>
      <c r="M409" s="179">
        <v>15660717.18</v>
      </c>
      <c r="N409" s="179">
        <v>15660717.18</v>
      </c>
    </row>
    <row r="410" spans="1:14" s="156" customFormat="1" x14ac:dyDescent="0.25">
      <c r="A410" s="156" t="s">
        <v>546</v>
      </c>
      <c r="B410" s="156" t="s">
        <v>287</v>
      </c>
      <c r="C410" s="156" t="s">
        <v>288</v>
      </c>
      <c r="D410" s="156" t="s">
        <v>541</v>
      </c>
      <c r="E410" s="179">
        <v>0</v>
      </c>
      <c r="F410" s="179">
        <v>21473410</v>
      </c>
      <c r="G410" s="179">
        <v>21473410</v>
      </c>
      <c r="H410" s="179">
        <v>0</v>
      </c>
      <c r="I410" s="179">
        <v>10755004</v>
      </c>
      <c r="J410" s="179">
        <v>0</v>
      </c>
      <c r="K410" s="179">
        <v>10710770</v>
      </c>
      <c r="L410" s="179">
        <v>0</v>
      </c>
      <c r="M410" s="179">
        <v>7636</v>
      </c>
      <c r="N410" s="179">
        <v>7636</v>
      </c>
    </row>
    <row r="411" spans="1:14" s="156" customFormat="1" x14ac:dyDescent="0.25">
      <c r="A411" s="156" t="s">
        <v>546</v>
      </c>
      <c r="B411" s="156" t="s">
        <v>283</v>
      </c>
      <c r="C411" s="156" t="s">
        <v>284</v>
      </c>
      <c r="D411" s="156" t="s">
        <v>543</v>
      </c>
      <c r="E411" s="179">
        <v>70000000</v>
      </c>
      <c r="F411" s="179">
        <v>59380528</v>
      </c>
      <c r="G411" s="179">
        <v>59380528</v>
      </c>
      <c r="H411" s="179">
        <v>0</v>
      </c>
      <c r="I411" s="179">
        <v>0</v>
      </c>
      <c r="J411" s="179">
        <v>0</v>
      </c>
      <c r="K411" s="179">
        <v>55229745.359999999</v>
      </c>
      <c r="L411" s="179">
        <v>50529745.359999999</v>
      </c>
      <c r="M411" s="179">
        <v>4150782.64</v>
      </c>
      <c r="N411" s="179">
        <v>4150782.64</v>
      </c>
    </row>
    <row r="412" spans="1:14" s="156" customFormat="1" x14ac:dyDescent="0.25">
      <c r="A412" s="156" t="s">
        <v>546</v>
      </c>
      <c r="B412" s="156" t="s">
        <v>398</v>
      </c>
      <c r="C412" s="156" t="s">
        <v>501</v>
      </c>
      <c r="D412" s="156" t="s">
        <v>543</v>
      </c>
      <c r="E412" s="179">
        <v>100000000</v>
      </c>
      <c r="F412" s="179">
        <v>155300000</v>
      </c>
      <c r="G412" s="179">
        <v>155300000</v>
      </c>
      <c r="H412" s="179">
        <v>0</v>
      </c>
      <c r="I412" s="179">
        <v>16883370</v>
      </c>
      <c r="J412" s="179">
        <v>0</v>
      </c>
      <c r="K412" s="179">
        <v>135673064</v>
      </c>
      <c r="L412" s="179">
        <v>98650000</v>
      </c>
      <c r="M412" s="179">
        <v>2743566</v>
      </c>
      <c r="N412" s="179">
        <v>2743566</v>
      </c>
    </row>
    <row r="413" spans="1:14" s="156" customFormat="1" x14ac:dyDescent="0.25">
      <c r="A413" s="156" t="s">
        <v>546</v>
      </c>
      <c r="B413" s="156" t="s">
        <v>285</v>
      </c>
      <c r="C413" s="156" t="s">
        <v>286</v>
      </c>
      <c r="D413" s="156" t="s">
        <v>543</v>
      </c>
      <c r="E413" s="179">
        <v>200000000</v>
      </c>
      <c r="F413" s="179">
        <v>213856672</v>
      </c>
      <c r="G413" s="179">
        <v>213856672</v>
      </c>
      <c r="H413" s="179">
        <v>0</v>
      </c>
      <c r="I413" s="179">
        <v>0</v>
      </c>
      <c r="J413" s="179">
        <v>0</v>
      </c>
      <c r="K413" s="179">
        <v>202182643.18000001</v>
      </c>
      <c r="L413" s="179">
        <v>33274975</v>
      </c>
      <c r="M413" s="179">
        <v>11674028.82</v>
      </c>
      <c r="N413" s="179">
        <v>11674028.82</v>
      </c>
    </row>
    <row r="414" spans="1:14" s="156" customFormat="1" x14ac:dyDescent="0.25">
      <c r="A414" s="156" t="s">
        <v>546</v>
      </c>
      <c r="B414" s="156" t="s">
        <v>287</v>
      </c>
      <c r="C414" s="156" t="s">
        <v>288</v>
      </c>
      <c r="D414" s="156" t="s">
        <v>543</v>
      </c>
      <c r="E414" s="179">
        <v>90000000</v>
      </c>
      <c r="F414" s="179">
        <v>90000000</v>
      </c>
      <c r="G414" s="179">
        <v>90000000</v>
      </c>
      <c r="H414" s="179">
        <v>0</v>
      </c>
      <c r="I414" s="179">
        <v>0</v>
      </c>
      <c r="J414" s="179">
        <v>0</v>
      </c>
      <c r="K414" s="179">
        <v>65544888.5</v>
      </c>
      <c r="L414" s="179">
        <v>62664888.5</v>
      </c>
      <c r="M414" s="179">
        <v>24455111.5</v>
      </c>
      <c r="N414" s="179">
        <v>24455111.5</v>
      </c>
    </row>
    <row r="415" spans="1:14" s="156" customFormat="1" x14ac:dyDescent="0.25">
      <c r="A415" s="156" t="s">
        <v>546</v>
      </c>
      <c r="B415" s="156" t="s">
        <v>289</v>
      </c>
      <c r="C415" s="156" t="s">
        <v>290</v>
      </c>
      <c r="D415" s="156" t="s">
        <v>543</v>
      </c>
      <c r="E415" s="179">
        <v>86000000</v>
      </c>
      <c r="F415" s="179">
        <v>73460400</v>
      </c>
      <c r="G415" s="179">
        <v>73460400</v>
      </c>
      <c r="H415" s="179">
        <v>0</v>
      </c>
      <c r="I415" s="179">
        <v>15613250.310000001</v>
      </c>
      <c r="J415" s="179">
        <v>0</v>
      </c>
      <c r="K415" s="179">
        <v>53165201.950000003</v>
      </c>
      <c r="L415" s="179">
        <v>34646648.640000001</v>
      </c>
      <c r="M415" s="179">
        <v>4681947.74</v>
      </c>
      <c r="N415" s="179">
        <v>4681947.74</v>
      </c>
    </row>
    <row r="416" spans="1:14" s="156" customFormat="1" x14ac:dyDescent="0.25">
      <c r="A416" s="156" t="s">
        <v>546</v>
      </c>
      <c r="B416" s="156" t="s">
        <v>291</v>
      </c>
      <c r="C416" s="156" t="s">
        <v>292</v>
      </c>
      <c r="D416" s="156" t="s">
        <v>543</v>
      </c>
      <c r="E416" s="179">
        <v>57905000</v>
      </c>
      <c r="F416" s="179">
        <v>57905000</v>
      </c>
      <c r="G416" s="179">
        <v>57905000</v>
      </c>
      <c r="H416" s="179">
        <v>0</v>
      </c>
      <c r="I416" s="179">
        <v>16335295.529999999</v>
      </c>
      <c r="J416" s="179">
        <v>0</v>
      </c>
      <c r="K416" s="179">
        <v>40436535.530000001</v>
      </c>
      <c r="L416" s="179">
        <v>20140162.710000001</v>
      </c>
      <c r="M416" s="179">
        <v>1133168.94</v>
      </c>
      <c r="N416" s="179">
        <v>1133168.94</v>
      </c>
    </row>
    <row r="417" spans="1:14" s="156" customFormat="1" x14ac:dyDescent="0.25">
      <c r="A417" s="156" t="s">
        <v>546</v>
      </c>
      <c r="B417" s="156" t="s">
        <v>293</v>
      </c>
      <c r="C417" s="156" t="s">
        <v>294</v>
      </c>
      <c r="D417" s="156" t="s">
        <v>543</v>
      </c>
      <c r="E417" s="179">
        <v>7780000</v>
      </c>
      <c r="F417" s="179">
        <v>7780000</v>
      </c>
      <c r="G417" s="179">
        <v>7780000</v>
      </c>
      <c r="H417" s="179">
        <v>0</v>
      </c>
      <c r="I417" s="179">
        <v>3981450</v>
      </c>
      <c r="J417" s="179">
        <v>0</v>
      </c>
      <c r="K417" s="179">
        <v>3084170</v>
      </c>
      <c r="L417" s="179">
        <v>0</v>
      </c>
      <c r="M417" s="179">
        <v>714380</v>
      </c>
      <c r="N417" s="179">
        <v>714380</v>
      </c>
    </row>
    <row r="418" spans="1:14" s="156" customFormat="1" x14ac:dyDescent="0.25">
      <c r="A418" s="156" t="s">
        <v>546</v>
      </c>
      <c r="B418" s="156" t="s">
        <v>295</v>
      </c>
      <c r="C418" s="156" t="s">
        <v>296</v>
      </c>
      <c r="D418" s="156" t="s">
        <v>543</v>
      </c>
      <c r="E418" s="179">
        <v>731798000</v>
      </c>
      <c r="F418" s="179">
        <v>681798000</v>
      </c>
      <c r="G418" s="179">
        <v>681798000</v>
      </c>
      <c r="H418" s="179">
        <v>0</v>
      </c>
      <c r="I418" s="179">
        <v>64588587.229999997</v>
      </c>
      <c r="J418" s="179">
        <v>0</v>
      </c>
      <c r="K418" s="179">
        <v>574639414.57000005</v>
      </c>
      <c r="L418" s="179">
        <v>501894736.20999998</v>
      </c>
      <c r="M418" s="179">
        <v>42569998.200000003</v>
      </c>
      <c r="N418" s="179">
        <v>42569998.200000003</v>
      </c>
    </row>
    <row r="419" spans="1:14" s="156" customFormat="1" x14ac:dyDescent="0.25">
      <c r="A419" s="156" t="s">
        <v>546</v>
      </c>
      <c r="B419" s="156" t="s">
        <v>297</v>
      </c>
      <c r="C419" s="156" t="s">
        <v>298</v>
      </c>
      <c r="D419" s="156" t="s">
        <v>543</v>
      </c>
      <c r="E419" s="179">
        <v>2093838000</v>
      </c>
      <c r="F419" s="179">
        <v>1728431799</v>
      </c>
      <c r="G419" s="179">
        <v>1728431799</v>
      </c>
      <c r="H419" s="179">
        <v>0</v>
      </c>
      <c r="I419" s="179">
        <v>641287016.71000004</v>
      </c>
      <c r="J419" s="179">
        <v>0</v>
      </c>
      <c r="K419" s="179">
        <v>944354234.41999996</v>
      </c>
      <c r="L419" s="179">
        <v>875653083.84000003</v>
      </c>
      <c r="M419" s="179">
        <v>142790547.87</v>
      </c>
      <c r="N419" s="179">
        <v>142790547.87</v>
      </c>
    </row>
    <row r="420" spans="1:14" s="156" customFormat="1" x14ac:dyDescent="0.25">
      <c r="A420" s="156" t="s">
        <v>546</v>
      </c>
      <c r="B420" s="156" t="s">
        <v>299</v>
      </c>
      <c r="C420" s="156" t="s">
        <v>300</v>
      </c>
      <c r="D420" s="156" t="s">
        <v>543</v>
      </c>
      <c r="E420" s="179">
        <v>1743750000</v>
      </c>
      <c r="F420" s="179">
        <v>1719669800</v>
      </c>
      <c r="G420" s="179">
        <v>1719669800</v>
      </c>
      <c r="H420" s="179">
        <v>0</v>
      </c>
      <c r="I420" s="179">
        <v>640613017.71000004</v>
      </c>
      <c r="J420" s="179">
        <v>0</v>
      </c>
      <c r="K420" s="179">
        <v>936266234.46000004</v>
      </c>
      <c r="L420" s="179">
        <v>868239083.88</v>
      </c>
      <c r="M420" s="179">
        <v>142790547.83000001</v>
      </c>
      <c r="N420" s="179">
        <v>142790547.83000001</v>
      </c>
    </row>
    <row r="421" spans="1:14" s="156" customFormat="1" x14ac:dyDescent="0.25">
      <c r="A421" s="156" t="s">
        <v>546</v>
      </c>
      <c r="B421" s="156" t="s">
        <v>366</v>
      </c>
      <c r="C421" s="156" t="s">
        <v>367</v>
      </c>
      <c r="D421" s="156" t="s">
        <v>543</v>
      </c>
      <c r="E421" s="179">
        <v>350088000</v>
      </c>
      <c r="F421" s="179">
        <v>8761999</v>
      </c>
      <c r="G421" s="179">
        <v>8761999</v>
      </c>
      <c r="H421" s="179">
        <v>0</v>
      </c>
      <c r="I421" s="179">
        <v>673999</v>
      </c>
      <c r="J421" s="179">
        <v>0</v>
      </c>
      <c r="K421" s="179">
        <v>8087999.96</v>
      </c>
      <c r="L421" s="179">
        <v>7413999.96</v>
      </c>
      <c r="M421" s="179">
        <v>0.04</v>
      </c>
      <c r="N421" s="179">
        <v>0.04</v>
      </c>
    </row>
    <row r="422" spans="1:14" s="156" customFormat="1" x14ac:dyDescent="0.25">
      <c r="A422" s="156" t="s">
        <v>546</v>
      </c>
      <c r="B422" s="156" t="s">
        <v>340</v>
      </c>
      <c r="C422" s="156" t="s">
        <v>341</v>
      </c>
      <c r="D422" s="156" t="s">
        <v>543</v>
      </c>
      <c r="E422" s="179">
        <v>339500000</v>
      </c>
      <c r="F422" s="179">
        <v>332588982</v>
      </c>
      <c r="G422" s="179">
        <v>332588982</v>
      </c>
      <c r="H422" s="179">
        <v>0</v>
      </c>
      <c r="I422" s="179">
        <v>2777502.42</v>
      </c>
      <c r="J422" s="179">
        <v>0</v>
      </c>
      <c r="K422" s="179">
        <v>308494866.31999999</v>
      </c>
      <c r="L422" s="179">
        <v>57661153.740000002</v>
      </c>
      <c r="M422" s="179">
        <v>21316613.260000002</v>
      </c>
      <c r="N422" s="179">
        <v>21316613.260000002</v>
      </c>
    </row>
    <row r="423" spans="1:14" s="156" customFormat="1" x14ac:dyDescent="0.25">
      <c r="A423" s="156" t="s">
        <v>546</v>
      </c>
      <c r="B423" s="156" t="s">
        <v>342</v>
      </c>
      <c r="C423" s="156" t="s">
        <v>343</v>
      </c>
      <c r="D423" s="156" t="s">
        <v>543</v>
      </c>
      <c r="E423" s="179">
        <v>339500000</v>
      </c>
      <c r="F423" s="179">
        <v>332588982</v>
      </c>
      <c r="G423" s="179">
        <v>332588982</v>
      </c>
      <c r="H423" s="179">
        <v>0</v>
      </c>
      <c r="I423" s="179">
        <v>2777502.42</v>
      </c>
      <c r="J423" s="179">
        <v>0</v>
      </c>
      <c r="K423" s="179">
        <v>308494866.31999999</v>
      </c>
      <c r="L423" s="179">
        <v>57661153.740000002</v>
      </c>
      <c r="M423" s="179">
        <v>21316613.260000002</v>
      </c>
      <c r="N423" s="179">
        <v>21316613.260000002</v>
      </c>
    </row>
    <row r="424" spans="1:14" s="156" customFormat="1" x14ac:dyDescent="0.25">
      <c r="A424" s="156" t="s">
        <v>546</v>
      </c>
      <c r="B424" s="156" t="s">
        <v>251</v>
      </c>
      <c r="C424" s="156" t="s">
        <v>252</v>
      </c>
      <c r="D424" s="156" t="s">
        <v>541</v>
      </c>
      <c r="E424" s="179">
        <v>1881997000</v>
      </c>
      <c r="F424" s="179">
        <v>2703563291.1700001</v>
      </c>
      <c r="G424" s="179">
        <v>2703563291.1700001</v>
      </c>
      <c r="H424" s="179">
        <v>0</v>
      </c>
      <c r="I424" s="179">
        <v>77872794.379999995</v>
      </c>
      <c r="J424" s="179">
        <v>0</v>
      </c>
      <c r="K424" s="179">
        <v>2444618524.7199998</v>
      </c>
      <c r="L424" s="179">
        <v>2420497527.0599999</v>
      </c>
      <c r="M424" s="179">
        <v>181071972.06999999</v>
      </c>
      <c r="N424" s="179">
        <v>181071972.06999999</v>
      </c>
    </row>
    <row r="425" spans="1:14" s="156" customFormat="1" x14ac:dyDescent="0.25">
      <c r="A425" s="156" t="s">
        <v>546</v>
      </c>
      <c r="B425" s="156" t="s">
        <v>253</v>
      </c>
      <c r="C425" s="156" t="s">
        <v>254</v>
      </c>
      <c r="D425" s="156" t="s">
        <v>541</v>
      </c>
      <c r="E425" s="179">
        <v>630544000</v>
      </c>
      <c r="F425" s="179">
        <v>625784456</v>
      </c>
      <c r="G425" s="179">
        <v>625784456</v>
      </c>
      <c r="H425" s="179">
        <v>0</v>
      </c>
      <c r="I425" s="179">
        <v>0</v>
      </c>
      <c r="J425" s="179">
        <v>0</v>
      </c>
      <c r="K425" s="179">
        <v>570899685.5</v>
      </c>
      <c r="L425" s="179">
        <v>570899685.5</v>
      </c>
      <c r="M425" s="179">
        <v>54884770.5</v>
      </c>
      <c r="N425" s="179">
        <v>54884770.5</v>
      </c>
    </row>
    <row r="426" spans="1:14" s="156" customFormat="1" x14ac:dyDescent="0.25">
      <c r="A426" s="156" t="s">
        <v>546</v>
      </c>
      <c r="B426" s="156" t="s">
        <v>368</v>
      </c>
      <c r="C426" s="156" t="s">
        <v>369</v>
      </c>
      <c r="D426" s="156" t="s">
        <v>541</v>
      </c>
      <c r="E426" s="179">
        <v>179500000</v>
      </c>
      <c r="F426" s="179">
        <v>179500000</v>
      </c>
      <c r="G426" s="179">
        <v>179500000</v>
      </c>
      <c r="H426" s="179">
        <v>0</v>
      </c>
      <c r="I426" s="179">
        <v>0</v>
      </c>
      <c r="J426" s="179">
        <v>0</v>
      </c>
      <c r="K426" s="179">
        <v>131960000</v>
      </c>
      <c r="L426" s="179">
        <v>131960000</v>
      </c>
      <c r="M426" s="179">
        <v>47540000</v>
      </c>
      <c r="N426" s="179">
        <v>47540000</v>
      </c>
    </row>
    <row r="427" spans="1:14" s="156" customFormat="1" x14ac:dyDescent="0.25">
      <c r="A427" s="156" t="s">
        <v>546</v>
      </c>
      <c r="B427" s="156" t="s">
        <v>370</v>
      </c>
      <c r="C427" s="156" t="s">
        <v>625</v>
      </c>
      <c r="D427" s="156" t="s">
        <v>541</v>
      </c>
      <c r="E427" s="179">
        <v>315187000</v>
      </c>
      <c r="F427" s="179">
        <v>315187000</v>
      </c>
      <c r="G427" s="179">
        <v>315187000</v>
      </c>
      <c r="H427" s="179">
        <v>0</v>
      </c>
      <c r="I427" s="179">
        <v>0</v>
      </c>
      <c r="J427" s="179">
        <v>0</v>
      </c>
      <c r="K427" s="179">
        <v>315186998.5</v>
      </c>
      <c r="L427" s="179">
        <v>315186998.5</v>
      </c>
      <c r="M427" s="179">
        <v>1.5</v>
      </c>
      <c r="N427" s="179">
        <v>1.5</v>
      </c>
    </row>
    <row r="428" spans="1:14" s="156" customFormat="1" x14ac:dyDescent="0.25">
      <c r="A428" s="156" t="s">
        <v>546</v>
      </c>
      <c r="B428" s="156" t="s">
        <v>371</v>
      </c>
      <c r="C428" s="156" t="s">
        <v>626</v>
      </c>
      <c r="D428" s="156" t="s">
        <v>541</v>
      </c>
      <c r="E428" s="179">
        <v>135857000</v>
      </c>
      <c r="F428" s="179">
        <v>131097456</v>
      </c>
      <c r="G428" s="179">
        <v>131097456</v>
      </c>
      <c r="H428" s="179">
        <v>0</v>
      </c>
      <c r="I428" s="179">
        <v>0</v>
      </c>
      <c r="J428" s="179">
        <v>0</v>
      </c>
      <c r="K428" s="179">
        <v>123752687</v>
      </c>
      <c r="L428" s="179">
        <v>123752687</v>
      </c>
      <c r="M428" s="179">
        <v>7344769</v>
      </c>
      <c r="N428" s="179">
        <v>7344769</v>
      </c>
    </row>
    <row r="429" spans="1:14" s="156" customFormat="1" x14ac:dyDescent="0.25">
      <c r="A429" s="156" t="s">
        <v>546</v>
      </c>
      <c r="B429" s="156" t="s">
        <v>372</v>
      </c>
      <c r="C429" s="156" t="s">
        <v>373</v>
      </c>
      <c r="D429" s="156" t="s">
        <v>541</v>
      </c>
      <c r="E429" s="179">
        <v>450000000</v>
      </c>
      <c r="F429" s="179">
        <v>450000000</v>
      </c>
      <c r="G429" s="179">
        <v>450000000</v>
      </c>
      <c r="H429" s="179">
        <v>0</v>
      </c>
      <c r="I429" s="179">
        <v>32500000</v>
      </c>
      <c r="J429" s="179">
        <v>0</v>
      </c>
      <c r="K429" s="179">
        <v>417500000</v>
      </c>
      <c r="L429" s="179">
        <v>417500000</v>
      </c>
      <c r="M429" s="179">
        <v>0</v>
      </c>
      <c r="N429" s="179">
        <v>0</v>
      </c>
    </row>
    <row r="430" spans="1:14" s="156" customFormat="1" x14ac:dyDescent="0.25">
      <c r="A430" s="156" t="s">
        <v>546</v>
      </c>
      <c r="B430" s="156" t="s">
        <v>374</v>
      </c>
      <c r="C430" s="156" t="s">
        <v>375</v>
      </c>
      <c r="D430" s="156" t="s">
        <v>541</v>
      </c>
      <c r="E430" s="179">
        <v>450000000</v>
      </c>
      <c r="F430" s="179">
        <v>450000000</v>
      </c>
      <c r="G430" s="179">
        <v>450000000</v>
      </c>
      <c r="H430" s="179">
        <v>0</v>
      </c>
      <c r="I430" s="179">
        <v>32500000</v>
      </c>
      <c r="J430" s="179">
        <v>0</v>
      </c>
      <c r="K430" s="179">
        <v>417500000</v>
      </c>
      <c r="L430" s="179">
        <v>417500000</v>
      </c>
      <c r="M430" s="179">
        <v>0</v>
      </c>
      <c r="N430" s="179">
        <v>0</v>
      </c>
    </row>
    <row r="431" spans="1:14" s="156" customFormat="1" x14ac:dyDescent="0.25">
      <c r="A431" s="156" t="s">
        <v>546</v>
      </c>
      <c r="B431" s="156" t="s">
        <v>261</v>
      </c>
      <c r="C431" s="156" t="s">
        <v>262</v>
      </c>
      <c r="D431" s="156" t="s">
        <v>541</v>
      </c>
      <c r="E431" s="179">
        <v>697525000</v>
      </c>
      <c r="F431" s="179">
        <v>1408228414</v>
      </c>
      <c r="G431" s="179">
        <v>1408228414</v>
      </c>
      <c r="H431" s="179">
        <v>0</v>
      </c>
      <c r="I431" s="179">
        <v>2294107.35</v>
      </c>
      <c r="J431" s="179">
        <v>0</v>
      </c>
      <c r="K431" s="179">
        <v>1400943922.79</v>
      </c>
      <c r="L431" s="179">
        <v>1376935881.4400001</v>
      </c>
      <c r="M431" s="179">
        <v>4990383.8600000003</v>
      </c>
      <c r="N431" s="179">
        <v>4990383.8600000003</v>
      </c>
    </row>
    <row r="432" spans="1:14" s="156" customFormat="1" x14ac:dyDescent="0.25">
      <c r="A432" s="156" t="s">
        <v>546</v>
      </c>
      <c r="B432" s="156" t="s">
        <v>263</v>
      </c>
      <c r="C432" s="156" t="s">
        <v>264</v>
      </c>
      <c r="D432" s="156" t="s">
        <v>541</v>
      </c>
      <c r="E432" s="179">
        <v>350000000</v>
      </c>
      <c r="F432" s="179">
        <v>1060703414</v>
      </c>
      <c r="G432" s="179">
        <v>1060703414</v>
      </c>
      <c r="H432" s="179">
        <v>0</v>
      </c>
      <c r="I432" s="179">
        <v>2294107.35</v>
      </c>
      <c r="J432" s="179">
        <v>0</v>
      </c>
      <c r="K432" s="179">
        <v>1058409306.65</v>
      </c>
      <c r="L432" s="179">
        <v>1034401265.3</v>
      </c>
      <c r="M432" s="179">
        <v>0</v>
      </c>
      <c r="N432" s="179">
        <v>0</v>
      </c>
    </row>
    <row r="433" spans="1:14" s="156" customFormat="1" x14ac:dyDescent="0.25">
      <c r="A433" s="156" t="s">
        <v>546</v>
      </c>
      <c r="B433" s="156" t="s">
        <v>265</v>
      </c>
      <c r="C433" s="156" t="s">
        <v>266</v>
      </c>
      <c r="D433" s="156" t="s">
        <v>541</v>
      </c>
      <c r="E433" s="179">
        <v>347525000</v>
      </c>
      <c r="F433" s="179">
        <v>347525000</v>
      </c>
      <c r="G433" s="179">
        <v>347525000</v>
      </c>
      <c r="H433" s="179">
        <v>0</v>
      </c>
      <c r="I433" s="179">
        <v>0</v>
      </c>
      <c r="J433" s="179">
        <v>0</v>
      </c>
      <c r="K433" s="179">
        <v>342534616.13999999</v>
      </c>
      <c r="L433" s="179">
        <v>342534616.13999999</v>
      </c>
      <c r="M433" s="179">
        <v>4990383.8600000003</v>
      </c>
      <c r="N433" s="179">
        <v>4990383.8600000003</v>
      </c>
    </row>
    <row r="434" spans="1:14" s="156" customFormat="1" x14ac:dyDescent="0.25">
      <c r="A434" s="156" t="s">
        <v>546</v>
      </c>
      <c r="B434" s="156" t="s">
        <v>267</v>
      </c>
      <c r="C434" s="156" t="s">
        <v>268</v>
      </c>
      <c r="D434" s="156" t="s">
        <v>541</v>
      </c>
      <c r="E434" s="179">
        <v>103928000</v>
      </c>
      <c r="F434" s="179">
        <v>219550421.16999999</v>
      </c>
      <c r="G434" s="179">
        <v>219550421.16999999</v>
      </c>
      <c r="H434" s="179">
        <v>0</v>
      </c>
      <c r="I434" s="179">
        <v>43078687.030000001</v>
      </c>
      <c r="J434" s="179">
        <v>0</v>
      </c>
      <c r="K434" s="179">
        <v>55274916.43</v>
      </c>
      <c r="L434" s="179">
        <v>55161960.119999997</v>
      </c>
      <c r="M434" s="179">
        <v>121196817.70999999</v>
      </c>
      <c r="N434" s="179">
        <v>121196817.70999999</v>
      </c>
    </row>
    <row r="435" spans="1:14" s="156" customFormat="1" x14ac:dyDescent="0.25">
      <c r="A435" s="156" t="s">
        <v>546</v>
      </c>
      <c r="B435" s="156" t="s">
        <v>269</v>
      </c>
      <c r="C435" s="156" t="s">
        <v>270</v>
      </c>
      <c r="D435" s="156" t="s">
        <v>541</v>
      </c>
      <c r="E435" s="179">
        <v>98928000</v>
      </c>
      <c r="F435" s="179">
        <v>172708817.71000001</v>
      </c>
      <c r="G435" s="179">
        <v>172708817.71000001</v>
      </c>
      <c r="H435" s="179">
        <v>0</v>
      </c>
      <c r="I435" s="179">
        <v>29897166.530000001</v>
      </c>
      <c r="J435" s="179">
        <v>0</v>
      </c>
      <c r="K435" s="179">
        <v>21614833.469999999</v>
      </c>
      <c r="L435" s="179">
        <v>21614833.469999999</v>
      </c>
      <c r="M435" s="179">
        <v>121196817.70999999</v>
      </c>
      <c r="N435" s="179">
        <v>121196817.70999999</v>
      </c>
    </row>
    <row r="436" spans="1:14" s="156" customFormat="1" x14ac:dyDescent="0.25">
      <c r="A436" s="156" t="s">
        <v>546</v>
      </c>
      <c r="B436" s="156" t="s">
        <v>271</v>
      </c>
      <c r="C436" s="156" t="s">
        <v>272</v>
      </c>
      <c r="D436" s="156" t="s">
        <v>541</v>
      </c>
      <c r="E436" s="179">
        <v>5000000</v>
      </c>
      <c r="F436" s="179">
        <v>46841603.460000001</v>
      </c>
      <c r="G436" s="179">
        <v>46841603.460000001</v>
      </c>
      <c r="H436" s="179">
        <v>0</v>
      </c>
      <c r="I436" s="179">
        <v>13181520.5</v>
      </c>
      <c r="J436" s="179">
        <v>0</v>
      </c>
      <c r="K436" s="179">
        <v>33660082.960000001</v>
      </c>
      <c r="L436" s="179">
        <v>33547126.649999999</v>
      </c>
      <c r="M436" s="179">
        <v>0</v>
      </c>
      <c r="N436" s="179">
        <v>0</v>
      </c>
    </row>
    <row r="437" spans="1:14" s="156" customFormat="1" x14ac:dyDescent="0.25">
      <c r="A437" s="156" t="s">
        <v>546</v>
      </c>
      <c r="B437" s="156" t="s">
        <v>376</v>
      </c>
      <c r="C437" s="156" t="s">
        <v>377</v>
      </c>
      <c r="D437" s="156" t="s">
        <v>541</v>
      </c>
      <c r="E437" s="179">
        <v>1831900000</v>
      </c>
      <c r="F437" s="179">
        <v>4742400000</v>
      </c>
      <c r="G437" s="179">
        <v>4742400000</v>
      </c>
      <c r="H437" s="179">
        <v>0</v>
      </c>
      <c r="I437" s="179">
        <v>0</v>
      </c>
      <c r="J437" s="179">
        <v>0</v>
      </c>
      <c r="K437" s="179">
        <v>4742400000</v>
      </c>
      <c r="L437" s="179">
        <v>4742400000</v>
      </c>
      <c r="M437" s="179">
        <v>0</v>
      </c>
      <c r="N437" s="179">
        <v>0</v>
      </c>
    </row>
    <row r="438" spans="1:14" s="156" customFormat="1" x14ac:dyDescent="0.25">
      <c r="A438" s="156" t="s">
        <v>546</v>
      </c>
      <c r="B438" s="156" t="s">
        <v>378</v>
      </c>
      <c r="C438" s="156" t="s">
        <v>379</v>
      </c>
      <c r="D438" s="156" t="s">
        <v>541</v>
      </c>
      <c r="E438" s="179">
        <v>1831900000</v>
      </c>
      <c r="F438" s="179">
        <v>4742400000</v>
      </c>
      <c r="G438" s="179">
        <v>4742400000</v>
      </c>
      <c r="H438" s="179">
        <v>0</v>
      </c>
      <c r="I438" s="179">
        <v>0</v>
      </c>
      <c r="J438" s="179">
        <v>0</v>
      </c>
      <c r="K438" s="179">
        <v>4742400000</v>
      </c>
      <c r="L438" s="179">
        <v>4742400000</v>
      </c>
      <c r="M438" s="179">
        <v>0</v>
      </c>
      <c r="N438" s="179">
        <v>0</v>
      </c>
    </row>
    <row r="439" spans="1:14" s="156" customFormat="1" x14ac:dyDescent="0.25">
      <c r="A439" s="156" t="s">
        <v>546</v>
      </c>
      <c r="B439" s="156" t="s">
        <v>380</v>
      </c>
      <c r="C439" s="156" t="s">
        <v>381</v>
      </c>
      <c r="D439" s="156" t="s">
        <v>541</v>
      </c>
      <c r="E439" s="179">
        <v>0</v>
      </c>
      <c r="F439" s="179">
        <v>3200000000</v>
      </c>
      <c r="G439" s="179">
        <v>3200000000</v>
      </c>
      <c r="H439" s="179">
        <v>0</v>
      </c>
      <c r="I439" s="179">
        <v>0</v>
      </c>
      <c r="J439" s="179">
        <v>0</v>
      </c>
      <c r="K439" s="179">
        <v>3200000000</v>
      </c>
      <c r="L439" s="179">
        <v>3200000000</v>
      </c>
      <c r="M439" s="179">
        <v>0</v>
      </c>
      <c r="N439" s="179">
        <v>0</v>
      </c>
    </row>
    <row r="440" spans="1:14" s="156" customFormat="1" x14ac:dyDescent="0.25">
      <c r="A440" s="156" t="s">
        <v>546</v>
      </c>
      <c r="B440" s="156" t="s">
        <v>380</v>
      </c>
      <c r="C440" s="156" t="s">
        <v>381</v>
      </c>
      <c r="D440" s="156" t="s">
        <v>543</v>
      </c>
      <c r="E440" s="179">
        <v>1831900000</v>
      </c>
      <c r="F440" s="179">
        <v>1542400000</v>
      </c>
      <c r="G440" s="179">
        <v>1542400000</v>
      </c>
      <c r="H440" s="179">
        <v>0</v>
      </c>
      <c r="I440" s="179">
        <v>0</v>
      </c>
      <c r="J440" s="179">
        <v>0</v>
      </c>
      <c r="K440" s="179">
        <v>1542400000</v>
      </c>
      <c r="L440" s="179">
        <v>1542400000</v>
      </c>
      <c r="M440" s="179">
        <v>0</v>
      </c>
      <c r="N440" s="179">
        <v>0</v>
      </c>
    </row>
    <row r="441" spans="1:14" s="156" customFormat="1" x14ac:dyDescent="0.25">
      <c r="A441" s="156" t="s">
        <v>546</v>
      </c>
      <c r="B441" s="156" t="s">
        <v>576</v>
      </c>
      <c r="C441" s="156" t="s">
        <v>577</v>
      </c>
      <c r="D441" s="156" t="s">
        <v>541</v>
      </c>
      <c r="E441" s="179">
        <v>0</v>
      </c>
      <c r="F441" s="179">
        <v>150000000</v>
      </c>
      <c r="G441" s="179">
        <v>150000000</v>
      </c>
      <c r="H441" s="179">
        <v>0</v>
      </c>
      <c r="I441" s="179">
        <v>0</v>
      </c>
      <c r="J441" s="179">
        <v>0</v>
      </c>
      <c r="K441" s="179">
        <v>0</v>
      </c>
      <c r="L441" s="179">
        <v>0</v>
      </c>
      <c r="M441" s="179">
        <v>150000000</v>
      </c>
      <c r="N441" s="179">
        <v>150000000</v>
      </c>
    </row>
    <row r="442" spans="1:14" s="156" customFormat="1" x14ac:dyDescent="0.25">
      <c r="A442" s="156" t="s">
        <v>546</v>
      </c>
      <c r="B442" s="156" t="s">
        <v>574</v>
      </c>
      <c r="C442" s="156" t="s">
        <v>575</v>
      </c>
      <c r="D442" s="156" t="s">
        <v>541</v>
      </c>
      <c r="E442" s="179">
        <v>0</v>
      </c>
      <c r="F442" s="179">
        <v>150000000</v>
      </c>
      <c r="G442" s="179">
        <v>150000000</v>
      </c>
      <c r="H442" s="179">
        <v>0</v>
      </c>
      <c r="I442" s="179">
        <v>0</v>
      </c>
      <c r="J442" s="179">
        <v>0</v>
      </c>
      <c r="K442" s="179">
        <v>0</v>
      </c>
      <c r="L442" s="179">
        <v>0</v>
      </c>
      <c r="M442" s="179">
        <v>150000000</v>
      </c>
      <c r="N442" s="179">
        <v>150000000</v>
      </c>
    </row>
    <row r="443" spans="1:14" s="156" customFormat="1" x14ac:dyDescent="0.25">
      <c r="A443" s="156" t="s">
        <v>546</v>
      </c>
      <c r="B443" s="156" t="s">
        <v>572</v>
      </c>
      <c r="C443" s="156" t="s">
        <v>573</v>
      </c>
      <c r="D443" s="156" t="s">
        <v>541</v>
      </c>
      <c r="E443" s="179">
        <v>0</v>
      </c>
      <c r="F443" s="179">
        <v>150000000</v>
      </c>
      <c r="G443" s="179">
        <v>150000000</v>
      </c>
      <c r="H443" s="179">
        <v>0</v>
      </c>
      <c r="I443" s="179">
        <v>0</v>
      </c>
      <c r="J443" s="179">
        <v>0</v>
      </c>
      <c r="K443" s="179">
        <v>0</v>
      </c>
      <c r="L443" s="179">
        <v>0</v>
      </c>
      <c r="M443" s="179">
        <v>150000000</v>
      </c>
      <c r="N443" s="179">
        <v>150000000</v>
      </c>
    </row>
    <row r="444" spans="1:14" s="156" customFormat="1" x14ac:dyDescent="0.25">
      <c r="A444" s="156">
        <v>214784</v>
      </c>
      <c r="B444" s="156" t="s">
        <v>587</v>
      </c>
      <c r="C444" s="156" t="s">
        <v>587</v>
      </c>
      <c r="D444" s="156" t="s">
        <v>541</v>
      </c>
      <c r="E444" s="179">
        <v>14250716000</v>
      </c>
      <c r="F444" s="179">
        <v>13145300255</v>
      </c>
      <c r="G444" s="179">
        <v>13139325755</v>
      </c>
      <c r="H444" s="179">
        <v>0</v>
      </c>
      <c r="I444" s="179">
        <v>410517</v>
      </c>
      <c r="J444" s="179">
        <v>0</v>
      </c>
      <c r="K444" s="179">
        <v>12682816792.959999</v>
      </c>
      <c r="L444" s="179">
        <v>12641664266.43</v>
      </c>
      <c r="M444" s="179">
        <v>462072945.04000002</v>
      </c>
      <c r="N444" s="179">
        <v>456098445.04000002</v>
      </c>
    </row>
    <row r="445" spans="1:14" s="156" customFormat="1" x14ac:dyDescent="0.25">
      <c r="A445" s="156" t="s">
        <v>547</v>
      </c>
      <c r="B445" s="156" t="s">
        <v>92</v>
      </c>
      <c r="C445" s="156" t="s">
        <v>93</v>
      </c>
      <c r="D445" s="156" t="s">
        <v>541</v>
      </c>
      <c r="E445" s="179">
        <v>13872978000</v>
      </c>
      <c r="F445" s="179">
        <v>12670588605</v>
      </c>
      <c r="G445" s="179">
        <v>12664614105</v>
      </c>
      <c r="H445" s="179">
        <v>0</v>
      </c>
      <c r="I445" s="179">
        <v>0</v>
      </c>
      <c r="J445" s="179">
        <v>0</v>
      </c>
      <c r="K445" s="179">
        <v>12234522739.940001</v>
      </c>
      <c r="L445" s="179">
        <v>12234522739.940001</v>
      </c>
      <c r="M445" s="179">
        <v>436065865.06</v>
      </c>
      <c r="N445" s="179">
        <v>430091365.06</v>
      </c>
    </row>
    <row r="446" spans="1:14" s="156" customFormat="1" x14ac:dyDescent="0.25">
      <c r="A446" s="156" t="s">
        <v>547</v>
      </c>
      <c r="B446" s="156" t="s">
        <v>94</v>
      </c>
      <c r="C446" s="156" t="s">
        <v>95</v>
      </c>
      <c r="D446" s="156" t="s">
        <v>541</v>
      </c>
      <c r="E446" s="179">
        <v>4465420000</v>
      </c>
      <c r="F446" s="179">
        <v>4242755975</v>
      </c>
      <c r="G446" s="179">
        <v>4236781475</v>
      </c>
      <c r="H446" s="179">
        <v>0</v>
      </c>
      <c r="I446" s="179">
        <v>0</v>
      </c>
      <c r="J446" s="179">
        <v>0</v>
      </c>
      <c r="K446" s="179">
        <v>4031678545.79</v>
      </c>
      <c r="L446" s="179">
        <v>4031678545.79</v>
      </c>
      <c r="M446" s="179">
        <v>211077429.21000001</v>
      </c>
      <c r="N446" s="179">
        <v>205102929.21000001</v>
      </c>
    </row>
    <row r="447" spans="1:14" s="156" customFormat="1" x14ac:dyDescent="0.25">
      <c r="A447" s="156" t="s">
        <v>547</v>
      </c>
      <c r="B447" s="156" t="s">
        <v>96</v>
      </c>
      <c r="C447" s="156" t="s">
        <v>97</v>
      </c>
      <c r="D447" s="156" t="s">
        <v>541</v>
      </c>
      <c r="E447" s="179">
        <v>4465420000</v>
      </c>
      <c r="F447" s="179">
        <v>4242755975</v>
      </c>
      <c r="G447" s="179">
        <v>4236781475</v>
      </c>
      <c r="H447" s="179">
        <v>0</v>
      </c>
      <c r="I447" s="179">
        <v>0</v>
      </c>
      <c r="J447" s="179">
        <v>0</v>
      </c>
      <c r="K447" s="179">
        <v>4031678545.79</v>
      </c>
      <c r="L447" s="179">
        <v>4031678545.79</v>
      </c>
      <c r="M447" s="179">
        <v>211077429.21000001</v>
      </c>
      <c r="N447" s="179">
        <v>205102929.21000001</v>
      </c>
    </row>
    <row r="448" spans="1:14" s="156" customFormat="1" x14ac:dyDescent="0.25">
      <c r="A448" s="156" t="s">
        <v>547</v>
      </c>
      <c r="B448" s="156" t="s">
        <v>102</v>
      </c>
      <c r="C448" s="156" t="s">
        <v>103</v>
      </c>
      <c r="D448" s="156" t="s">
        <v>541</v>
      </c>
      <c r="E448" s="179">
        <v>7227654000</v>
      </c>
      <c r="F448" s="179">
        <v>6509654000</v>
      </c>
      <c r="G448" s="179">
        <v>6509654000</v>
      </c>
      <c r="H448" s="179">
        <v>0</v>
      </c>
      <c r="I448" s="179">
        <v>0</v>
      </c>
      <c r="J448" s="179">
        <v>0</v>
      </c>
      <c r="K448" s="179">
        <v>6345000769.3100004</v>
      </c>
      <c r="L448" s="179">
        <v>6345000769.3100004</v>
      </c>
      <c r="M448" s="179">
        <v>164653230.69</v>
      </c>
      <c r="N448" s="179">
        <v>164653230.69</v>
      </c>
    </row>
    <row r="449" spans="1:14" s="156" customFormat="1" x14ac:dyDescent="0.25">
      <c r="A449" s="156" t="s">
        <v>547</v>
      </c>
      <c r="B449" s="156" t="s">
        <v>104</v>
      </c>
      <c r="C449" s="156" t="s">
        <v>105</v>
      </c>
      <c r="D449" s="156" t="s">
        <v>541</v>
      </c>
      <c r="E449" s="179">
        <v>1545488000</v>
      </c>
      <c r="F449" s="179">
        <v>1352488000</v>
      </c>
      <c r="G449" s="179">
        <v>1352488000</v>
      </c>
      <c r="H449" s="179">
        <v>0</v>
      </c>
      <c r="I449" s="179">
        <v>0</v>
      </c>
      <c r="J449" s="179">
        <v>0</v>
      </c>
      <c r="K449" s="179">
        <v>1342596364.6600001</v>
      </c>
      <c r="L449" s="179">
        <v>1342596364.6600001</v>
      </c>
      <c r="M449" s="179">
        <v>9891635.3399999999</v>
      </c>
      <c r="N449" s="179">
        <v>9891635.3399999999</v>
      </c>
    </row>
    <row r="450" spans="1:14" s="156" customFormat="1" x14ac:dyDescent="0.25">
      <c r="A450" s="156" t="s">
        <v>547</v>
      </c>
      <c r="B450" s="156" t="s">
        <v>106</v>
      </c>
      <c r="C450" s="156" t="s">
        <v>107</v>
      </c>
      <c r="D450" s="156" t="s">
        <v>541</v>
      </c>
      <c r="E450" s="179">
        <v>2806395000</v>
      </c>
      <c r="F450" s="179">
        <v>2380895000</v>
      </c>
      <c r="G450" s="179">
        <v>2380895000</v>
      </c>
      <c r="H450" s="179">
        <v>0</v>
      </c>
      <c r="I450" s="179">
        <v>0</v>
      </c>
      <c r="J450" s="179">
        <v>0</v>
      </c>
      <c r="K450" s="179">
        <v>2345568227.0900002</v>
      </c>
      <c r="L450" s="179">
        <v>2345568227.0900002</v>
      </c>
      <c r="M450" s="179">
        <v>35326772.909999996</v>
      </c>
      <c r="N450" s="179">
        <v>35326772.909999996</v>
      </c>
    </row>
    <row r="451" spans="1:14" s="156" customFormat="1" x14ac:dyDescent="0.25">
      <c r="A451" s="156" t="s">
        <v>547</v>
      </c>
      <c r="B451" s="156" t="s">
        <v>108</v>
      </c>
      <c r="C451" s="156" t="s">
        <v>109</v>
      </c>
      <c r="D451" s="156" t="s">
        <v>541</v>
      </c>
      <c r="E451" s="179">
        <v>713716000</v>
      </c>
      <c r="F451" s="179">
        <v>721716000</v>
      </c>
      <c r="G451" s="179">
        <v>721716000</v>
      </c>
      <c r="H451" s="179">
        <v>0</v>
      </c>
      <c r="I451" s="179">
        <v>0</v>
      </c>
      <c r="J451" s="179">
        <v>0</v>
      </c>
      <c r="K451" s="179">
        <v>718026069.89999998</v>
      </c>
      <c r="L451" s="179">
        <v>718026069.89999998</v>
      </c>
      <c r="M451" s="179">
        <v>3689930.1</v>
      </c>
      <c r="N451" s="179">
        <v>3689930.1</v>
      </c>
    </row>
    <row r="452" spans="1:14" s="156" customFormat="1" x14ac:dyDescent="0.25">
      <c r="A452" s="156" t="s">
        <v>547</v>
      </c>
      <c r="B452" s="156" t="s">
        <v>110</v>
      </c>
      <c r="C452" s="156" t="s">
        <v>111</v>
      </c>
      <c r="D452" s="156" t="s">
        <v>541</v>
      </c>
      <c r="E452" s="179">
        <v>1280679000</v>
      </c>
      <c r="F452" s="179">
        <v>1173179000</v>
      </c>
      <c r="G452" s="179">
        <v>1173179000</v>
      </c>
      <c r="H452" s="179">
        <v>0</v>
      </c>
      <c r="I452" s="179">
        <v>0</v>
      </c>
      <c r="J452" s="179">
        <v>0</v>
      </c>
      <c r="K452" s="179">
        <v>1131713811.5</v>
      </c>
      <c r="L452" s="179">
        <v>1131713811.5</v>
      </c>
      <c r="M452" s="179">
        <v>41465188.5</v>
      </c>
      <c r="N452" s="179">
        <v>41465188.5</v>
      </c>
    </row>
    <row r="453" spans="1:14" s="156" customFormat="1" x14ac:dyDescent="0.25">
      <c r="A453" s="156" t="s">
        <v>547</v>
      </c>
      <c r="B453" s="156" t="s">
        <v>112</v>
      </c>
      <c r="C453" s="156" t="s">
        <v>113</v>
      </c>
      <c r="D453" s="156" t="s">
        <v>543</v>
      </c>
      <c r="E453" s="179">
        <v>881376000</v>
      </c>
      <c r="F453" s="179">
        <v>881376000</v>
      </c>
      <c r="G453" s="179">
        <v>881376000</v>
      </c>
      <c r="H453" s="179">
        <v>0</v>
      </c>
      <c r="I453" s="179">
        <v>0</v>
      </c>
      <c r="J453" s="179">
        <v>0</v>
      </c>
      <c r="K453" s="179">
        <v>807096296.15999997</v>
      </c>
      <c r="L453" s="179">
        <v>807096296.15999997</v>
      </c>
      <c r="M453" s="179">
        <v>74279703.840000004</v>
      </c>
      <c r="N453" s="179">
        <v>74279703.840000004</v>
      </c>
    </row>
    <row r="454" spans="1:14" s="156" customFormat="1" x14ac:dyDescent="0.25">
      <c r="A454" s="156" t="s">
        <v>547</v>
      </c>
      <c r="B454" s="156" t="s">
        <v>114</v>
      </c>
      <c r="C454" s="156" t="s">
        <v>115</v>
      </c>
      <c r="D454" s="156" t="s">
        <v>541</v>
      </c>
      <c r="E454" s="179">
        <v>1054142000</v>
      </c>
      <c r="F454" s="179">
        <v>964497800</v>
      </c>
      <c r="G454" s="179">
        <v>964497800</v>
      </c>
      <c r="H454" s="179">
        <v>0</v>
      </c>
      <c r="I454" s="179">
        <v>0</v>
      </c>
      <c r="J454" s="179">
        <v>0</v>
      </c>
      <c r="K454" s="179">
        <v>931408728</v>
      </c>
      <c r="L454" s="179">
        <v>931408728</v>
      </c>
      <c r="M454" s="179">
        <v>33089072</v>
      </c>
      <c r="N454" s="179">
        <v>33089072</v>
      </c>
    </row>
    <row r="455" spans="1:14" s="156" customFormat="1" x14ac:dyDescent="0.25">
      <c r="A455" s="156" t="s">
        <v>547</v>
      </c>
      <c r="B455" s="156" t="s">
        <v>382</v>
      </c>
      <c r="C455" s="156" t="s">
        <v>620</v>
      </c>
      <c r="D455" s="156" t="s">
        <v>541</v>
      </c>
      <c r="E455" s="179">
        <v>1000083000</v>
      </c>
      <c r="F455" s="179">
        <v>915035940</v>
      </c>
      <c r="G455" s="179">
        <v>915035940</v>
      </c>
      <c r="H455" s="179">
        <v>0</v>
      </c>
      <c r="I455" s="179">
        <v>0</v>
      </c>
      <c r="J455" s="179">
        <v>0</v>
      </c>
      <c r="K455" s="179">
        <v>883646633</v>
      </c>
      <c r="L455" s="179">
        <v>883646633</v>
      </c>
      <c r="M455" s="179">
        <v>31389307</v>
      </c>
      <c r="N455" s="179">
        <v>31389307</v>
      </c>
    </row>
    <row r="456" spans="1:14" s="156" customFormat="1" x14ac:dyDescent="0.25">
      <c r="A456" s="156" t="s">
        <v>547</v>
      </c>
      <c r="B456" s="156" t="s">
        <v>383</v>
      </c>
      <c r="C456" s="156" t="s">
        <v>583</v>
      </c>
      <c r="D456" s="156" t="s">
        <v>541</v>
      </c>
      <c r="E456" s="179">
        <v>54059000</v>
      </c>
      <c r="F456" s="179">
        <v>49461860</v>
      </c>
      <c r="G456" s="179">
        <v>49461860</v>
      </c>
      <c r="H456" s="179">
        <v>0</v>
      </c>
      <c r="I456" s="179">
        <v>0</v>
      </c>
      <c r="J456" s="179">
        <v>0</v>
      </c>
      <c r="K456" s="179">
        <v>47762095</v>
      </c>
      <c r="L456" s="179">
        <v>47762095</v>
      </c>
      <c r="M456" s="179">
        <v>1699765</v>
      </c>
      <c r="N456" s="179">
        <v>1699765</v>
      </c>
    </row>
    <row r="457" spans="1:14" s="156" customFormat="1" x14ac:dyDescent="0.25">
      <c r="A457" s="156" t="s">
        <v>547</v>
      </c>
      <c r="B457" s="156" t="s">
        <v>118</v>
      </c>
      <c r="C457" s="156" t="s">
        <v>119</v>
      </c>
      <c r="D457" s="156" t="s">
        <v>541</v>
      </c>
      <c r="E457" s="179">
        <v>1125762000</v>
      </c>
      <c r="F457" s="179">
        <v>953680830</v>
      </c>
      <c r="G457" s="179">
        <v>953680830</v>
      </c>
      <c r="H457" s="179">
        <v>0</v>
      </c>
      <c r="I457" s="179">
        <v>0</v>
      </c>
      <c r="J457" s="179">
        <v>0</v>
      </c>
      <c r="K457" s="179">
        <v>926434696.84000003</v>
      </c>
      <c r="L457" s="179">
        <v>926434696.84000003</v>
      </c>
      <c r="M457" s="179">
        <v>27246133.16</v>
      </c>
      <c r="N457" s="179">
        <v>27246133.16</v>
      </c>
    </row>
    <row r="458" spans="1:14" s="156" customFormat="1" x14ac:dyDescent="0.25">
      <c r="A458" s="156" t="s">
        <v>547</v>
      </c>
      <c r="B458" s="156" t="s">
        <v>384</v>
      </c>
      <c r="C458" s="156" t="s">
        <v>621</v>
      </c>
      <c r="D458" s="156" t="s">
        <v>541</v>
      </c>
      <c r="E458" s="179">
        <v>549235000</v>
      </c>
      <c r="F458" s="179">
        <v>417528070</v>
      </c>
      <c r="G458" s="179">
        <v>417528070</v>
      </c>
      <c r="H458" s="179">
        <v>0</v>
      </c>
      <c r="I458" s="179">
        <v>0</v>
      </c>
      <c r="J458" s="179">
        <v>0</v>
      </c>
      <c r="K458" s="179">
        <v>406365038</v>
      </c>
      <c r="L458" s="179">
        <v>406365038</v>
      </c>
      <c r="M458" s="179">
        <v>11163032</v>
      </c>
      <c r="N458" s="179">
        <v>11163032</v>
      </c>
    </row>
    <row r="459" spans="1:14" s="156" customFormat="1" x14ac:dyDescent="0.25">
      <c r="A459" s="156" t="s">
        <v>547</v>
      </c>
      <c r="B459" s="156" t="s">
        <v>385</v>
      </c>
      <c r="C459" s="156" t="s">
        <v>622</v>
      </c>
      <c r="D459" s="156" t="s">
        <v>541</v>
      </c>
      <c r="E459" s="179">
        <v>162176000</v>
      </c>
      <c r="F459" s="179">
        <v>148384590</v>
      </c>
      <c r="G459" s="179">
        <v>148384590</v>
      </c>
      <c r="H459" s="179">
        <v>0</v>
      </c>
      <c r="I459" s="179">
        <v>0</v>
      </c>
      <c r="J459" s="179">
        <v>0</v>
      </c>
      <c r="K459" s="179">
        <v>143286324</v>
      </c>
      <c r="L459" s="179">
        <v>143286324</v>
      </c>
      <c r="M459" s="179">
        <v>5098266</v>
      </c>
      <c r="N459" s="179">
        <v>5098266</v>
      </c>
    </row>
    <row r="460" spans="1:14" x14ac:dyDescent="0.25">
      <c r="A460" s="156" t="s">
        <v>547</v>
      </c>
      <c r="B460" s="156" t="s">
        <v>386</v>
      </c>
      <c r="C460" s="156" t="s">
        <v>623</v>
      </c>
      <c r="D460" s="156" t="s">
        <v>541</v>
      </c>
      <c r="E460" s="179">
        <v>324351000</v>
      </c>
      <c r="F460" s="179">
        <v>296768170</v>
      </c>
      <c r="G460" s="179">
        <v>296768170</v>
      </c>
      <c r="H460" s="179">
        <v>0</v>
      </c>
      <c r="I460" s="179">
        <v>0</v>
      </c>
      <c r="J460" s="179">
        <v>0</v>
      </c>
      <c r="K460" s="179">
        <v>286572616</v>
      </c>
      <c r="L460" s="179">
        <v>286572616</v>
      </c>
      <c r="M460" s="179">
        <v>10195554</v>
      </c>
      <c r="N460" s="179">
        <v>10195554</v>
      </c>
    </row>
    <row r="461" spans="1:14" x14ac:dyDescent="0.25">
      <c r="A461" s="156" t="s">
        <v>547</v>
      </c>
      <c r="B461" s="156" t="s">
        <v>387</v>
      </c>
      <c r="C461" s="156" t="s">
        <v>388</v>
      </c>
      <c r="D461" s="156" t="s">
        <v>541</v>
      </c>
      <c r="E461" s="179">
        <v>90000000</v>
      </c>
      <c r="F461" s="179">
        <v>91000000</v>
      </c>
      <c r="G461" s="179">
        <v>91000000</v>
      </c>
      <c r="H461" s="179">
        <v>0</v>
      </c>
      <c r="I461" s="179">
        <v>0</v>
      </c>
      <c r="J461" s="179">
        <v>0</v>
      </c>
      <c r="K461" s="179">
        <v>90210718.840000004</v>
      </c>
      <c r="L461" s="179">
        <v>90210718.840000004</v>
      </c>
      <c r="M461" s="179">
        <v>789281.16</v>
      </c>
      <c r="N461" s="179">
        <v>789281.16</v>
      </c>
    </row>
    <row r="462" spans="1:14" x14ac:dyDescent="0.25">
      <c r="A462" s="156" t="s">
        <v>547</v>
      </c>
      <c r="B462" s="156" t="s">
        <v>123</v>
      </c>
      <c r="C462" s="156" t="s">
        <v>124</v>
      </c>
      <c r="D462" s="156" t="s">
        <v>541</v>
      </c>
      <c r="E462" s="179">
        <v>37000000</v>
      </c>
      <c r="F462" s="179">
        <v>39000000</v>
      </c>
      <c r="G462" s="179">
        <v>39000000</v>
      </c>
      <c r="H462" s="179">
        <v>0</v>
      </c>
      <c r="I462" s="179">
        <v>410517</v>
      </c>
      <c r="J462" s="179">
        <v>0</v>
      </c>
      <c r="K462" s="179">
        <v>38589483</v>
      </c>
      <c r="L462" s="179">
        <v>38589483</v>
      </c>
      <c r="M462" s="179">
        <v>0</v>
      </c>
      <c r="N462" s="179">
        <v>0</v>
      </c>
    </row>
    <row r="463" spans="1:14" x14ac:dyDescent="0.25">
      <c r="A463" s="156" t="s">
        <v>547</v>
      </c>
      <c r="B463" s="156" t="s">
        <v>168</v>
      </c>
      <c r="C463" s="156" t="s">
        <v>169</v>
      </c>
      <c r="D463" s="156" t="s">
        <v>541</v>
      </c>
      <c r="E463" s="179">
        <v>37000000</v>
      </c>
      <c r="F463" s="179">
        <v>39000000</v>
      </c>
      <c r="G463" s="179">
        <v>39000000</v>
      </c>
      <c r="H463" s="179">
        <v>0</v>
      </c>
      <c r="I463" s="179">
        <v>410517</v>
      </c>
      <c r="J463" s="179">
        <v>0</v>
      </c>
      <c r="K463" s="179">
        <v>38589483</v>
      </c>
      <c r="L463" s="179">
        <v>38589483</v>
      </c>
      <c r="M463" s="179">
        <v>0</v>
      </c>
      <c r="N463" s="179">
        <v>0</v>
      </c>
    </row>
    <row r="464" spans="1:14" x14ac:dyDescent="0.25">
      <c r="A464" s="156" t="s">
        <v>547</v>
      </c>
      <c r="B464" s="156" t="s">
        <v>170</v>
      </c>
      <c r="C464" s="156" t="s">
        <v>171</v>
      </c>
      <c r="D464" s="156" t="s">
        <v>541</v>
      </c>
      <c r="E464" s="179">
        <v>37000000</v>
      </c>
      <c r="F464" s="179">
        <v>39000000</v>
      </c>
      <c r="G464" s="179">
        <v>39000000</v>
      </c>
      <c r="H464" s="179">
        <v>0</v>
      </c>
      <c r="I464" s="179">
        <v>410517</v>
      </c>
      <c r="J464" s="179">
        <v>0</v>
      </c>
      <c r="K464" s="179">
        <v>38589483</v>
      </c>
      <c r="L464" s="179">
        <v>38589483</v>
      </c>
      <c r="M464" s="179">
        <v>0</v>
      </c>
      <c r="N464" s="179">
        <v>0</v>
      </c>
    </row>
    <row r="465" spans="1:14" x14ac:dyDescent="0.25">
      <c r="A465" s="156" t="s">
        <v>547</v>
      </c>
      <c r="B465" s="156" t="s">
        <v>251</v>
      </c>
      <c r="C465" s="156" t="s">
        <v>252</v>
      </c>
      <c r="D465" s="156" t="s">
        <v>541</v>
      </c>
      <c r="E465" s="179">
        <v>340738000</v>
      </c>
      <c r="F465" s="179">
        <v>435711650</v>
      </c>
      <c r="G465" s="179">
        <v>435711650</v>
      </c>
      <c r="H465" s="179">
        <v>0</v>
      </c>
      <c r="I465" s="179">
        <v>0</v>
      </c>
      <c r="J465" s="179">
        <v>0</v>
      </c>
      <c r="K465" s="179">
        <v>409704570.01999998</v>
      </c>
      <c r="L465" s="179">
        <v>368552043.49000001</v>
      </c>
      <c r="M465" s="179">
        <v>26007079.98</v>
      </c>
      <c r="N465" s="179">
        <v>26007079.98</v>
      </c>
    </row>
    <row r="466" spans="1:14" x14ac:dyDescent="0.25">
      <c r="A466" s="156" t="s">
        <v>547</v>
      </c>
      <c r="B466" s="156" t="s">
        <v>253</v>
      </c>
      <c r="C466" s="156" t="s">
        <v>254</v>
      </c>
      <c r="D466" s="156" t="s">
        <v>541</v>
      </c>
      <c r="E466" s="179">
        <v>89738000</v>
      </c>
      <c r="F466" s="179">
        <v>82106750</v>
      </c>
      <c r="G466" s="179">
        <v>82106750</v>
      </c>
      <c r="H466" s="179">
        <v>0</v>
      </c>
      <c r="I466" s="179">
        <v>0</v>
      </c>
      <c r="J466" s="179">
        <v>0</v>
      </c>
      <c r="K466" s="179">
        <v>79285067.909999996</v>
      </c>
      <c r="L466" s="179">
        <v>79285067.909999996</v>
      </c>
      <c r="M466" s="179">
        <v>2821682.09</v>
      </c>
      <c r="N466" s="179">
        <v>2821682.09</v>
      </c>
    </row>
    <row r="467" spans="1:14" x14ac:dyDescent="0.25">
      <c r="A467" s="156" t="s">
        <v>547</v>
      </c>
      <c r="B467" s="156" t="s">
        <v>389</v>
      </c>
      <c r="C467" s="156" t="s">
        <v>625</v>
      </c>
      <c r="D467" s="156" t="s">
        <v>541</v>
      </c>
      <c r="E467" s="179">
        <v>62708000</v>
      </c>
      <c r="F467" s="179">
        <v>57375320</v>
      </c>
      <c r="G467" s="179">
        <v>57375320</v>
      </c>
      <c r="H467" s="179">
        <v>0</v>
      </c>
      <c r="I467" s="179">
        <v>0</v>
      </c>
      <c r="J467" s="179">
        <v>0</v>
      </c>
      <c r="K467" s="179">
        <v>55404023.350000001</v>
      </c>
      <c r="L467" s="179">
        <v>55404023.350000001</v>
      </c>
      <c r="M467" s="179">
        <v>1971296.65</v>
      </c>
      <c r="N467" s="179">
        <v>1971296.65</v>
      </c>
    </row>
    <row r="468" spans="1:14" x14ac:dyDescent="0.25">
      <c r="A468" s="156" t="s">
        <v>547</v>
      </c>
      <c r="B468" s="156" t="s">
        <v>390</v>
      </c>
      <c r="C468" s="156" t="s">
        <v>626</v>
      </c>
      <c r="D468" s="156" t="s">
        <v>541</v>
      </c>
      <c r="E468" s="179">
        <v>27030000</v>
      </c>
      <c r="F468" s="179">
        <v>24731430</v>
      </c>
      <c r="G468" s="179">
        <v>24731430</v>
      </c>
      <c r="H468" s="179">
        <v>0</v>
      </c>
      <c r="I468" s="179">
        <v>0</v>
      </c>
      <c r="J468" s="179">
        <v>0</v>
      </c>
      <c r="K468" s="179">
        <v>23881044.559999999</v>
      </c>
      <c r="L468" s="179">
        <v>23881044.559999999</v>
      </c>
      <c r="M468" s="179">
        <v>850385.44</v>
      </c>
      <c r="N468" s="179">
        <v>850385.44</v>
      </c>
    </row>
    <row r="469" spans="1:14" x14ac:dyDescent="0.25">
      <c r="A469" s="156" t="s">
        <v>547</v>
      </c>
      <c r="B469" s="156" t="s">
        <v>261</v>
      </c>
      <c r="C469" s="156" t="s">
        <v>262</v>
      </c>
      <c r="D469" s="156" t="s">
        <v>541</v>
      </c>
      <c r="E469" s="179">
        <v>235000000</v>
      </c>
      <c r="F469" s="179">
        <v>311293800</v>
      </c>
      <c r="G469" s="179">
        <v>311293800</v>
      </c>
      <c r="H469" s="179">
        <v>0</v>
      </c>
      <c r="I469" s="179">
        <v>0</v>
      </c>
      <c r="J469" s="179">
        <v>0</v>
      </c>
      <c r="K469" s="179">
        <v>307535579.14999998</v>
      </c>
      <c r="L469" s="179">
        <v>266383052.62</v>
      </c>
      <c r="M469" s="179">
        <v>3758220.85</v>
      </c>
      <c r="N469" s="179">
        <v>3758220.85</v>
      </c>
    </row>
    <row r="470" spans="1:14" x14ac:dyDescent="0.25">
      <c r="A470" s="156" t="s">
        <v>547</v>
      </c>
      <c r="B470" s="156" t="s">
        <v>263</v>
      </c>
      <c r="C470" s="156" t="s">
        <v>264</v>
      </c>
      <c r="D470" s="156" t="s">
        <v>541</v>
      </c>
      <c r="E470" s="179">
        <v>170000000</v>
      </c>
      <c r="F470" s="179">
        <v>255025500</v>
      </c>
      <c r="G470" s="179">
        <v>255025500</v>
      </c>
      <c r="H470" s="179">
        <v>0</v>
      </c>
      <c r="I470" s="179">
        <v>0</v>
      </c>
      <c r="J470" s="179">
        <v>0</v>
      </c>
      <c r="K470" s="179">
        <v>251928569.37</v>
      </c>
      <c r="L470" s="179">
        <v>210776042.84</v>
      </c>
      <c r="M470" s="179">
        <v>3096930.63</v>
      </c>
      <c r="N470" s="179">
        <v>3096930.63</v>
      </c>
    </row>
    <row r="471" spans="1:14" x14ac:dyDescent="0.25">
      <c r="A471" s="156" t="s">
        <v>547</v>
      </c>
      <c r="B471" s="156" t="s">
        <v>265</v>
      </c>
      <c r="C471" s="156" t="s">
        <v>266</v>
      </c>
      <c r="D471" s="156" t="s">
        <v>541</v>
      </c>
      <c r="E471" s="179">
        <v>65000000</v>
      </c>
      <c r="F471" s="179">
        <v>56268300</v>
      </c>
      <c r="G471" s="179">
        <v>56268300</v>
      </c>
      <c r="H471" s="179">
        <v>0</v>
      </c>
      <c r="I471" s="179">
        <v>0</v>
      </c>
      <c r="J471" s="179">
        <v>0</v>
      </c>
      <c r="K471" s="179">
        <v>55607009.780000001</v>
      </c>
      <c r="L471" s="179">
        <v>55607009.780000001</v>
      </c>
      <c r="M471" s="179">
        <v>661290.22</v>
      </c>
      <c r="N471" s="179">
        <v>661290.22</v>
      </c>
    </row>
    <row r="472" spans="1:14" x14ac:dyDescent="0.25">
      <c r="A472" s="156" t="s">
        <v>547</v>
      </c>
      <c r="B472" s="156" t="s">
        <v>267</v>
      </c>
      <c r="C472" s="156" t="s">
        <v>268</v>
      </c>
      <c r="D472" s="156" t="s">
        <v>541</v>
      </c>
      <c r="E472" s="179">
        <v>16000000</v>
      </c>
      <c r="F472" s="179">
        <v>42311100</v>
      </c>
      <c r="G472" s="179">
        <v>42311100</v>
      </c>
      <c r="H472" s="179">
        <v>0</v>
      </c>
      <c r="I472" s="179">
        <v>0</v>
      </c>
      <c r="J472" s="179">
        <v>0</v>
      </c>
      <c r="K472" s="179">
        <v>22883922.960000001</v>
      </c>
      <c r="L472" s="179">
        <v>22883922.960000001</v>
      </c>
      <c r="M472" s="179">
        <v>19427177.039999999</v>
      </c>
      <c r="N472" s="179">
        <v>19427177.039999999</v>
      </c>
    </row>
    <row r="473" spans="1:14" x14ac:dyDescent="0.25">
      <c r="A473" s="156" t="s">
        <v>547</v>
      </c>
      <c r="B473" s="156" t="s">
        <v>269</v>
      </c>
      <c r="C473" s="156" t="s">
        <v>270</v>
      </c>
      <c r="D473" s="156" t="s">
        <v>541</v>
      </c>
      <c r="E473" s="179">
        <v>7000000</v>
      </c>
      <c r="F473" s="179">
        <v>16561100</v>
      </c>
      <c r="G473" s="179">
        <v>16561100</v>
      </c>
      <c r="H473" s="179">
        <v>0</v>
      </c>
      <c r="I473" s="179">
        <v>0</v>
      </c>
      <c r="J473" s="179">
        <v>0</v>
      </c>
      <c r="K473" s="179">
        <v>6680937.0700000003</v>
      </c>
      <c r="L473" s="179">
        <v>6680937.0700000003</v>
      </c>
      <c r="M473" s="179">
        <v>9880162.9299999997</v>
      </c>
      <c r="N473" s="179">
        <v>9880162.9299999997</v>
      </c>
    </row>
    <row r="474" spans="1:14" x14ac:dyDescent="0.25">
      <c r="A474" s="156" t="s">
        <v>547</v>
      </c>
      <c r="B474" s="156" t="s">
        <v>271</v>
      </c>
      <c r="C474" s="156" t="s">
        <v>272</v>
      </c>
      <c r="D474" s="156" t="s">
        <v>541</v>
      </c>
      <c r="E474" s="179">
        <v>9000000</v>
      </c>
      <c r="F474" s="179">
        <v>25750000</v>
      </c>
      <c r="G474" s="179">
        <v>25750000</v>
      </c>
      <c r="H474" s="179">
        <v>0</v>
      </c>
      <c r="I474" s="179">
        <v>0</v>
      </c>
      <c r="J474" s="179">
        <v>0</v>
      </c>
      <c r="K474" s="179">
        <v>16202985.890000001</v>
      </c>
      <c r="L474" s="179">
        <v>16202985.890000001</v>
      </c>
      <c r="M474" s="179">
        <v>9547014.1099999994</v>
      </c>
      <c r="N474" s="179">
        <v>9547014.1099999994</v>
      </c>
    </row>
    <row r="475" spans="1:14" x14ac:dyDescent="0.25">
      <c r="A475" s="180" t="s">
        <v>587</v>
      </c>
      <c r="B475" s="180" t="s">
        <v>587</v>
      </c>
      <c r="C475" s="180" t="s">
        <v>587</v>
      </c>
      <c r="D475" s="180" t="s">
        <v>587</v>
      </c>
      <c r="E475" s="181">
        <v>691419513450</v>
      </c>
      <c r="F475" s="181">
        <v>671511094915</v>
      </c>
      <c r="G475" s="181">
        <v>671481222410</v>
      </c>
      <c r="H475" s="181">
        <v>0</v>
      </c>
      <c r="I475" s="181">
        <v>19700146288.599998</v>
      </c>
      <c r="J475" s="181">
        <v>0</v>
      </c>
      <c r="K475" s="181">
        <v>619212582828.34998</v>
      </c>
      <c r="L475" s="181">
        <v>594284734335.09998</v>
      </c>
      <c r="M475" s="181">
        <v>32598365798.049999</v>
      </c>
      <c r="N475" s="181">
        <v>32568493293.049999</v>
      </c>
    </row>
  </sheetData>
  <conditionalFormatting sqref="K2:K48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76BE-2B2E-4949-A852-6AD73999BC03}">
  <dimension ref="A1:N475"/>
  <sheetViews>
    <sheetView workbookViewId="0">
      <selection sqref="A1:XFD1048576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156" t="s">
        <v>540</v>
      </c>
      <c r="B2" s="156" t="s">
        <v>587</v>
      </c>
      <c r="C2" s="156" t="s">
        <v>587</v>
      </c>
      <c r="D2" s="156" t="s">
        <v>541</v>
      </c>
      <c r="E2" s="179">
        <v>138283902690</v>
      </c>
      <c r="F2" s="179">
        <v>134302218983</v>
      </c>
      <c r="G2" s="179">
        <v>134296244482</v>
      </c>
      <c r="H2" s="179">
        <v>149586829.28999999</v>
      </c>
      <c r="I2" s="179">
        <v>10411486751.93</v>
      </c>
      <c r="J2" s="179">
        <v>582090454.92999995</v>
      </c>
      <c r="K2" s="179">
        <v>100055772288.44</v>
      </c>
      <c r="L2" s="179">
        <v>96339145286.529999</v>
      </c>
      <c r="M2" s="179">
        <v>23103282658.41</v>
      </c>
      <c r="N2" s="179">
        <v>23097308157.41</v>
      </c>
    </row>
    <row r="3" spans="1:14" s="156" customFormat="1" x14ac:dyDescent="0.25">
      <c r="A3" s="156" t="s">
        <v>542</v>
      </c>
      <c r="B3" s="156" t="s">
        <v>96</v>
      </c>
      <c r="C3" s="156" t="s">
        <v>97</v>
      </c>
      <c r="D3" s="156" t="s">
        <v>541</v>
      </c>
      <c r="E3" s="179">
        <v>611601000</v>
      </c>
      <c r="F3" s="179">
        <v>561866650</v>
      </c>
      <c r="G3" s="179">
        <v>561866650</v>
      </c>
      <c r="H3" s="179">
        <v>0</v>
      </c>
      <c r="I3" s="179">
        <v>0</v>
      </c>
      <c r="J3" s="179">
        <v>0</v>
      </c>
      <c r="K3" s="179">
        <v>449761334.54000002</v>
      </c>
      <c r="L3" s="179">
        <v>449761334.54000002</v>
      </c>
      <c r="M3" s="179">
        <v>112105315.45999999</v>
      </c>
      <c r="N3" s="179">
        <v>112105315.45999999</v>
      </c>
    </row>
    <row r="4" spans="1:14" s="156" customFormat="1" x14ac:dyDescent="0.25">
      <c r="A4" s="156" t="s">
        <v>542</v>
      </c>
      <c r="B4" s="156" t="s">
        <v>104</v>
      </c>
      <c r="C4" s="156" t="s">
        <v>105</v>
      </c>
      <c r="D4" s="156" t="s">
        <v>541</v>
      </c>
      <c r="E4" s="179">
        <v>167585000</v>
      </c>
      <c r="F4" s="179">
        <v>123085000</v>
      </c>
      <c r="G4" s="179">
        <v>123085000</v>
      </c>
      <c r="H4" s="179">
        <v>0</v>
      </c>
      <c r="I4" s="179">
        <v>0</v>
      </c>
      <c r="J4" s="179">
        <v>0</v>
      </c>
      <c r="K4" s="179">
        <v>104929338.81</v>
      </c>
      <c r="L4" s="179">
        <v>104929338.81</v>
      </c>
      <c r="M4" s="179">
        <v>18155661.190000001</v>
      </c>
      <c r="N4" s="179">
        <v>18155661.190000001</v>
      </c>
    </row>
    <row r="5" spans="1:14" s="156" customFormat="1" x14ac:dyDescent="0.25">
      <c r="A5" s="156" t="s">
        <v>542</v>
      </c>
      <c r="B5" s="156" t="s">
        <v>106</v>
      </c>
      <c r="C5" s="156" t="s">
        <v>107</v>
      </c>
      <c r="D5" s="156" t="s">
        <v>541</v>
      </c>
      <c r="E5" s="179">
        <v>320119000</v>
      </c>
      <c r="F5" s="179">
        <v>264319000</v>
      </c>
      <c r="G5" s="179">
        <v>264319000</v>
      </c>
      <c r="H5" s="179">
        <v>0</v>
      </c>
      <c r="I5" s="179">
        <v>0</v>
      </c>
      <c r="J5" s="179">
        <v>0</v>
      </c>
      <c r="K5" s="179">
        <v>226577616.63999999</v>
      </c>
      <c r="L5" s="179">
        <v>226577616.63999999</v>
      </c>
      <c r="M5" s="179">
        <v>37741383.359999999</v>
      </c>
      <c r="N5" s="179">
        <v>37741383.359999999</v>
      </c>
    </row>
    <row r="6" spans="1:14" s="156" customFormat="1" x14ac:dyDescent="0.25">
      <c r="A6" s="156" t="s">
        <v>542</v>
      </c>
      <c r="B6" s="156" t="s">
        <v>108</v>
      </c>
      <c r="C6" s="156" t="s">
        <v>109</v>
      </c>
      <c r="D6" s="156" t="s">
        <v>541</v>
      </c>
      <c r="E6" s="179">
        <v>83553000</v>
      </c>
      <c r="F6" s="179">
        <v>85053000</v>
      </c>
      <c r="G6" s="179">
        <v>85053000</v>
      </c>
      <c r="H6" s="179">
        <v>0</v>
      </c>
      <c r="I6" s="179">
        <v>0</v>
      </c>
      <c r="J6" s="179">
        <v>0</v>
      </c>
      <c r="K6" s="179">
        <v>84044163.719999999</v>
      </c>
      <c r="L6" s="179">
        <v>84044163.719999999</v>
      </c>
      <c r="M6" s="179">
        <v>1008836.28</v>
      </c>
      <c r="N6" s="179">
        <v>1008836.28</v>
      </c>
    </row>
    <row r="7" spans="1:14" s="156" customFormat="1" x14ac:dyDescent="0.25">
      <c r="A7" s="156" t="s">
        <v>542</v>
      </c>
      <c r="B7" s="156" t="s">
        <v>110</v>
      </c>
      <c r="C7" s="156" t="s">
        <v>111</v>
      </c>
      <c r="D7" s="156" t="s">
        <v>541</v>
      </c>
      <c r="E7" s="179">
        <v>53833000</v>
      </c>
      <c r="F7" s="179">
        <v>44833000</v>
      </c>
      <c r="G7" s="179">
        <v>44833000</v>
      </c>
      <c r="H7" s="179">
        <v>0</v>
      </c>
      <c r="I7" s="179">
        <v>0</v>
      </c>
      <c r="J7" s="179">
        <v>0</v>
      </c>
      <c r="K7" s="179">
        <v>37971062.170000002</v>
      </c>
      <c r="L7" s="179">
        <v>37971062.170000002</v>
      </c>
      <c r="M7" s="179">
        <v>6861937.8300000001</v>
      </c>
      <c r="N7" s="179">
        <v>6861937.8300000001</v>
      </c>
    </row>
    <row r="8" spans="1:14" s="156" customFormat="1" x14ac:dyDescent="0.25">
      <c r="A8" s="156" t="s">
        <v>542</v>
      </c>
      <c r="B8" s="156" t="s">
        <v>112</v>
      </c>
      <c r="C8" s="156" t="s">
        <v>113</v>
      </c>
      <c r="D8" s="156" t="s">
        <v>543</v>
      </c>
      <c r="E8" s="179">
        <v>101212000</v>
      </c>
      <c r="F8" s="179">
        <v>87572000</v>
      </c>
      <c r="G8" s="179">
        <v>87572000</v>
      </c>
      <c r="H8" s="179">
        <v>0</v>
      </c>
      <c r="I8" s="179">
        <v>0</v>
      </c>
      <c r="J8" s="179">
        <v>0</v>
      </c>
      <c r="K8" s="179">
        <v>155414.39999999999</v>
      </c>
      <c r="L8" s="179">
        <v>155414.39999999999</v>
      </c>
      <c r="M8" s="179">
        <v>87416585.599999994</v>
      </c>
      <c r="N8" s="179">
        <v>87416585.599999994</v>
      </c>
    </row>
    <row r="9" spans="1:14" s="156" customFormat="1" x14ac:dyDescent="0.25">
      <c r="A9" s="156" t="s">
        <v>542</v>
      </c>
      <c r="B9" s="156" t="s">
        <v>116</v>
      </c>
      <c r="C9" s="156" t="s">
        <v>620</v>
      </c>
      <c r="D9" s="156" t="s">
        <v>541</v>
      </c>
      <c r="E9" s="179">
        <v>114394000</v>
      </c>
      <c r="F9" s="179">
        <v>102394000</v>
      </c>
      <c r="G9" s="179">
        <v>102394000</v>
      </c>
      <c r="H9" s="179">
        <v>0</v>
      </c>
      <c r="I9" s="179">
        <v>13648514</v>
      </c>
      <c r="J9" s="179">
        <v>0</v>
      </c>
      <c r="K9" s="179">
        <v>84745486</v>
      </c>
      <c r="L9" s="179">
        <v>84745486</v>
      </c>
      <c r="M9" s="179">
        <v>4000000</v>
      </c>
      <c r="N9" s="179">
        <v>4000000</v>
      </c>
    </row>
    <row r="10" spans="1:14" s="156" customFormat="1" x14ac:dyDescent="0.25">
      <c r="A10" s="156" t="s">
        <v>542</v>
      </c>
      <c r="B10" s="156" t="s">
        <v>117</v>
      </c>
      <c r="C10" s="156" t="s">
        <v>583</v>
      </c>
      <c r="D10" s="156" t="s">
        <v>541</v>
      </c>
      <c r="E10" s="179">
        <v>6184000</v>
      </c>
      <c r="F10" s="179">
        <v>5536000</v>
      </c>
      <c r="G10" s="179">
        <v>5536000</v>
      </c>
      <c r="H10" s="179">
        <v>0</v>
      </c>
      <c r="I10" s="179">
        <v>955174</v>
      </c>
      <c r="J10" s="179">
        <v>0</v>
      </c>
      <c r="K10" s="179">
        <v>4580826</v>
      </c>
      <c r="L10" s="179">
        <v>4580826</v>
      </c>
      <c r="M10" s="179">
        <v>0</v>
      </c>
      <c r="N10" s="179">
        <v>0</v>
      </c>
    </row>
    <row r="11" spans="1:14" s="156" customFormat="1" x14ac:dyDescent="0.25">
      <c r="A11" s="156" t="s">
        <v>542</v>
      </c>
      <c r="B11" s="156" t="s">
        <v>120</v>
      </c>
      <c r="C11" s="156" t="s">
        <v>621</v>
      </c>
      <c r="D11" s="156" t="s">
        <v>541</v>
      </c>
      <c r="E11" s="179">
        <v>62824000</v>
      </c>
      <c r="F11" s="179">
        <v>56274000</v>
      </c>
      <c r="G11" s="179">
        <v>56274000</v>
      </c>
      <c r="H11" s="179">
        <v>0</v>
      </c>
      <c r="I11" s="179">
        <v>9732694</v>
      </c>
      <c r="J11" s="179">
        <v>0</v>
      </c>
      <c r="K11" s="179">
        <v>46541306</v>
      </c>
      <c r="L11" s="179">
        <v>46541306</v>
      </c>
      <c r="M11" s="179">
        <v>0</v>
      </c>
      <c r="N11" s="179">
        <v>0</v>
      </c>
    </row>
    <row r="12" spans="1:14" s="156" customFormat="1" x14ac:dyDescent="0.25">
      <c r="A12" s="156" t="s">
        <v>542</v>
      </c>
      <c r="B12" s="156" t="s">
        <v>121</v>
      </c>
      <c r="C12" s="156" t="s">
        <v>622</v>
      </c>
      <c r="D12" s="156" t="s">
        <v>541</v>
      </c>
      <c r="E12" s="179">
        <v>18551000</v>
      </c>
      <c r="F12" s="179">
        <v>16641000</v>
      </c>
      <c r="G12" s="179">
        <v>16641000</v>
      </c>
      <c r="H12" s="179">
        <v>0</v>
      </c>
      <c r="I12" s="179">
        <v>2898463</v>
      </c>
      <c r="J12" s="179">
        <v>0</v>
      </c>
      <c r="K12" s="179">
        <v>13742537</v>
      </c>
      <c r="L12" s="179">
        <v>13742537</v>
      </c>
      <c r="M12" s="179">
        <v>0</v>
      </c>
      <c r="N12" s="179">
        <v>0</v>
      </c>
    </row>
    <row r="13" spans="1:14" s="156" customFormat="1" x14ac:dyDescent="0.25">
      <c r="A13" s="156" t="s">
        <v>542</v>
      </c>
      <c r="B13" s="156" t="s">
        <v>122</v>
      </c>
      <c r="C13" s="156" t="s">
        <v>623</v>
      </c>
      <c r="D13" s="156" t="s">
        <v>541</v>
      </c>
      <c r="E13" s="179">
        <v>37101000</v>
      </c>
      <c r="F13" s="179">
        <v>33271000</v>
      </c>
      <c r="G13" s="179">
        <v>33271000</v>
      </c>
      <c r="H13" s="179">
        <v>0</v>
      </c>
      <c r="I13" s="179">
        <v>5785977</v>
      </c>
      <c r="J13" s="179">
        <v>0</v>
      </c>
      <c r="K13" s="179">
        <v>27485023</v>
      </c>
      <c r="L13" s="179">
        <v>27485023</v>
      </c>
      <c r="M13" s="179">
        <v>0</v>
      </c>
      <c r="N13" s="179">
        <v>0</v>
      </c>
    </row>
    <row r="14" spans="1:14" s="156" customFormat="1" x14ac:dyDescent="0.25">
      <c r="A14" s="156" t="s">
        <v>542</v>
      </c>
      <c r="B14" s="156" t="s">
        <v>127</v>
      </c>
      <c r="C14" s="156" t="s">
        <v>128</v>
      </c>
      <c r="D14" s="156" t="s">
        <v>541</v>
      </c>
      <c r="E14" s="179">
        <v>155000000</v>
      </c>
      <c r="F14" s="179">
        <v>148715000</v>
      </c>
      <c r="G14" s="179">
        <v>148715000</v>
      </c>
      <c r="H14" s="179">
        <v>0</v>
      </c>
      <c r="I14" s="179">
        <v>45611976.619999997</v>
      </c>
      <c r="J14" s="179">
        <v>0</v>
      </c>
      <c r="K14" s="179">
        <v>97107804.579999998</v>
      </c>
      <c r="L14" s="179">
        <v>84790330.25</v>
      </c>
      <c r="M14" s="179">
        <v>5995218.7999999998</v>
      </c>
      <c r="N14" s="179">
        <v>5995218.7999999998</v>
      </c>
    </row>
    <row r="15" spans="1:14" s="156" customFormat="1" x14ac:dyDescent="0.25">
      <c r="A15" s="156" t="s">
        <v>542</v>
      </c>
      <c r="B15" s="156" t="s">
        <v>129</v>
      </c>
      <c r="C15" s="156" t="s">
        <v>130</v>
      </c>
      <c r="D15" s="156" t="s">
        <v>541</v>
      </c>
      <c r="E15" s="179">
        <v>80000</v>
      </c>
      <c r="F15" s="179">
        <v>71375</v>
      </c>
      <c r="G15" s="179">
        <v>71375</v>
      </c>
      <c r="H15" s="179">
        <v>0</v>
      </c>
      <c r="I15" s="179">
        <v>0</v>
      </c>
      <c r="J15" s="179">
        <v>0</v>
      </c>
      <c r="K15" s="179">
        <v>71375</v>
      </c>
      <c r="L15" s="179">
        <v>71375</v>
      </c>
      <c r="M15" s="179">
        <v>0</v>
      </c>
      <c r="N15" s="179">
        <v>0</v>
      </c>
    </row>
    <row r="16" spans="1:14" s="156" customFormat="1" x14ac:dyDescent="0.25">
      <c r="A16" s="156" t="s">
        <v>542</v>
      </c>
      <c r="B16" s="156" t="s">
        <v>133</v>
      </c>
      <c r="C16" s="156" t="s">
        <v>134</v>
      </c>
      <c r="D16" s="156" t="s">
        <v>541</v>
      </c>
      <c r="E16" s="179">
        <v>6000000</v>
      </c>
      <c r="F16" s="179">
        <v>6000000</v>
      </c>
      <c r="G16" s="179">
        <v>6000000</v>
      </c>
      <c r="H16" s="179">
        <v>0</v>
      </c>
      <c r="I16" s="179">
        <v>1232077</v>
      </c>
      <c r="J16" s="179">
        <v>0</v>
      </c>
      <c r="K16" s="179">
        <v>4767923</v>
      </c>
      <c r="L16" s="179">
        <v>4298613</v>
      </c>
      <c r="M16" s="179">
        <v>0</v>
      </c>
      <c r="N16" s="179">
        <v>0</v>
      </c>
    </row>
    <row r="17" spans="1:14" s="156" customFormat="1" x14ac:dyDescent="0.25">
      <c r="A17" s="156" t="s">
        <v>542</v>
      </c>
      <c r="B17" s="156" t="s">
        <v>135</v>
      </c>
      <c r="C17" s="156" t="s">
        <v>136</v>
      </c>
      <c r="D17" s="156" t="s">
        <v>541</v>
      </c>
      <c r="E17" s="179">
        <v>62000000</v>
      </c>
      <c r="F17" s="179">
        <v>62000000</v>
      </c>
      <c r="G17" s="179">
        <v>62000000</v>
      </c>
      <c r="H17" s="179">
        <v>0</v>
      </c>
      <c r="I17" s="179">
        <v>10166455</v>
      </c>
      <c r="J17" s="179">
        <v>0</v>
      </c>
      <c r="K17" s="179">
        <v>45333545</v>
      </c>
      <c r="L17" s="179">
        <v>40969370</v>
      </c>
      <c r="M17" s="179">
        <v>6500000</v>
      </c>
      <c r="N17" s="179">
        <v>6500000</v>
      </c>
    </row>
    <row r="18" spans="1:14" s="156" customFormat="1" x14ac:dyDescent="0.25">
      <c r="A18" s="156" t="s">
        <v>542</v>
      </c>
      <c r="B18" s="156" t="s">
        <v>137</v>
      </c>
      <c r="C18" s="156" t="s">
        <v>138</v>
      </c>
      <c r="D18" s="156" t="s">
        <v>541</v>
      </c>
      <c r="E18" s="179">
        <v>25000</v>
      </c>
      <c r="F18" s="179">
        <v>25000</v>
      </c>
      <c r="G18" s="179">
        <v>25000</v>
      </c>
      <c r="H18" s="179">
        <v>0</v>
      </c>
      <c r="I18" s="179">
        <v>0</v>
      </c>
      <c r="J18" s="179">
        <v>0</v>
      </c>
      <c r="K18" s="179">
        <v>16000</v>
      </c>
      <c r="L18" s="179">
        <v>16000</v>
      </c>
      <c r="M18" s="179">
        <v>9000</v>
      </c>
      <c r="N18" s="179">
        <v>9000</v>
      </c>
    </row>
    <row r="19" spans="1:14" s="156" customFormat="1" x14ac:dyDescent="0.25">
      <c r="A19" s="156" t="s">
        <v>542</v>
      </c>
      <c r="B19" s="156" t="s">
        <v>139</v>
      </c>
      <c r="C19" s="156" t="s">
        <v>140</v>
      </c>
      <c r="D19" s="156" t="s">
        <v>541</v>
      </c>
      <c r="E19" s="179">
        <v>80000000</v>
      </c>
      <c r="F19" s="179">
        <v>80000000</v>
      </c>
      <c r="G19" s="179">
        <v>80000000</v>
      </c>
      <c r="H19" s="179">
        <v>0</v>
      </c>
      <c r="I19" s="179">
        <v>21573577</v>
      </c>
      <c r="J19" s="179">
        <v>0</v>
      </c>
      <c r="K19" s="179">
        <v>51779423</v>
      </c>
      <c r="L19" s="179">
        <v>46551265</v>
      </c>
      <c r="M19" s="179">
        <v>6647000</v>
      </c>
      <c r="N19" s="179">
        <v>6647000</v>
      </c>
    </row>
    <row r="20" spans="1:14" s="156" customFormat="1" x14ac:dyDescent="0.25">
      <c r="A20" s="156" t="s">
        <v>542</v>
      </c>
      <c r="B20" s="156" t="s">
        <v>141</v>
      </c>
      <c r="C20" s="156" t="s">
        <v>142</v>
      </c>
      <c r="D20" s="156" t="s">
        <v>541</v>
      </c>
      <c r="E20" s="179">
        <v>600000</v>
      </c>
      <c r="F20" s="179">
        <v>350200</v>
      </c>
      <c r="G20" s="179">
        <v>350200</v>
      </c>
      <c r="H20" s="179">
        <v>0</v>
      </c>
      <c r="I20" s="179">
        <v>100000</v>
      </c>
      <c r="J20" s="179">
        <v>0</v>
      </c>
      <c r="K20" s="179">
        <v>55600</v>
      </c>
      <c r="L20" s="179">
        <v>27800</v>
      </c>
      <c r="M20" s="179">
        <v>194600</v>
      </c>
      <c r="N20" s="179">
        <v>194600</v>
      </c>
    </row>
    <row r="21" spans="1:14" s="156" customFormat="1" x14ac:dyDescent="0.25">
      <c r="A21" s="156" t="s">
        <v>542</v>
      </c>
      <c r="B21" s="156" t="s">
        <v>145</v>
      </c>
      <c r="C21" s="156" t="s">
        <v>146</v>
      </c>
      <c r="D21" s="156" t="s">
        <v>541</v>
      </c>
      <c r="E21" s="179">
        <v>8000000</v>
      </c>
      <c r="F21" s="179">
        <v>10444120</v>
      </c>
      <c r="G21" s="179">
        <v>10444120</v>
      </c>
      <c r="H21" s="179">
        <v>0</v>
      </c>
      <c r="I21" s="179">
        <v>700331</v>
      </c>
      <c r="J21" s="179">
        <v>0</v>
      </c>
      <c r="K21" s="179">
        <v>9610820</v>
      </c>
      <c r="L21" s="179">
        <v>9272430</v>
      </c>
      <c r="M21" s="179">
        <v>132969</v>
      </c>
      <c r="N21" s="179">
        <v>132969</v>
      </c>
    </row>
    <row r="22" spans="1:14" s="156" customFormat="1" x14ac:dyDescent="0.25">
      <c r="A22" s="156" t="s">
        <v>542</v>
      </c>
      <c r="B22" s="156" t="s">
        <v>147</v>
      </c>
      <c r="C22" s="156" t="s">
        <v>148</v>
      </c>
      <c r="D22" s="156" t="s">
        <v>541</v>
      </c>
      <c r="E22" s="179">
        <v>2500000</v>
      </c>
      <c r="F22" s="179">
        <v>2500000</v>
      </c>
      <c r="G22" s="179">
        <v>2500000</v>
      </c>
      <c r="H22" s="179">
        <v>0</v>
      </c>
      <c r="I22" s="179">
        <v>1178000</v>
      </c>
      <c r="J22" s="179">
        <v>0</v>
      </c>
      <c r="K22" s="179">
        <v>1281000</v>
      </c>
      <c r="L22" s="179">
        <v>1281000</v>
      </c>
      <c r="M22" s="179">
        <v>41000</v>
      </c>
      <c r="N22" s="179">
        <v>41000</v>
      </c>
    </row>
    <row r="23" spans="1:14" s="156" customFormat="1" x14ac:dyDescent="0.25">
      <c r="A23" s="156" t="s">
        <v>542</v>
      </c>
      <c r="B23" s="156" t="s">
        <v>149</v>
      </c>
      <c r="C23" s="156" t="s">
        <v>150</v>
      </c>
      <c r="D23" s="156" t="s">
        <v>541</v>
      </c>
      <c r="E23" s="179">
        <v>50000</v>
      </c>
      <c r="F23" s="179">
        <v>50000</v>
      </c>
      <c r="G23" s="179">
        <v>50000</v>
      </c>
      <c r="H23" s="179">
        <v>0</v>
      </c>
      <c r="I23" s="179">
        <v>0</v>
      </c>
      <c r="J23" s="179">
        <v>0</v>
      </c>
      <c r="K23" s="179">
        <v>7994</v>
      </c>
      <c r="L23" s="179">
        <v>7994</v>
      </c>
      <c r="M23" s="179">
        <v>42006</v>
      </c>
      <c r="N23" s="179">
        <v>42006</v>
      </c>
    </row>
    <row r="24" spans="1:14" s="156" customFormat="1" x14ac:dyDescent="0.25">
      <c r="A24" s="156" t="s">
        <v>542</v>
      </c>
      <c r="B24" s="156" t="s">
        <v>154</v>
      </c>
      <c r="C24" s="156" t="s">
        <v>155</v>
      </c>
      <c r="D24" s="156" t="s">
        <v>541</v>
      </c>
      <c r="E24" s="179">
        <v>1000000</v>
      </c>
      <c r="F24" s="179">
        <v>1000000</v>
      </c>
      <c r="G24" s="179">
        <v>1000000</v>
      </c>
      <c r="H24" s="179">
        <v>0</v>
      </c>
      <c r="I24" s="179">
        <v>50000</v>
      </c>
      <c r="J24" s="179">
        <v>0</v>
      </c>
      <c r="K24" s="179">
        <v>0</v>
      </c>
      <c r="L24" s="179">
        <v>0</v>
      </c>
      <c r="M24" s="179">
        <v>950000</v>
      </c>
      <c r="N24" s="179">
        <v>950000</v>
      </c>
    </row>
    <row r="25" spans="1:14" s="156" customFormat="1" x14ac:dyDescent="0.25">
      <c r="A25" s="156" t="s">
        <v>542</v>
      </c>
      <c r="B25" s="156" t="s">
        <v>156</v>
      </c>
      <c r="C25" s="156" t="s">
        <v>157</v>
      </c>
      <c r="D25" s="156" t="s">
        <v>541</v>
      </c>
      <c r="E25" s="179">
        <v>7740000</v>
      </c>
      <c r="F25" s="179">
        <v>3240000</v>
      </c>
      <c r="G25" s="179">
        <v>3240000</v>
      </c>
      <c r="H25" s="179">
        <v>0</v>
      </c>
      <c r="I25" s="179">
        <v>1518950</v>
      </c>
      <c r="J25" s="179">
        <v>282009</v>
      </c>
      <c r="K25" s="179">
        <v>1026937</v>
      </c>
      <c r="L25" s="179">
        <v>1026937</v>
      </c>
      <c r="M25" s="179">
        <v>412104</v>
      </c>
      <c r="N25" s="179">
        <v>412104</v>
      </c>
    </row>
    <row r="26" spans="1:14" s="156" customFormat="1" x14ac:dyDescent="0.25">
      <c r="A26" s="156" t="s">
        <v>542</v>
      </c>
      <c r="B26" s="156" t="s">
        <v>160</v>
      </c>
      <c r="C26" s="156" t="s">
        <v>161</v>
      </c>
      <c r="D26" s="156" t="s">
        <v>541</v>
      </c>
      <c r="E26" s="179">
        <v>100000</v>
      </c>
      <c r="F26" s="179">
        <v>100000</v>
      </c>
      <c r="G26" s="179">
        <v>100000</v>
      </c>
      <c r="H26" s="179">
        <v>0</v>
      </c>
      <c r="I26" s="179">
        <v>0</v>
      </c>
      <c r="J26" s="179">
        <v>0</v>
      </c>
      <c r="K26" s="179">
        <v>44110</v>
      </c>
      <c r="L26" s="179">
        <v>44110</v>
      </c>
      <c r="M26" s="179">
        <v>55890</v>
      </c>
      <c r="N26" s="179">
        <v>55890</v>
      </c>
    </row>
    <row r="27" spans="1:14" s="156" customFormat="1" x14ac:dyDescent="0.25">
      <c r="A27" s="156" t="s">
        <v>542</v>
      </c>
      <c r="B27" s="156" t="s">
        <v>162</v>
      </c>
      <c r="C27" s="156" t="s">
        <v>163</v>
      </c>
      <c r="D27" s="156" t="s">
        <v>541</v>
      </c>
      <c r="E27" s="179">
        <v>10000000</v>
      </c>
      <c r="F27" s="179">
        <v>7454100</v>
      </c>
      <c r="G27" s="179">
        <v>7454100</v>
      </c>
      <c r="H27" s="179">
        <v>16700</v>
      </c>
      <c r="I27" s="179">
        <v>1085400</v>
      </c>
      <c r="J27" s="179">
        <v>0</v>
      </c>
      <c r="K27" s="179">
        <v>5807450</v>
      </c>
      <c r="L27" s="179">
        <v>5807450</v>
      </c>
      <c r="M27" s="179">
        <v>544550</v>
      </c>
      <c r="N27" s="179">
        <v>544550</v>
      </c>
    </row>
    <row r="28" spans="1:14" s="156" customFormat="1" x14ac:dyDescent="0.25">
      <c r="A28" s="156" t="s">
        <v>542</v>
      </c>
      <c r="B28" s="156" t="s">
        <v>164</v>
      </c>
      <c r="C28" s="156" t="s">
        <v>165</v>
      </c>
      <c r="D28" s="156" t="s">
        <v>541</v>
      </c>
      <c r="E28" s="179">
        <v>7000000</v>
      </c>
      <c r="F28" s="179">
        <v>6248313</v>
      </c>
      <c r="G28" s="179">
        <v>6248313</v>
      </c>
      <c r="H28" s="179">
        <v>0</v>
      </c>
      <c r="I28" s="179">
        <v>1124251.1000000001</v>
      </c>
      <c r="J28" s="179">
        <v>0</v>
      </c>
      <c r="K28" s="179">
        <v>3370126.14</v>
      </c>
      <c r="L28" s="179">
        <v>3370126.14</v>
      </c>
      <c r="M28" s="179">
        <v>1753935.76</v>
      </c>
      <c r="N28" s="179">
        <v>1753935.76</v>
      </c>
    </row>
    <row r="29" spans="1:14" s="156" customFormat="1" x14ac:dyDescent="0.25">
      <c r="A29" s="156" t="s">
        <v>542</v>
      </c>
      <c r="B29" s="156" t="s">
        <v>166</v>
      </c>
      <c r="C29" s="156" t="s">
        <v>167</v>
      </c>
      <c r="D29" s="156" t="s">
        <v>541</v>
      </c>
      <c r="E29" s="179">
        <v>8000000</v>
      </c>
      <c r="F29" s="179">
        <v>7538472</v>
      </c>
      <c r="G29" s="179">
        <v>7538472</v>
      </c>
      <c r="H29" s="179">
        <v>0</v>
      </c>
      <c r="I29" s="179">
        <v>773263.17</v>
      </c>
      <c r="J29" s="179">
        <v>0</v>
      </c>
      <c r="K29" s="179">
        <v>3613088.5</v>
      </c>
      <c r="L29" s="179">
        <v>3613088.5</v>
      </c>
      <c r="M29" s="179">
        <v>3152120.33</v>
      </c>
      <c r="N29" s="179">
        <v>3152120.33</v>
      </c>
    </row>
    <row r="30" spans="1:14" s="156" customFormat="1" x14ac:dyDescent="0.25">
      <c r="A30" s="156" t="s">
        <v>542</v>
      </c>
      <c r="B30" s="156" t="s">
        <v>170</v>
      </c>
      <c r="C30" s="156" t="s">
        <v>171</v>
      </c>
      <c r="D30" s="156" t="s">
        <v>541</v>
      </c>
      <c r="E30" s="179">
        <v>48000000</v>
      </c>
      <c r="F30" s="179">
        <v>28000000</v>
      </c>
      <c r="G30" s="179">
        <v>28000000</v>
      </c>
      <c r="H30" s="179">
        <v>0</v>
      </c>
      <c r="I30" s="179">
        <v>2302637</v>
      </c>
      <c r="J30" s="179">
        <v>0</v>
      </c>
      <c r="K30" s="179">
        <v>17694456.600000001</v>
      </c>
      <c r="L30" s="179">
        <v>12033832.6</v>
      </c>
      <c r="M30" s="179">
        <v>8002906.4000000004</v>
      </c>
      <c r="N30" s="179">
        <v>8002906.4000000004</v>
      </c>
    </row>
    <row r="31" spans="1:14" s="156" customFormat="1" x14ac:dyDescent="0.25">
      <c r="A31" s="156" t="s">
        <v>542</v>
      </c>
      <c r="B31" s="156" t="s">
        <v>309</v>
      </c>
      <c r="C31" s="156" t="s">
        <v>310</v>
      </c>
      <c r="D31" s="156" t="s">
        <v>541</v>
      </c>
      <c r="E31" s="179">
        <v>5000000</v>
      </c>
      <c r="F31" s="179">
        <v>5000000</v>
      </c>
      <c r="G31" s="179">
        <v>5000000</v>
      </c>
      <c r="H31" s="179">
        <v>0</v>
      </c>
      <c r="I31" s="179">
        <v>175000</v>
      </c>
      <c r="J31" s="179">
        <v>1315000</v>
      </c>
      <c r="K31" s="179">
        <v>3420000</v>
      </c>
      <c r="L31" s="179">
        <v>3110000</v>
      </c>
      <c r="M31" s="179">
        <v>90000</v>
      </c>
      <c r="N31" s="179">
        <v>90000</v>
      </c>
    </row>
    <row r="32" spans="1:14" s="156" customFormat="1" x14ac:dyDescent="0.25">
      <c r="A32" s="156" t="s">
        <v>542</v>
      </c>
      <c r="B32" s="156" t="s">
        <v>174</v>
      </c>
      <c r="C32" s="156" t="s">
        <v>175</v>
      </c>
      <c r="D32" s="156" t="s">
        <v>541</v>
      </c>
      <c r="E32" s="179">
        <v>1797000</v>
      </c>
      <c r="F32" s="179">
        <v>1872000</v>
      </c>
      <c r="G32" s="179">
        <v>1872000</v>
      </c>
      <c r="H32" s="179">
        <v>0</v>
      </c>
      <c r="I32" s="179">
        <v>0</v>
      </c>
      <c r="J32" s="179">
        <v>0</v>
      </c>
      <c r="K32" s="179">
        <v>599040</v>
      </c>
      <c r="L32" s="179">
        <v>599040</v>
      </c>
      <c r="M32" s="179">
        <v>1272960</v>
      </c>
      <c r="N32" s="179">
        <v>1272960</v>
      </c>
    </row>
    <row r="33" spans="1:14" s="156" customFormat="1" x14ac:dyDescent="0.25">
      <c r="A33" s="156" t="s">
        <v>542</v>
      </c>
      <c r="B33" s="156" t="s">
        <v>176</v>
      </c>
      <c r="C33" s="156" t="s">
        <v>177</v>
      </c>
      <c r="D33" s="156" t="s">
        <v>541</v>
      </c>
      <c r="E33" s="179">
        <v>600000</v>
      </c>
      <c r="F33" s="179">
        <v>600000</v>
      </c>
      <c r="G33" s="179">
        <v>600000</v>
      </c>
      <c r="H33" s="179">
        <v>0</v>
      </c>
      <c r="I33" s="179">
        <v>300000</v>
      </c>
      <c r="J33" s="179">
        <v>0</v>
      </c>
      <c r="K33" s="179">
        <v>184864.97</v>
      </c>
      <c r="L33" s="179">
        <v>184864.97</v>
      </c>
      <c r="M33" s="179">
        <v>115135.03</v>
      </c>
      <c r="N33" s="179">
        <v>115135.03</v>
      </c>
    </row>
    <row r="34" spans="1:14" s="156" customFormat="1" x14ac:dyDescent="0.25">
      <c r="A34" s="156" t="s">
        <v>542</v>
      </c>
      <c r="B34" s="156" t="s">
        <v>182</v>
      </c>
      <c r="C34" s="156" t="s">
        <v>183</v>
      </c>
      <c r="D34" s="156" t="s">
        <v>541</v>
      </c>
      <c r="E34" s="179">
        <v>16000000</v>
      </c>
      <c r="F34" s="179">
        <v>15250000</v>
      </c>
      <c r="G34" s="179">
        <v>15250000</v>
      </c>
      <c r="H34" s="179">
        <v>0</v>
      </c>
      <c r="I34" s="179">
        <v>6075334</v>
      </c>
      <c r="J34" s="179">
        <v>0</v>
      </c>
      <c r="K34" s="179">
        <v>8916886</v>
      </c>
      <c r="L34" s="179">
        <v>6086321</v>
      </c>
      <c r="M34" s="179">
        <v>257780</v>
      </c>
      <c r="N34" s="179">
        <v>257780</v>
      </c>
    </row>
    <row r="35" spans="1:14" s="156" customFormat="1" x14ac:dyDescent="0.25">
      <c r="A35" s="156" t="s">
        <v>542</v>
      </c>
      <c r="B35" s="156" t="s">
        <v>184</v>
      </c>
      <c r="C35" s="156" t="s">
        <v>185</v>
      </c>
      <c r="D35" s="156" t="s">
        <v>541</v>
      </c>
      <c r="E35" s="179">
        <v>0</v>
      </c>
      <c r="F35" s="179">
        <v>150000</v>
      </c>
      <c r="G35" s="179">
        <v>150000</v>
      </c>
      <c r="H35" s="179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150000</v>
      </c>
      <c r="N35" s="179">
        <v>150000</v>
      </c>
    </row>
    <row r="36" spans="1:14" s="156" customFormat="1" x14ac:dyDescent="0.25">
      <c r="A36" s="156" t="s">
        <v>542</v>
      </c>
      <c r="B36" s="156" t="s">
        <v>186</v>
      </c>
      <c r="C36" s="156" t="s">
        <v>187</v>
      </c>
      <c r="D36" s="156" t="s">
        <v>541</v>
      </c>
      <c r="E36" s="179">
        <v>4000000</v>
      </c>
      <c r="F36" s="179">
        <v>3850000</v>
      </c>
      <c r="G36" s="179">
        <v>3850000</v>
      </c>
      <c r="H36" s="179">
        <v>0</v>
      </c>
      <c r="I36" s="179">
        <v>1010050</v>
      </c>
      <c r="J36" s="179">
        <v>486000</v>
      </c>
      <c r="K36" s="179">
        <v>2254200</v>
      </c>
      <c r="L36" s="179">
        <v>2219200</v>
      </c>
      <c r="M36" s="179">
        <v>99750</v>
      </c>
      <c r="N36" s="179">
        <v>99750</v>
      </c>
    </row>
    <row r="37" spans="1:14" s="156" customFormat="1" x14ac:dyDescent="0.25">
      <c r="A37" s="156" t="s">
        <v>542</v>
      </c>
      <c r="B37" s="156" t="s">
        <v>188</v>
      </c>
      <c r="C37" s="156" t="s">
        <v>189</v>
      </c>
      <c r="D37" s="156" t="s">
        <v>541</v>
      </c>
      <c r="E37" s="179">
        <v>290000</v>
      </c>
      <c r="F37" s="179">
        <v>337000</v>
      </c>
      <c r="G37" s="179">
        <v>337000</v>
      </c>
      <c r="H37" s="179">
        <v>0</v>
      </c>
      <c r="I37" s="179">
        <v>322575</v>
      </c>
      <c r="J37" s="179">
        <v>0</v>
      </c>
      <c r="K37" s="179">
        <v>0</v>
      </c>
      <c r="L37" s="179">
        <v>0</v>
      </c>
      <c r="M37" s="179">
        <v>14425</v>
      </c>
      <c r="N37" s="179">
        <v>14425</v>
      </c>
    </row>
    <row r="38" spans="1:14" s="156" customFormat="1" x14ac:dyDescent="0.25">
      <c r="A38" s="156" t="s">
        <v>542</v>
      </c>
      <c r="B38" s="156" t="s">
        <v>190</v>
      </c>
      <c r="C38" s="156" t="s">
        <v>191</v>
      </c>
      <c r="D38" s="156" t="s">
        <v>541</v>
      </c>
      <c r="E38" s="179">
        <v>2700000</v>
      </c>
      <c r="F38" s="179">
        <v>2700000</v>
      </c>
      <c r="G38" s="179">
        <v>2700000</v>
      </c>
      <c r="H38" s="179">
        <v>0</v>
      </c>
      <c r="I38" s="179">
        <v>600000</v>
      </c>
      <c r="J38" s="179">
        <v>0</v>
      </c>
      <c r="K38" s="179">
        <v>0</v>
      </c>
      <c r="L38" s="179">
        <v>0</v>
      </c>
      <c r="M38" s="179">
        <v>2100000</v>
      </c>
      <c r="N38" s="179">
        <v>2100000</v>
      </c>
    </row>
    <row r="39" spans="1:14" s="156" customFormat="1" x14ac:dyDescent="0.25">
      <c r="A39" s="156" t="s">
        <v>542</v>
      </c>
      <c r="B39" s="156" t="s">
        <v>194</v>
      </c>
      <c r="C39" s="156" t="s">
        <v>195</v>
      </c>
      <c r="D39" s="156" t="s">
        <v>541</v>
      </c>
      <c r="E39" s="179">
        <v>1500000</v>
      </c>
      <c r="F39" s="179">
        <v>1500000</v>
      </c>
      <c r="G39" s="179">
        <v>1500000</v>
      </c>
      <c r="H39" s="179">
        <v>0</v>
      </c>
      <c r="I39" s="179">
        <v>0</v>
      </c>
      <c r="J39" s="179">
        <v>0</v>
      </c>
      <c r="K39" s="179">
        <v>0</v>
      </c>
      <c r="L39" s="179">
        <v>0</v>
      </c>
      <c r="M39" s="179">
        <v>1500000</v>
      </c>
      <c r="N39" s="179">
        <v>1500000</v>
      </c>
    </row>
    <row r="40" spans="1:14" s="156" customFormat="1" x14ac:dyDescent="0.25">
      <c r="A40" s="156" t="s">
        <v>542</v>
      </c>
      <c r="B40" s="156" t="s">
        <v>198</v>
      </c>
      <c r="C40" s="156" t="s">
        <v>199</v>
      </c>
      <c r="D40" s="156" t="s">
        <v>541</v>
      </c>
      <c r="E40" s="179">
        <v>1000000</v>
      </c>
      <c r="F40" s="179">
        <v>1000000</v>
      </c>
      <c r="G40" s="179">
        <v>1000000</v>
      </c>
      <c r="H40" s="179">
        <v>0</v>
      </c>
      <c r="I40" s="179">
        <v>0</v>
      </c>
      <c r="J40" s="179">
        <v>0</v>
      </c>
      <c r="K40" s="179">
        <v>200000</v>
      </c>
      <c r="L40" s="179">
        <v>200000</v>
      </c>
      <c r="M40" s="179">
        <v>800000</v>
      </c>
      <c r="N40" s="179">
        <v>800000</v>
      </c>
    </row>
    <row r="41" spans="1:14" s="156" customFormat="1" x14ac:dyDescent="0.25">
      <c r="A41" s="156" t="s">
        <v>542</v>
      </c>
      <c r="B41" s="156" t="s">
        <v>204</v>
      </c>
      <c r="C41" s="156" t="s">
        <v>205</v>
      </c>
      <c r="D41" s="156" t="s">
        <v>541</v>
      </c>
      <c r="E41" s="179">
        <v>17000000</v>
      </c>
      <c r="F41" s="179">
        <v>8500000</v>
      </c>
      <c r="G41" s="179">
        <v>8500000</v>
      </c>
      <c r="H41" s="179">
        <v>0</v>
      </c>
      <c r="I41" s="179">
        <v>2343718.5</v>
      </c>
      <c r="J41" s="179">
        <v>0</v>
      </c>
      <c r="K41" s="179">
        <v>5807293.2699999996</v>
      </c>
      <c r="L41" s="179">
        <v>5807293.2699999996</v>
      </c>
      <c r="M41" s="179">
        <v>348988.23</v>
      </c>
      <c r="N41" s="179">
        <v>348988.23</v>
      </c>
    </row>
    <row r="42" spans="1:14" s="156" customFormat="1" x14ac:dyDescent="0.25">
      <c r="A42" s="156" t="s">
        <v>542</v>
      </c>
      <c r="B42" s="156" t="s">
        <v>206</v>
      </c>
      <c r="C42" s="156" t="s">
        <v>207</v>
      </c>
      <c r="D42" s="156" t="s">
        <v>541</v>
      </c>
      <c r="E42" s="179">
        <v>8000000</v>
      </c>
      <c r="F42" s="179">
        <v>5952000</v>
      </c>
      <c r="G42" s="179">
        <v>5952000</v>
      </c>
      <c r="H42" s="179">
        <v>0</v>
      </c>
      <c r="I42" s="179">
        <v>0</v>
      </c>
      <c r="J42" s="179">
        <v>5467500</v>
      </c>
      <c r="K42" s="179">
        <v>484235</v>
      </c>
      <c r="L42" s="179">
        <v>484235</v>
      </c>
      <c r="M42" s="179">
        <v>265</v>
      </c>
      <c r="N42" s="179">
        <v>265</v>
      </c>
    </row>
    <row r="43" spans="1:14" s="156" customFormat="1" x14ac:dyDescent="0.25">
      <c r="A43" s="156" t="s">
        <v>542</v>
      </c>
      <c r="B43" s="156" t="s">
        <v>208</v>
      </c>
      <c r="C43" s="156" t="s">
        <v>209</v>
      </c>
      <c r="D43" s="156" t="s">
        <v>541</v>
      </c>
      <c r="E43" s="179">
        <v>500000</v>
      </c>
      <c r="F43" s="179">
        <v>100000</v>
      </c>
      <c r="G43" s="179">
        <v>100000</v>
      </c>
      <c r="H43" s="179">
        <v>0</v>
      </c>
      <c r="I43" s="179">
        <v>0</v>
      </c>
      <c r="J43" s="179">
        <v>0</v>
      </c>
      <c r="K43" s="179">
        <v>9270</v>
      </c>
      <c r="L43" s="179">
        <v>9270</v>
      </c>
      <c r="M43" s="179">
        <v>90730</v>
      </c>
      <c r="N43" s="179">
        <v>90730</v>
      </c>
    </row>
    <row r="44" spans="1:14" s="156" customFormat="1" x14ac:dyDescent="0.25">
      <c r="A44" s="156" t="s">
        <v>542</v>
      </c>
      <c r="B44" s="156" t="s">
        <v>210</v>
      </c>
      <c r="C44" s="156" t="s">
        <v>211</v>
      </c>
      <c r="D44" s="156" t="s">
        <v>541</v>
      </c>
      <c r="E44" s="179">
        <v>425000</v>
      </c>
      <c r="F44" s="179">
        <v>425000</v>
      </c>
      <c r="G44" s="179">
        <v>425000</v>
      </c>
      <c r="H44" s="179">
        <v>0</v>
      </c>
      <c r="I44" s="179">
        <v>0</v>
      </c>
      <c r="J44" s="179">
        <v>0</v>
      </c>
      <c r="K44" s="179">
        <v>0</v>
      </c>
      <c r="L44" s="179">
        <v>0</v>
      </c>
      <c r="M44" s="179">
        <v>425000</v>
      </c>
      <c r="N44" s="179">
        <v>425000</v>
      </c>
    </row>
    <row r="45" spans="1:14" s="156" customFormat="1" x14ac:dyDescent="0.25">
      <c r="A45" s="156" t="s">
        <v>542</v>
      </c>
      <c r="B45" s="156" t="s">
        <v>214</v>
      </c>
      <c r="C45" s="156" t="s">
        <v>215</v>
      </c>
      <c r="D45" s="156" t="s">
        <v>541</v>
      </c>
      <c r="E45" s="179">
        <v>3500000</v>
      </c>
      <c r="F45" s="179">
        <v>3500000</v>
      </c>
      <c r="G45" s="179">
        <v>3500000</v>
      </c>
      <c r="H45" s="179">
        <v>0</v>
      </c>
      <c r="I45" s="179">
        <v>0</v>
      </c>
      <c r="J45" s="179">
        <v>0</v>
      </c>
      <c r="K45" s="179">
        <v>3429858</v>
      </c>
      <c r="L45" s="179">
        <v>3429858</v>
      </c>
      <c r="M45" s="179">
        <v>70142</v>
      </c>
      <c r="N45" s="179">
        <v>70142</v>
      </c>
    </row>
    <row r="46" spans="1:14" s="156" customFormat="1" x14ac:dyDescent="0.25">
      <c r="A46" s="156" t="s">
        <v>542</v>
      </c>
      <c r="B46" s="156" t="s">
        <v>220</v>
      </c>
      <c r="C46" s="156" t="s">
        <v>221</v>
      </c>
      <c r="D46" s="156" t="s">
        <v>541</v>
      </c>
      <c r="E46" s="179">
        <v>2000000</v>
      </c>
      <c r="F46" s="179">
        <v>2000000</v>
      </c>
      <c r="G46" s="179">
        <v>2000000</v>
      </c>
      <c r="H46" s="179">
        <v>0</v>
      </c>
      <c r="I46" s="179">
        <v>0</v>
      </c>
      <c r="J46" s="179">
        <v>0</v>
      </c>
      <c r="K46" s="179">
        <v>1971225.15</v>
      </c>
      <c r="L46" s="179">
        <v>956923</v>
      </c>
      <c r="M46" s="179">
        <v>28774.85</v>
      </c>
      <c r="N46" s="179">
        <v>28774.85</v>
      </c>
    </row>
    <row r="47" spans="1:14" s="156" customFormat="1" x14ac:dyDescent="0.25">
      <c r="A47" s="156" t="s">
        <v>542</v>
      </c>
      <c r="B47" s="156" t="s">
        <v>230</v>
      </c>
      <c r="C47" s="156" t="s">
        <v>231</v>
      </c>
      <c r="D47" s="156" t="s">
        <v>541</v>
      </c>
      <c r="E47" s="179">
        <v>3580000</v>
      </c>
      <c r="F47" s="179">
        <v>758986</v>
      </c>
      <c r="G47" s="179">
        <v>758986</v>
      </c>
      <c r="H47" s="179">
        <v>0</v>
      </c>
      <c r="I47" s="179">
        <v>0</v>
      </c>
      <c r="J47" s="179">
        <v>0</v>
      </c>
      <c r="K47" s="179">
        <v>758985.85</v>
      </c>
      <c r="L47" s="179">
        <v>758985.85</v>
      </c>
      <c r="M47" s="179">
        <v>0.15</v>
      </c>
      <c r="N47" s="179">
        <v>0.15</v>
      </c>
    </row>
    <row r="48" spans="1:14" s="156" customFormat="1" x14ac:dyDescent="0.25">
      <c r="A48" s="156" t="s">
        <v>542</v>
      </c>
      <c r="B48" s="156" t="s">
        <v>232</v>
      </c>
      <c r="C48" s="156" t="s">
        <v>233</v>
      </c>
      <c r="D48" s="156" t="s">
        <v>541</v>
      </c>
      <c r="E48" s="179">
        <v>820000</v>
      </c>
      <c r="F48" s="179">
        <v>820000</v>
      </c>
      <c r="G48" s="179">
        <v>820000</v>
      </c>
      <c r="H48" s="179">
        <v>0</v>
      </c>
      <c r="I48" s="179">
        <v>0</v>
      </c>
      <c r="J48" s="179">
        <v>0</v>
      </c>
      <c r="K48" s="179">
        <v>810000</v>
      </c>
      <c r="L48" s="179">
        <v>810000</v>
      </c>
      <c r="M48" s="179">
        <v>10000</v>
      </c>
      <c r="N48" s="179">
        <v>10000</v>
      </c>
    </row>
    <row r="49" spans="1:14" s="156" customFormat="1" x14ac:dyDescent="0.25">
      <c r="A49" s="156" t="s">
        <v>542</v>
      </c>
      <c r="B49" s="156" t="s">
        <v>235</v>
      </c>
      <c r="C49" s="156" t="s">
        <v>236</v>
      </c>
      <c r="D49" s="156" t="s">
        <v>541</v>
      </c>
      <c r="E49" s="179">
        <v>4500000</v>
      </c>
      <c r="F49" s="179">
        <v>3500000</v>
      </c>
      <c r="G49" s="179">
        <v>3500000</v>
      </c>
      <c r="H49" s="179">
        <v>0</v>
      </c>
      <c r="I49" s="179">
        <v>830664.94</v>
      </c>
      <c r="J49" s="179">
        <v>0</v>
      </c>
      <c r="K49" s="179">
        <v>2486232.2799999998</v>
      </c>
      <c r="L49" s="179">
        <v>679935.64</v>
      </c>
      <c r="M49" s="179">
        <v>183102.78</v>
      </c>
      <c r="N49" s="179">
        <v>183102.78</v>
      </c>
    </row>
    <row r="50" spans="1:14" s="156" customFormat="1" x14ac:dyDescent="0.25">
      <c r="A50" s="156" t="s">
        <v>542</v>
      </c>
      <c r="B50" s="156" t="s">
        <v>237</v>
      </c>
      <c r="C50" s="156" t="s">
        <v>238</v>
      </c>
      <c r="D50" s="156" t="s">
        <v>541</v>
      </c>
      <c r="E50" s="179">
        <v>4000000</v>
      </c>
      <c r="F50" s="179">
        <v>2000000</v>
      </c>
      <c r="G50" s="179">
        <v>2000000</v>
      </c>
      <c r="H50" s="179">
        <v>0</v>
      </c>
      <c r="I50" s="179">
        <v>0</v>
      </c>
      <c r="J50" s="179">
        <v>0</v>
      </c>
      <c r="K50" s="179">
        <v>1125000</v>
      </c>
      <c r="L50" s="179">
        <v>1125000</v>
      </c>
      <c r="M50" s="179">
        <v>875000</v>
      </c>
      <c r="N50" s="179">
        <v>875000</v>
      </c>
    </row>
    <row r="51" spans="1:14" s="156" customFormat="1" x14ac:dyDescent="0.25">
      <c r="A51" s="156" t="s">
        <v>542</v>
      </c>
      <c r="B51" s="156" t="s">
        <v>239</v>
      </c>
      <c r="C51" s="156" t="s">
        <v>240</v>
      </c>
      <c r="D51" s="156" t="s">
        <v>541</v>
      </c>
      <c r="E51" s="179">
        <v>22000000</v>
      </c>
      <c r="F51" s="179">
        <v>19800000</v>
      </c>
      <c r="G51" s="179">
        <v>19800000</v>
      </c>
      <c r="H51" s="179">
        <v>0</v>
      </c>
      <c r="I51" s="179">
        <v>80805</v>
      </c>
      <c r="J51" s="179">
        <v>0</v>
      </c>
      <c r="K51" s="179">
        <v>19355010.199999999</v>
      </c>
      <c r="L51" s="179">
        <v>19342160.199999999</v>
      </c>
      <c r="M51" s="179">
        <v>364184.8</v>
      </c>
      <c r="N51" s="179">
        <v>364184.8</v>
      </c>
    </row>
    <row r="52" spans="1:14" s="156" customFormat="1" x14ac:dyDescent="0.25">
      <c r="A52" s="156" t="s">
        <v>542</v>
      </c>
      <c r="B52" s="156" t="s">
        <v>243</v>
      </c>
      <c r="C52" s="156" t="s">
        <v>244</v>
      </c>
      <c r="D52" s="156" t="s">
        <v>541</v>
      </c>
      <c r="E52" s="179">
        <v>3575000</v>
      </c>
      <c r="F52" s="179">
        <v>1285000</v>
      </c>
      <c r="G52" s="179">
        <v>1285000</v>
      </c>
      <c r="H52" s="179">
        <v>0</v>
      </c>
      <c r="I52" s="179">
        <v>0</v>
      </c>
      <c r="J52" s="179">
        <v>0</v>
      </c>
      <c r="K52" s="179">
        <v>1284531.1100000001</v>
      </c>
      <c r="L52" s="179">
        <v>1284531.1100000001</v>
      </c>
      <c r="M52" s="179">
        <v>468.89</v>
      </c>
      <c r="N52" s="179">
        <v>468.89</v>
      </c>
    </row>
    <row r="53" spans="1:14" s="156" customFormat="1" x14ac:dyDescent="0.25">
      <c r="A53" s="156" t="s">
        <v>542</v>
      </c>
      <c r="B53" s="156" t="s">
        <v>249</v>
      </c>
      <c r="C53" s="156" t="s">
        <v>250</v>
      </c>
      <c r="D53" s="156" t="s">
        <v>541</v>
      </c>
      <c r="E53" s="179">
        <v>1000000</v>
      </c>
      <c r="F53" s="179">
        <v>1000000</v>
      </c>
      <c r="G53" s="179">
        <v>1000000</v>
      </c>
      <c r="H53" s="179">
        <v>0</v>
      </c>
      <c r="I53" s="179">
        <v>0</v>
      </c>
      <c r="J53" s="179">
        <v>0</v>
      </c>
      <c r="K53" s="179">
        <v>943500</v>
      </c>
      <c r="L53" s="179">
        <v>943500</v>
      </c>
      <c r="M53" s="179">
        <v>56500</v>
      </c>
      <c r="N53" s="179">
        <v>56500</v>
      </c>
    </row>
    <row r="54" spans="1:14" s="156" customFormat="1" x14ac:dyDescent="0.25">
      <c r="A54" s="156" t="s">
        <v>542</v>
      </c>
      <c r="B54" s="156" t="s">
        <v>287</v>
      </c>
      <c r="C54" s="156" t="s">
        <v>288</v>
      </c>
      <c r="D54" s="156" t="s">
        <v>541</v>
      </c>
      <c r="E54" s="179">
        <v>0</v>
      </c>
      <c r="F54" s="179">
        <v>500000</v>
      </c>
      <c r="G54" s="179">
        <v>500000</v>
      </c>
      <c r="H54" s="179">
        <v>0</v>
      </c>
      <c r="I54" s="179">
        <v>0</v>
      </c>
      <c r="J54" s="179">
        <v>0</v>
      </c>
      <c r="K54" s="179">
        <v>310171.78999999998</v>
      </c>
      <c r="L54" s="179">
        <v>310171.78999999998</v>
      </c>
      <c r="M54" s="179">
        <v>189828.21</v>
      </c>
      <c r="N54" s="179">
        <v>189828.21</v>
      </c>
    </row>
    <row r="55" spans="1:14" s="156" customFormat="1" x14ac:dyDescent="0.25">
      <c r="A55" s="156" t="s">
        <v>542</v>
      </c>
      <c r="B55" s="156" t="s">
        <v>283</v>
      </c>
      <c r="C55" s="156" t="s">
        <v>284</v>
      </c>
      <c r="D55" s="156" t="s">
        <v>543</v>
      </c>
      <c r="E55" s="179">
        <v>450000</v>
      </c>
      <c r="F55" s="179">
        <v>0</v>
      </c>
      <c r="G55" s="179">
        <v>0</v>
      </c>
      <c r="H55" s="179">
        <v>0</v>
      </c>
      <c r="I55" s="179">
        <v>0</v>
      </c>
      <c r="J55" s="179">
        <v>0</v>
      </c>
      <c r="K55" s="179">
        <v>0</v>
      </c>
      <c r="L55" s="179">
        <v>0</v>
      </c>
      <c r="M55" s="179">
        <v>0</v>
      </c>
      <c r="N55" s="179">
        <v>0</v>
      </c>
    </row>
    <row r="56" spans="1:14" s="156" customFormat="1" x14ac:dyDescent="0.25">
      <c r="A56" s="156" t="s">
        <v>542</v>
      </c>
      <c r="B56" s="156" t="s">
        <v>285</v>
      </c>
      <c r="C56" s="156" t="s">
        <v>286</v>
      </c>
      <c r="D56" s="156" t="s">
        <v>543</v>
      </c>
      <c r="E56" s="179">
        <v>500000</v>
      </c>
      <c r="F56" s="179">
        <v>800000</v>
      </c>
      <c r="G56" s="179">
        <v>800000</v>
      </c>
      <c r="H56" s="179">
        <v>0</v>
      </c>
      <c r="I56" s="179">
        <v>0</v>
      </c>
      <c r="J56" s="179">
        <v>0</v>
      </c>
      <c r="K56" s="179">
        <v>780000</v>
      </c>
      <c r="L56" s="179">
        <v>780000</v>
      </c>
      <c r="M56" s="179">
        <v>20000</v>
      </c>
      <c r="N56" s="179">
        <v>20000</v>
      </c>
    </row>
    <row r="57" spans="1:14" s="156" customFormat="1" x14ac:dyDescent="0.25">
      <c r="A57" s="156" t="s">
        <v>542</v>
      </c>
      <c r="B57" s="156" t="s">
        <v>287</v>
      </c>
      <c r="C57" s="156" t="s">
        <v>288</v>
      </c>
      <c r="D57" s="156" t="s">
        <v>543</v>
      </c>
      <c r="E57" s="179">
        <v>3000000</v>
      </c>
      <c r="F57" s="179">
        <v>3000000</v>
      </c>
      <c r="G57" s="179">
        <v>3000000</v>
      </c>
      <c r="H57" s="179">
        <v>0</v>
      </c>
      <c r="I57" s="179">
        <v>0</v>
      </c>
      <c r="J57" s="179">
        <v>545150.28</v>
      </c>
      <c r="K57" s="179">
        <v>1937000</v>
      </c>
      <c r="L57" s="179">
        <v>1937000</v>
      </c>
      <c r="M57" s="179">
        <v>517849.72</v>
      </c>
      <c r="N57" s="179">
        <v>517849.72</v>
      </c>
    </row>
    <row r="58" spans="1:14" s="156" customFormat="1" x14ac:dyDescent="0.25">
      <c r="A58" s="156" t="s">
        <v>542</v>
      </c>
      <c r="B58" s="156" t="s">
        <v>295</v>
      </c>
      <c r="C58" s="156" t="s">
        <v>296</v>
      </c>
      <c r="D58" s="156" t="s">
        <v>543</v>
      </c>
      <c r="E58" s="179">
        <v>200000</v>
      </c>
      <c r="F58" s="179">
        <v>200000</v>
      </c>
      <c r="G58" s="179">
        <v>200000</v>
      </c>
      <c r="H58" s="179">
        <v>0</v>
      </c>
      <c r="I58" s="179">
        <v>0</v>
      </c>
      <c r="J58" s="179">
        <v>0</v>
      </c>
      <c r="K58" s="179">
        <v>200000</v>
      </c>
      <c r="L58" s="179">
        <v>0</v>
      </c>
      <c r="M58" s="179">
        <v>0</v>
      </c>
      <c r="N58" s="179">
        <v>0</v>
      </c>
    </row>
    <row r="59" spans="1:14" s="156" customFormat="1" x14ac:dyDescent="0.25">
      <c r="A59" s="156" t="s">
        <v>542</v>
      </c>
      <c r="B59" s="156" t="s">
        <v>342</v>
      </c>
      <c r="C59" s="156" t="s">
        <v>343</v>
      </c>
      <c r="D59" s="156" t="s">
        <v>541</v>
      </c>
      <c r="E59" s="179">
        <v>0</v>
      </c>
      <c r="F59" s="179">
        <v>594000</v>
      </c>
      <c r="G59" s="179">
        <v>594000</v>
      </c>
      <c r="H59" s="179">
        <v>0</v>
      </c>
      <c r="I59" s="179">
        <v>0</v>
      </c>
      <c r="J59" s="179">
        <v>565181</v>
      </c>
      <c r="K59" s="179">
        <v>0</v>
      </c>
      <c r="L59" s="179">
        <v>0</v>
      </c>
      <c r="M59" s="179">
        <v>28819</v>
      </c>
      <c r="N59" s="179">
        <v>28819</v>
      </c>
    </row>
    <row r="60" spans="1:14" s="156" customFormat="1" x14ac:dyDescent="0.25">
      <c r="A60" s="156" t="s">
        <v>542</v>
      </c>
      <c r="B60" s="156" t="s">
        <v>255</v>
      </c>
      <c r="C60" s="156" t="s">
        <v>256</v>
      </c>
      <c r="D60" s="156" t="s">
        <v>541</v>
      </c>
      <c r="E60" s="179">
        <v>2000000</v>
      </c>
      <c r="F60" s="179">
        <v>2000000</v>
      </c>
      <c r="G60" s="179">
        <v>2000000</v>
      </c>
      <c r="H60" s="179">
        <v>0</v>
      </c>
      <c r="I60" s="179">
        <v>0</v>
      </c>
      <c r="J60" s="179">
        <v>0</v>
      </c>
      <c r="K60" s="179">
        <v>2000000</v>
      </c>
      <c r="L60" s="179">
        <v>2000000</v>
      </c>
      <c r="M60" s="179">
        <v>0</v>
      </c>
      <c r="N60" s="179">
        <v>0</v>
      </c>
    </row>
    <row r="61" spans="1:14" s="156" customFormat="1" x14ac:dyDescent="0.25">
      <c r="A61" s="156" t="s">
        <v>542</v>
      </c>
      <c r="B61" s="156" t="s">
        <v>257</v>
      </c>
      <c r="C61" s="156" t="s">
        <v>258</v>
      </c>
      <c r="D61" s="156" t="s">
        <v>541</v>
      </c>
      <c r="E61" s="179">
        <v>300000000</v>
      </c>
      <c r="F61" s="179">
        <v>300000000</v>
      </c>
      <c r="G61" s="179">
        <v>300000000</v>
      </c>
      <c r="H61" s="179">
        <v>0</v>
      </c>
      <c r="I61" s="179">
        <v>78257000</v>
      </c>
      <c r="J61" s="179">
        <v>0</v>
      </c>
      <c r="K61" s="179">
        <v>221743000</v>
      </c>
      <c r="L61" s="179">
        <v>221743000</v>
      </c>
      <c r="M61" s="179">
        <v>0</v>
      </c>
      <c r="N61" s="179">
        <v>0</v>
      </c>
    </row>
    <row r="62" spans="1:14" s="156" customFormat="1" x14ac:dyDescent="0.25">
      <c r="A62" s="156" t="s">
        <v>542</v>
      </c>
      <c r="B62" s="156" t="s">
        <v>259</v>
      </c>
      <c r="C62" s="156" t="s">
        <v>625</v>
      </c>
      <c r="D62" s="156" t="s">
        <v>541</v>
      </c>
      <c r="E62" s="179">
        <v>7173000</v>
      </c>
      <c r="F62" s="179">
        <v>7173000</v>
      </c>
      <c r="G62" s="179">
        <v>7173000</v>
      </c>
      <c r="H62" s="179">
        <v>0</v>
      </c>
      <c r="I62" s="179">
        <v>591677</v>
      </c>
      <c r="J62" s="179">
        <v>0</v>
      </c>
      <c r="K62" s="179">
        <v>6581323</v>
      </c>
      <c r="L62" s="179">
        <v>6581323</v>
      </c>
      <c r="M62" s="179">
        <v>0</v>
      </c>
      <c r="N62" s="179">
        <v>0</v>
      </c>
    </row>
    <row r="63" spans="1:14" s="156" customFormat="1" x14ac:dyDescent="0.25">
      <c r="A63" s="156" t="s">
        <v>542</v>
      </c>
      <c r="B63" s="156" t="s">
        <v>260</v>
      </c>
      <c r="C63" s="156" t="s">
        <v>626</v>
      </c>
      <c r="D63" s="156" t="s">
        <v>541</v>
      </c>
      <c r="E63" s="179">
        <v>3092000</v>
      </c>
      <c r="F63" s="179">
        <v>3092000</v>
      </c>
      <c r="G63" s="179">
        <v>3092000</v>
      </c>
      <c r="H63" s="179">
        <v>0</v>
      </c>
      <c r="I63" s="179">
        <v>801586.98</v>
      </c>
      <c r="J63" s="179">
        <v>0</v>
      </c>
      <c r="K63" s="179">
        <v>2290413.02</v>
      </c>
      <c r="L63" s="179">
        <v>2290413.02</v>
      </c>
      <c r="M63" s="179">
        <v>0</v>
      </c>
      <c r="N63" s="179">
        <v>0</v>
      </c>
    </row>
    <row r="64" spans="1:14" s="156" customFormat="1" x14ac:dyDescent="0.25">
      <c r="A64" s="156" t="s">
        <v>542</v>
      </c>
      <c r="B64" s="156" t="s">
        <v>263</v>
      </c>
      <c r="C64" s="156" t="s">
        <v>264</v>
      </c>
      <c r="D64" s="156" t="s">
        <v>541</v>
      </c>
      <c r="E64" s="179">
        <v>30000000</v>
      </c>
      <c r="F64" s="179">
        <v>30000000</v>
      </c>
      <c r="G64" s="179">
        <v>30000000</v>
      </c>
      <c r="H64" s="179">
        <v>0</v>
      </c>
      <c r="I64" s="179">
        <v>2301822.64</v>
      </c>
      <c r="J64" s="179">
        <v>0</v>
      </c>
      <c r="K64" s="179">
        <v>20198177.359999999</v>
      </c>
      <c r="L64" s="179">
        <v>20198177.359999999</v>
      </c>
      <c r="M64" s="179">
        <v>7500000</v>
      </c>
      <c r="N64" s="179">
        <v>7500000</v>
      </c>
    </row>
    <row r="65" spans="1:14" s="156" customFormat="1" x14ac:dyDescent="0.25">
      <c r="A65" s="156" t="s">
        <v>542</v>
      </c>
      <c r="B65" s="156" t="s">
        <v>265</v>
      </c>
      <c r="C65" s="156" t="s">
        <v>266</v>
      </c>
      <c r="D65" s="156" t="s">
        <v>541</v>
      </c>
      <c r="E65" s="179">
        <v>10000000</v>
      </c>
      <c r="F65" s="179">
        <v>10000000</v>
      </c>
      <c r="G65" s="179">
        <v>10000000</v>
      </c>
      <c r="H65" s="179">
        <v>0</v>
      </c>
      <c r="I65" s="179">
        <v>0</v>
      </c>
      <c r="J65" s="179">
        <v>0</v>
      </c>
      <c r="K65" s="179">
        <v>2114471</v>
      </c>
      <c r="L65" s="179">
        <v>2114471</v>
      </c>
      <c r="M65" s="179">
        <v>7885529</v>
      </c>
      <c r="N65" s="179">
        <v>7885529</v>
      </c>
    </row>
    <row r="66" spans="1:14" s="156" customFormat="1" x14ac:dyDescent="0.25">
      <c r="A66" s="156" t="s">
        <v>542</v>
      </c>
      <c r="B66" s="156" t="s">
        <v>269</v>
      </c>
      <c r="C66" s="156" t="s">
        <v>270</v>
      </c>
      <c r="D66" s="156" t="s">
        <v>541</v>
      </c>
      <c r="E66" s="179">
        <v>1500000</v>
      </c>
      <c r="F66" s="179">
        <v>0</v>
      </c>
      <c r="G66" s="179">
        <v>0</v>
      </c>
      <c r="H66" s="179">
        <v>0</v>
      </c>
      <c r="I66" s="179">
        <v>0</v>
      </c>
      <c r="J66" s="179">
        <v>0</v>
      </c>
      <c r="K66" s="179">
        <v>0</v>
      </c>
      <c r="L66" s="179">
        <v>0</v>
      </c>
      <c r="M66" s="179">
        <v>0</v>
      </c>
      <c r="N66" s="179">
        <v>0</v>
      </c>
    </row>
    <row r="67" spans="1:14" s="156" customFormat="1" x14ac:dyDescent="0.25">
      <c r="A67" s="156" t="s">
        <v>542</v>
      </c>
      <c r="B67" s="156" t="s">
        <v>271</v>
      </c>
      <c r="C67" s="156" t="s">
        <v>272</v>
      </c>
      <c r="D67" s="156" t="s">
        <v>541</v>
      </c>
      <c r="E67" s="179">
        <v>1500000</v>
      </c>
      <c r="F67" s="179">
        <v>0</v>
      </c>
      <c r="G67" s="179">
        <v>0</v>
      </c>
      <c r="H67" s="179">
        <v>0</v>
      </c>
      <c r="I67" s="179">
        <v>0</v>
      </c>
      <c r="J67" s="179">
        <v>0</v>
      </c>
      <c r="K67" s="179">
        <v>0</v>
      </c>
      <c r="L67" s="179">
        <v>0</v>
      </c>
      <c r="M67" s="179">
        <v>0</v>
      </c>
      <c r="N67" s="179">
        <v>0</v>
      </c>
    </row>
    <row r="68" spans="1:14" s="156" customFormat="1" x14ac:dyDescent="0.25">
      <c r="A68" s="156" t="s">
        <v>542</v>
      </c>
      <c r="B68" s="156" t="s">
        <v>275</v>
      </c>
      <c r="C68" s="156" t="s">
        <v>276</v>
      </c>
      <c r="D68" s="156" t="s">
        <v>541</v>
      </c>
      <c r="E68" s="179">
        <v>389032000</v>
      </c>
      <c r="F68" s="179">
        <v>389032000</v>
      </c>
      <c r="G68" s="179">
        <v>389032000</v>
      </c>
      <c r="H68" s="179">
        <v>0</v>
      </c>
      <c r="I68" s="179">
        <v>30376750</v>
      </c>
      <c r="J68" s="179">
        <v>0</v>
      </c>
      <c r="K68" s="179">
        <v>358655250</v>
      </c>
      <c r="L68" s="179">
        <v>328655250</v>
      </c>
      <c r="M68" s="179">
        <v>0</v>
      </c>
      <c r="N68" s="179">
        <v>0</v>
      </c>
    </row>
    <row r="69" spans="1:14" s="156" customFormat="1" x14ac:dyDescent="0.25">
      <c r="A69" s="156" t="s">
        <v>542</v>
      </c>
      <c r="B69" s="156" t="s">
        <v>561</v>
      </c>
      <c r="C69" s="156" t="s">
        <v>584</v>
      </c>
      <c r="D69" s="156" t="s">
        <v>541</v>
      </c>
      <c r="E69" s="179">
        <v>8975000</v>
      </c>
      <c r="F69" s="179">
        <v>15000918</v>
      </c>
      <c r="G69" s="179">
        <v>15000918</v>
      </c>
      <c r="H69" s="179">
        <v>0</v>
      </c>
      <c r="I69" s="179">
        <v>0</v>
      </c>
      <c r="J69" s="179">
        <v>0</v>
      </c>
      <c r="K69" s="179">
        <v>12841855.289999999</v>
      </c>
      <c r="L69" s="179">
        <v>12841855.289999999</v>
      </c>
      <c r="M69" s="179">
        <v>2159062.71</v>
      </c>
      <c r="N69" s="179">
        <v>2159062.71</v>
      </c>
    </row>
    <row r="70" spans="1:14" s="156" customFormat="1" x14ac:dyDescent="0.25">
      <c r="A70" s="156" t="s">
        <v>542</v>
      </c>
      <c r="B70" s="156" t="s">
        <v>277</v>
      </c>
      <c r="C70" s="156" t="s">
        <v>278</v>
      </c>
      <c r="D70" s="156" t="s">
        <v>541</v>
      </c>
      <c r="E70" s="179">
        <v>3500000</v>
      </c>
      <c r="F70" s="179">
        <v>3380082</v>
      </c>
      <c r="G70" s="179">
        <v>3380082</v>
      </c>
      <c r="H70" s="179">
        <v>0</v>
      </c>
      <c r="I70" s="179">
        <v>0</v>
      </c>
      <c r="J70" s="179">
        <v>0</v>
      </c>
      <c r="K70" s="179">
        <v>3380081.3</v>
      </c>
      <c r="L70" s="179">
        <v>3380081.3</v>
      </c>
      <c r="M70" s="179">
        <v>0.7</v>
      </c>
      <c r="N70" s="179">
        <v>0.7</v>
      </c>
    </row>
    <row r="71" spans="1:14" s="156" customFormat="1" x14ac:dyDescent="0.25">
      <c r="A71" s="156" t="s">
        <v>542</v>
      </c>
      <c r="B71" s="156" t="s">
        <v>572</v>
      </c>
      <c r="C71" s="156" t="s">
        <v>573</v>
      </c>
      <c r="D71" s="156" t="s">
        <v>541</v>
      </c>
      <c r="E71" s="179">
        <v>0</v>
      </c>
      <c r="F71" s="179">
        <v>17560000</v>
      </c>
      <c r="G71" s="179">
        <v>17560000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17560000</v>
      </c>
      <c r="N71" s="179">
        <v>17560000</v>
      </c>
    </row>
    <row r="72" spans="1:14" s="156" customFormat="1" x14ac:dyDescent="0.25">
      <c r="A72" s="156" t="s">
        <v>542</v>
      </c>
      <c r="B72" s="156" t="s">
        <v>94</v>
      </c>
      <c r="C72" s="156" t="s">
        <v>95</v>
      </c>
      <c r="D72" s="156" t="s">
        <v>541</v>
      </c>
      <c r="E72" s="179">
        <v>611601000</v>
      </c>
      <c r="F72" s="179">
        <v>561866650</v>
      </c>
      <c r="G72" s="179">
        <v>561866650</v>
      </c>
      <c r="H72" s="179">
        <v>0</v>
      </c>
      <c r="I72" s="179">
        <v>0</v>
      </c>
      <c r="J72" s="179">
        <v>0</v>
      </c>
      <c r="K72" s="179">
        <v>449761334.54000002</v>
      </c>
      <c r="L72" s="179">
        <v>449761334.54000002</v>
      </c>
      <c r="M72" s="179">
        <v>112105315.45999999</v>
      </c>
      <c r="N72" s="179">
        <v>112105315.45999999</v>
      </c>
    </row>
    <row r="73" spans="1:14" s="156" customFormat="1" x14ac:dyDescent="0.25">
      <c r="A73" s="156" t="s">
        <v>542</v>
      </c>
      <c r="B73" s="156" t="s">
        <v>102</v>
      </c>
      <c r="C73" s="156" t="s">
        <v>103</v>
      </c>
      <c r="D73" s="156" t="s">
        <v>541</v>
      </c>
      <c r="E73" s="179">
        <v>726302000</v>
      </c>
      <c r="F73" s="179">
        <v>604862000</v>
      </c>
      <c r="G73" s="179">
        <v>604862000</v>
      </c>
      <c r="H73" s="179">
        <v>0</v>
      </c>
      <c r="I73" s="179">
        <v>0</v>
      </c>
      <c r="J73" s="179">
        <v>0</v>
      </c>
      <c r="K73" s="179">
        <v>453677595.74000001</v>
      </c>
      <c r="L73" s="179">
        <v>453677595.74000001</v>
      </c>
      <c r="M73" s="179">
        <v>151184404.25999999</v>
      </c>
      <c r="N73" s="179">
        <v>151184404.25999999</v>
      </c>
    </row>
    <row r="74" spans="1:14" s="156" customFormat="1" x14ac:dyDescent="0.25">
      <c r="A74" s="156" t="s">
        <v>542</v>
      </c>
      <c r="B74" s="156" t="s">
        <v>114</v>
      </c>
      <c r="C74" s="156" t="s">
        <v>115</v>
      </c>
      <c r="D74" s="156" t="s">
        <v>541</v>
      </c>
      <c r="E74" s="179">
        <v>120578000</v>
      </c>
      <c r="F74" s="179">
        <v>107930000</v>
      </c>
      <c r="G74" s="179">
        <v>107930000</v>
      </c>
      <c r="H74" s="179">
        <v>0</v>
      </c>
      <c r="I74" s="179">
        <v>14603688</v>
      </c>
      <c r="J74" s="179">
        <v>0</v>
      </c>
      <c r="K74" s="179">
        <v>89326312</v>
      </c>
      <c r="L74" s="179">
        <v>89326312</v>
      </c>
      <c r="M74" s="179">
        <v>4000000</v>
      </c>
      <c r="N74" s="179">
        <v>4000000</v>
      </c>
    </row>
    <row r="75" spans="1:14" s="156" customFormat="1" x14ac:dyDescent="0.25">
      <c r="A75" s="156" t="s">
        <v>542</v>
      </c>
      <c r="B75" s="156" t="s">
        <v>118</v>
      </c>
      <c r="C75" s="156" t="s">
        <v>119</v>
      </c>
      <c r="D75" s="156" t="s">
        <v>541</v>
      </c>
      <c r="E75" s="179">
        <v>118476000</v>
      </c>
      <c r="F75" s="179">
        <v>106186000</v>
      </c>
      <c r="G75" s="179">
        <v>106186000</v>
      </c>
      <c r="H75" s="179">
        <v>0</v>
      </c>
      <c r="I75" s="179">
        <v>18417134</v>
      </c>
      <c r="J75" s="179">
        <v>0</v>
      </c>
      <c r="K75" s="179">
        <v>87768866</v>
      </c>
      <c r="L75" s="179">
        <v>87768866</v>
      </c>
      <c r="M75" s="179">
        <v>0</v>
      </c>
      <c r="N75" s="179">
        <v>0</v>
      </c>
    </row>
    <row r="76" spans="1:14" s="156" customFormat="1" x14ac:dyDescent="0.25">
      <c r="A76" s="156" t="s">
        <v>542</v>
      </c>
      <c r="B76" s="156" t="s">
        <v>125</v>
      </c>
      <c r="C76" s="156" t="s">
        <v>126</v>
      </c>
      <c r="D76" s="156" t="s">
        <v>541</v>
      </c>
      <c r="E76" s="179">
        <v>155080000</v>
      </c>
      <c r="F76" s="179">
        <v>148786375</v>
      </c>
      <c r="G76" s="179">
        <v>148786375</v>
      </c>
      <c r="H76" s="179">
        <v>0</v>
      </c>
      <c r="I76" s="179">
        <v>45611976.619999997</v>
      </c>
      <c r="J76" s="179">
        <v>0</v>
      </c>
      <c r="K76" s="179">
        <v>97179179.579999998</v>
      </c>
      <c r="L76" s="179">
        <v>84861705.25</v>
      </c>
      <c r="M76" s="179">
        <v>5995218.7999999998</v>
      </c>
      <c r="N76" s="179">
        <v>5995218.7999999998</v>
      </c>
    </row>
    <row r="77" spans="1:14" s="156" customFormat="1" x14ac:dyDescent="0.25">
      <c r="A77" s="156" t="s">
        <v>542</v>
      </c>
      <c r="B77" s="156" t="s">
        <v>131</v>
      </c>
      <c r="C77" s="156" t="s">
        <v>132</v>
      </c>
      <c r="D77" s="156" t="s">
        <v>541</v>
      </c>
      <c r="E77" s="179">
        <v>148625000</v>
      </c>
      <c r="F77" s="179">
        <v>148375200</v>
      </c>
      <c r="G77" s="179">
        <v>148375200</v>
      </c>
      <c r="H77" s="179">
        <v>0</v>
      </c>
      <c r="I77" s="179">
        <v>33072109</v>
      </c>
      <c r="J77" s="179">
        <v>0</v>
      </c>
      <c r="K77" s="179">
        <v>101952491</v>
      </c>
      <c r="L77" s="179">
        <v>91863048</v>
      </c>
      <c r="M77" s="179">
        <v>13350600</v>
      </c>
      <c r="N77" s="179">
        <v>13350600</v>
      </c>
    </row>
    <row r="78" spans="1:14" s="156" customFormat="1" x14ac:dyDescent="0.25">
      <c r="A78" s="156" t="s">
        <v>542</v>
      </c>
      <c r="B78" s="156" t="s">
        <v>143</v>
      </c>
      <c r="C78" s="156" t="s">
        <v>144</v>
      </c>
      <c r="D78" s="156" t="s">
        <v>541</v>
      </c>
      <c r="E78" s="179">
        <v>10550000</v>
      </c>
      <c r="F78" s="179">
        <v>12994120</v>
      </c>
      <c r="G78" s="179">
        <v>12994120</v>
      </c>
      <c r="H78" s="179">
        <v>0</v>
      </c>
      <c r="I78" s="179">
        <v>1878331</v>
      </c>
      <c r="J78" s="179">
        <v>0</v>
      </c>
      <c r="K78" s="179">
        <v>10899814</v>
      </c>
      <c r="L78" s="179">
        <v>10561424</v>
      </c>
      <c r="M78" s="179">
        <v>215975</v>
      </c>
      <c r="N78" s="179">
        <v>215975</v>
      </c>
    </row>
    <row r="79" spans="1:14" s="156" customFormat="1" x14ac:dyDescent="0.25">
      <c r="A79" s="156" t="s">
        <v>542</v>
      </c>
      <c r="B79" s="156" t="s">
        <v>151</v>
      </c>
      <c r="C79" s="156" t="s">
        <v>152</v>
      </c>
      <c r="D79" s="156" t="s">
        <v>541</v>
      </c>
      <c r="E79" s="179">
        <v>8740000</v>
      </c>
      <c r="F79" s="179">
        <v>4240000</v>
      </c>
      <c r="G79" s="179">
        <v>4240000</v>
      </c>
      <c r="H79" s="179">
        <v>0</v>
      </c>
      <c r="I79" s="179">
        <v>1568950</v>
      </c>
      <c r="J79" s="179">
        <v>282009</v>
      </c>
      <c r="K79" s="179">
        <v>1026937</v>
      </c>
      <c r="L79" s="179">
        <v>1026937</v>
      </c>
      <c r="M79" s="179">
        <v>1362104</v>
      </c>
      <c r="N79" s="179">
        <v>1362104</v>
      </c>
    </row>
    <row r="80" spans="1:14" s="156" customFormat="1" x14ac:dyDescent="0.25">
      <c r="A80" s="156" t="s">
        <v>542</v>
      </c>
      <c r="B80" s="156" t="s">
        <v>158</v>
      </c>
      <c r="C80" s="156" t="s">
        <v>159</v>
      </c>
      <c r="D80" s="156" t="s">
        <v>541</v>
      </c>
      <c r="E80" s="179">
        <v>25100000</v>
      </c>
      <c r="F80" s="179">
        <v>21340885</v>
      </c>
      <c r="G80" s="179">
        <v>21340885</v>
      </c>
      <c r="H80" s="179">
        <v>16700</v>
      </c>
      <c r="I80" s="179">
        <v>2982914.27</v>
      </c>
      <c r="J80" s="179">
        <v>0</v>
      </c>
      <c r="K80" s="179">
        <v>12834774.640000001</v>
      </c>
      <c r="L80" s="179">
        <v>12834774.640000001</v>
      </c>
      <c r="M80" s="179">
        <v>5506496.0899999999</v>
      </c>
      <c r="N80" s="179">
        <v>5506496.0899999999</v>
      </c>
    </row>
    <row r="81" spans="1:14" s="156" customFormat="1" x14ac:dyDescent="0.25">
      <c r="A81" s="156" t="s">
        <v>542</v>
      </c>
      <c r="B81" s="156" t="s">
        <v>168</v>
      </c>
      <c r="C81" s="156" t="s">
        <v>169</v>
      </c>
      <c r="D81" s="156" t="s">
        <v>541</v>
      </c>
      <c r="E81" s="179">
        <v>48000000</v>
      </c>
      <c r="F81" s="179">
        <v>28000000</v>
      </c>
      <c r="G81" s="179">
        <v>28000000</v>
      </c>
      <c r="H81" s="179">
        <v>0</v>
      </c>
      <c r="I81" s="179">
        <v>2302637</v>
      </c>
      <c r="J81" s="179">
        <v>0</v>
      </c>
      <c r="K81" s="179">
        <v>17694456.600000001</v>
      </c>
      <c r="L81" s="179">
        <v>12033832.6</v>
      </c>
      <c r="M81" s="179">
        <v>8002906.4000000004</v>
      </c>
      <c r="N81" s="179">
        <v>8002906.4000000004</v>
      </c>
    </row>
    <row r="82" spans="1:14" s="156" customFormat="1" x14ac:dyDescent="0.25">
      <c r="A82" s="156" t="s">
        <v>542</v>
      </c>
      <c r="B82" s="156" t="s">
        <v>172</v>
      </c>
      <c r="C82" s="156" t="s">
        <v>173</v>
      </c>
      <c r="D82" s="156" t="s">
        <v>541</v>
      </c>
      <c r="E82" s="179">
        <v>7397000</v>
      </c>
      <c r="F82" s="179">
        <v>7472000</v>
      </c>
      <c r="G82" s="179">
        <v>7472000</v>
      </c>
      <c r="H82" s="179">
        <v>0</v>
      </c>
      <c r="I82" s="179">
        <v>475000</v>
      </c>
      <c r="J82" s="179">
        <v>1315000</v>
      </c>
      <c r="K82" s="179">
        <v>4203904.97</v>
      </c>
      <c r="L82" s="179">
        <v>3893904.97</v>
      </c>
      <c r="M82" s="179">
        <v>1478095.03</v>
      </c>
      <c r="N82" s="179">
        <v>1478095.03</v>
      </c>
    </row>
    <row r="83" spans="1:14" s="156" customFormat="1" x14ac:dyDescent="0.25">
      <c r="A83" s="156" t="s">
        <v>542</v>
      </c>
      <c r="B83" s="156" t="s">
        <v>178</v>
      </c>
      <c r="C83" s="156" t="s">
        <v>179</v>
      </c>
      <c r="D83" s="156" t="s">
        <v>541</v>
      </c>
      <c r="E83" s="179">
        <v>22990000</v>
      </c>
      <c r="F83" s="179">
        <v>22287000</v>
      </c>
      <c r="G83" s="179">
        <v>22287000</v>
      </c>
      <c r="H83" s="179">
        <v>0</v>
      </c>
      <c r="I83" s="179">
        <v>8007959</v>
      </c>
      <c r="J83" s="179">
        <v>486000</v>
      </c>
      <c r="K83" s="179">
        <v>11171086</v>
      </c>
      <c r="L83" s="179">
        <v>8305521</v>
      </c>
      <c r="M83" s="179">
        <v>2621955</v>
      </c>
      <c r="N83" s="179">
        <v>2621955</v>
      </c>
    </row>
    <row r="84" spans="1:14" s="156" customFormat="1" x14ac:dyDescent="0.25">
      <c r="A84" s="156" t="s">
        <v>542</v>
      </c>
      <c r="B84" s="156" t="s">
        <v>192</v>
      </c>
      <c r="C84" s="156" t="s">
        <v>193</v>
      </c>
      <c r="D84" s="156" t="s">
        <v>541</v>
      </c>
      <c r="E84" s="179">
        <v>1500000</v>
      </c>
      <c r="F84" s="179">
        <v>1500000</v>
      </c>
      <c r="G84" s="179">
        <v>1500000</v>
      </c>
      <c r="H84" s="179">
        <v>0</v>
      </c>
      <c r="I84" s="179">
        <v>0</v>
      </c>
      <c r="J84" s="179">
        <v>0</v>
      </c>
      <c r="K84" s="179">
        <v>0</v>
      </c>
      <c r="L84" s="179">
        <v>0</v>
      </c>
      <c r="M84" s="179">
        <v>1500000</v>
      </c>
      <c r="N84" s="179">
        <v>1500000</v>
      </c>
    </row>
    <row r="85" spans="1:14" s="156" customFormat="1" x14ac:dyDescent="0.25">
      <c r="A85" s="156" t="s">
        <v>542</v>
      </c>
      <c r="B85" s="156" t="s">
        <v>196</v>
      </c>
      <c r="C85" s="156" t="s">
        <v>197</v>
      </c>
      <c r="D85" s="156" t="s">
        <v>541</v>
      </c>
      <c r="E85" s="179">
        <v>1000000</v>
      </c>
      <c r="F85" s="179">
        <v>1000000</v>
      </c>
      <c r="G85" s="179">
        <v>1000000</v>
      </c>
      <c r="H85" s="179">
        <v>0</v>
      </c>
      <c r="I85" s="179">
        <v>0</v>
      </c>
      <c r="J85" s="179">
        <v>0</v>
      </c>
      <c r="K85" s="179">
        <v>200000</v>
      </c>
      <c r="L85" s="179">
        <v>200000</v>
      </c>
      <c r="M85" s="179">
        <v>800000</v>
      </c>
      <c r="N85" s="179">
        <v>800000</v>
      </c>
    </row>
    <row r="86" spans="1:14" s="156" customFormat="1" x14ac:dyDescent="0.25">
      <c r="A86" s="156" t="s">
        <v>542</v>
      </c>
      <c r="B86" s="156" t="s">
        <v>202</v>
      </c>
      <c r="C86" s="156" t="s">
        <v>203</v>
      </c>
      <c r="D86" s="156" t="s">
        <v>541</v>
      </c>
      <c r="E86" s="179">
        <v>25925000</v>
      </c>
      <c r="F86" s="179">
        <v>14977000</v>
      </c>
      <c r="G86" s="179">
        <v>14977000</v>
      </c>
      <c r="H86" s="179">
        <v>0</v>
      </c>
      <c r="I86" s="179">
        <v>2343718.5</v>
      </c>
      <c r="J86" s="179">
        <v>5467500</v>
      </c>
      <c r="K86" s="179">
        <v>6300798.2699999996</v>
      </c>
      <c r="L86" s="179">
        <v>6300798.2699999996</v>
      </c>
      <c r="M86" s="179">
        <v>864983.23</v>
      </c>
      <c r="N86" s="179">
        <v>864983.23</v>
      </c>
    </row>
    <row r="87" spans="1:14" s="156" customFormat="1" x14ac:dyDescent="0.25">
      <c r="A87" s="156" t="s">
        <v>542</v>
      </c>
      <c r="B87" s="156" t="s">
        <v>212</v>
      </c>
      <c r="C87" s="156" t="s">
        <v>213</v>
      </c>
      <c r="D87" s="156" t="s">
        <v>541</v>
      </c>
      <c r="E87" s="179">
        <v>3500000</v>
      </c>
      <c r="F87" s="179">
        <v>3500000</v>
      </c>
      <c r="G87" s="179">
        <v>3500000</v>
      </c>
      <c r="H87" s="179">
        <v>0</v>
      </c>
      <c r="I87" s="179">
        <v>0</v>
      </c>
      <c r="J87" s="179">
        <v>0</v>
      </c>
      <c r="K87" s="179">
        <v>3429858</v>
      </c>
      <c r="L87" s="179">
        <v>3429858</v>
      </c>
      <c r="M87" s="179">
        <v>70142</v>
      </c>
      <c r="N87" s="179">
        <v>70142</v>
      </c>
    </row>
    <row r="88" spans="1:14" s="156" customFormat="1" x14ac:dyDescent="0.25">
      <c r="A88" s="156" t="s">
        <v>542</v>
      </c>
      <c r="B88" s="156" t="s">
        <v>216</v>
      </c>
      <c r="C88" s="156" t="s">
        <v>217</v>
      </c>
      <c r="D88" s="156" t="s">
        <v>541</v>
      </c>
      <c r="E88" s="179">
        <v>2000000</v>
      </c>
      <c r="F88" s="179">
        <v>2000000</v>
      </c>
      <c r="G88" s="179">
        <v>2000000</v>
      </c>
      <c r="H88" s="179">
        <v>0</v>
      </c>
      <c r="I88" s="179">
        <v>0</v>
      </c>
      <c r="J88" s="179">
        <v>0</v>
      </c>
      <c r="K88" s="179">
        <v>1971225.15</v>
      </c>
      <c r="L88" s="179">
        <v>956923</v>
      </c>
      <c r="M88" s="179">
        <v>28774.85</v>
      </c>
      <c r="N88" s="179">
        <v>28774.85</v>
      </c>
    </row>
    <row r="89" spans="1:14" s="156" customFormat="1" x14ac:dyDescent="0.25">
      <c r="A89" s="156" t="s">
        <v>542</v>
      </c>
      <c r="B89" s="156" t="s">
        <v>228</v>
      </c>
      <c r="C89" s="156" t="s">
        <v>229</v>
      </c>
      <c r="D89" s="156" t="s">
        <v>541</v>
      </c>
      <c r="E89" s="179">
        <v>4400000</v>
      </c>
      <c r="F89" s="179">
        <v>1578986</v>
      </c>
      <c r="G89" s="179">
        <v>1578986</v>
      </c>
      <c r="H89" s="179">
        <v>0</v>
      </c>
      <c r="I89" s="179">
        <v>0</v>
      </c>
      <c r="J89" s="179">
        <v>0</v>
      </c>
      <c r="K89" s="179">
        <v>1568985.85</v>
      </c>
      <c r="L89" s="179">
        <v>1568985.85</v>
      </c>
      <c r="M89" s="179">
        <v>10000.15</v>
      </c>
      <c r="N89" s="179">
        <v>10000.15</v>
      </c>
    </row>
    <row r="90" spans="1:14" s="156" customFormat="1" x14ac:dyDescent="0.25">
      <c r="A90" s="156" t="s">
        <v>542</v>
      </c>
      <c r="B90" s="156" t="s">
        <v>234</v>
      </c>
      <c r="C90" s="156" t="s">
        <v>624</v>
      </c>
      <c r="D90" s="156" t="s">
        <v>541</v>
      </c>
      <c r="E90" s="179">
        <v>35075000</v>
      </c>
      <c r="F90" s="179">
        <v>27585000</v>
      </c>
      <c r="G90" s="179">
        <v>27585000</v>
      </c>
      <c r="H90" s="179">
        <v>0</v>
      </c>
      <c r="I90" s="179">
        <v>911469.94</v>
      </c>
      <c r="J90" s="179">
        <v>0</v>
      </c>
      <c r="K90" s="179">
        <v>25194273.59</v>
      </c>
      <c r="L90" s="179">
        <v>23375126.949999999</v>
      </c>
      <c r="M90" s="179">
        <v>1479256.47</v>
      </c>
      <c r="N90" s="179">
        <v>1479256.47</v>
      </c>
    </row>
    <row r="91" spans="1:14" s="156" customFormat="1" x14ac:dyDescent="0.25">
      <c r="A91" s="156" t="s">
        <v>542</v>
      </c>
      <c r="B91" s="156" t="s">
        <v>281</v>
      </c>
      <c r="C91" s="156" t="s">
        <v>282</v>
      </c>
      <c r="D91" s="156" t="s">
        <v>541</v>
      </c>
      <c r="E91" s="179">
        <v>4150000</v>
      </c>
      <c r="F91" s="179">
        <v>4500000</v>
      </c>
      <c r="G91" s="179">
        <v>4500000</v>
      </c>
      <c r="H91" s="179">
        <v>0</v>
      </c>
      <c r="I91" s="179">
        <v>0</v>
      </c>
      <c r="J91" s="179">
        <v>545150.28</v>
      </c>
      <c r="K91" s="179">
        <v>3227171.79</v>
      </c>
      <c r="L91" s="179">
        <v>3027171.79</v>
      </c>
      <c r="M91" s="179">
        <v>727677.93</v>
      </c>
      <c r="N91" s="179">
        <v>727677.93</v>
      </c>
    </row>
    <row r="92" spans="1:14" s="156" customFormat="1" x14ac:dyDescent="0.25">
      <c r="A92" s="156" t="s">
        <v>542</v>
      </c>
      <c r="B92" s="156" t="s">
        <v>340</v>
      </c>
      <c r="C92" s="156" t="s">
        <v>341</v>
      </c>
      <c r="D92" s="156" t="s">
        <v>541</v>
      </c>
      <c r="E92" s="179">
        <v>0</v>
      </c>
      <c r="F92" s="179">
        <v>594000</v>
      </c>
      <c r="G92" s="179">
        <v>594000</v>
      </c>
      <c r="H92" s="179">
        <v>0</v>
      </c>
      <c r="I92" s="179">
        <v>0</v>
      </c>
      <c r="J92" s="179">
        <v>565181</v>
      </c>
      <c r="K92" s="179">
        <v>0</v>
      </c>
      <c r="L92" s="179">
        <v>0</v>
      </c>
      <c r="M92" s="179">
        <v>28819</v>
      </c>
      <c r="N92" s="179">
        <v>28819</v>
      </c>
    </row>
    <row r="93" spans="1:14" s="156" customFormat="1" x14ac:dyDescent="0.25">
      <c r="A93" s="156" t="s">
        <v>542</v>
      </c>
      <c r="B93" s="156" t="s">
        <v>253</v>
      </c>
      <c r="C93" s="156" t="s">
        <v>254</v>
      </c>
      <c r="D93" s="156" t="s">
        <v>541</v>
      </c>
      <c r="E93" s="179">
        <v>312265000</v>
      </c>
      <c r="F93" s="179">
        <v>312265000</v>
      </c>
      <c r="G93" s="179">
        <v>312265000</v>
      </c>
      <c r="H93" s="179">
        <v>0</v>
      </c>
      <c r="I93" s="179">
        <v>79650263.980000004</v>
      </c>
      <c r="J93" s="179">
        <v>0</v>
      </c>
      <c r="K93" s="179">
        <v>232614736.02000001</v>
      </c>
      <c r="L93" s="179">
        <v>232614736.02000001</v>
      </c>
      <c r="M93" s="179">
        <v>0</v>
      </c>
      <c r="N93" s="179">
        <v>0</v>
      </c>
    </row>
    <row r="94" spans="1:14" s="156" customFormat="1" x14ac:dyDescent="0.25">
      <c r="A94" s="156" t="s">
        <v>542</v>
      </c>
      <c r="B94" s="156" t="s">
        <v>261</v>
      </c>
      <c r="C94" s="156" t="s">
        <v>262</v>
      </c>
      <c r="D94" s="156" t="s">
        <v>541</v>
      </c>
      <c r="E94" s="179">
        <v>40000000</v>
      </c>
      <c r="F94" s="179">
        <v>40000000</v>
      </c>
      <c r="G94" s="179">
        <v>40000000</v>
      </c>
      <c r="H94" s="179">
        <v>0</v>
      </c>
      <c r="I94" s="179">
        <v>2301822.64</v>
      </c>
      <c r="J94" s="179">
        <v>0</v>
      </c>
      <c r="K94" s="179">
        <v>22312648.359999999</v>
      </c>
      <c r="L94" s="179">
        <v>22312648.359999999</v>
      </c>
      <c r="M94" s="179">
        <v>15385529</v>
      </c>
      <c r="N94" s="179">
        <v>15385529</v>
      </c>
    </row>
    <row r="95" spans="1:14" s="156" customFormat="1" x14ac:dyDescent="0.25">
      <c r="A95" s="156" t="s">
        <v>542</v>
      </c>
      <c r="B95" s="156" t="s">
        <v>267</v>
      </c>
      <c r="C95" s="156" t="s">
        <v>268</v>
      </c>
      <c r="D95" s="156" t="s">
        <v>541</v>
      </c>
      <c r="E95" s="179">
        <v>3000000</v>
      </c>
      <c r="F95" s="179">
        <v>0</v>
      </c>
      <c r="G95" s="179">
        <v>0</v>
      </c>
      <c r="H95" s="179">
        <v>0</v>
      </c>
      <c r="I95" s="179">
        <v>0</v>
      </c>
      <c r="J95" s="179">
        <v>0</v>
      </c>
      <c r="K95" s="179">
        <v>0</v>
      </c>
      <c r="L95" s="179">
        <v>0</v>
      </c>
      <c r="M95" s="179">
        <v>0</v>
      </c>
      <c r="N95" s="179">
        <v>0</v>
      </c>
    </row>
    <row r="96" spans="1:14" s="156" customFormat="1" x14ac:dyDescent="0.25">
      <c r="A96" s="156" t="s">
        <v>542</v>
      </c>
      <c r="B96" s="156" t="s">
        <v>273</v>
      </c>
      <c r="C96" s="156" t="s">
        <v>274</v>
      </c>
      <c r="D96" s="156" t="s">
        <v>541</v>
      </c>
      <c r="E96" s="179">
        <v>401507000</v>
      </c>
      <c r="F96" s="179">
        <v>407413000</v>
      </c>
      <c r="G96" s="179">
        <v>407413000</v>
      </c>
      <c r="H96" s="179">
        <v>0</v>
      </c>
      <c r="I96" s="179">
        <v>30376750</v>
      </c>
      <c r="J96" s="179">
        <v>0</v>
      </c>
      <c r="K96" s="179">
        <v>374877186.58999997</v>
      </c>
      <c r="L96" s="179">
        <v>344877186.58999997</v>
      </c>
      <c r="M96" s="179">
        <v>2159063.41</v>
      </c>
      <c r="N96" s="179">
        <v>2159063.41</v>
      </c>
    </row>
    <row r="97" spans="1:14" s="156" customFormat="1" x14ac:dyDescent="0.25">
      <c r="A97" s="156" t="s">
        <v>542</v>
      </c>
      <c r="B97" s="156" t="s">
        <v>574</v>
      </c>
      <c r="C97" s="156" t="s">
        <v>575</v>
      </c>
      <c r="D97" s="156" t="s">
        <v>541</v>
      </c>
      <c r="E97" s="179">
        <v>0</v>
      </c>
      <c r="F97" s="179">
        <v>17560000</v>
      </c>
      <c r="G97" s="179">
        <v>17560000</v>
      </c>
      <c r="H97" s="179">
        <v>0</v>
      </c>
      <c r="I97" s="179">
        <v>0</v>
      </c>
      <c r="J97" s="179">
        <v>0</v>
      </c>
      <c r="K97" s="179">
        <v>0</v>
      </c>
      <c r="L97" s="179">
        <v>0</v>
      </c>
      <c r="M97" s="179">
        <v>17560000</v>
      </c>
      <c r="N97" s="179">
        <v>17560000</v>
      </c>
    </row>
    <row r="98" spans="1:14" s="156" customFormat="1" x14ac:dyDescent="0.25">
      <c r="A98" s="156" t="s">
        <v>542</v>
      </c>
      <c r="B98" s="156" t="s">
        <v>92</v>
      </c>
      <c r="C98" s="156" t="s">
        <v>93</v>
      </c>
      <c r="D98" s="156" t="s">
        <v>541</v>
      </c>
      <c r="E98" s="179">
        <v>1576957000</v>
      </c>
      <c r="F98" s="179">
        <v>1380844650</v>
      </c>
      <c r="G98" s="179">
        <v>1380844650</v>
      </c>
      <c r="H98" s="179">
        <v>0</v>
      </c>
      <c r="I98" s="179">
        <v>33020822</v>
      </c>
      <c r="J98" s="179">
        <v>0</v>
      </c>
      <c r="K98" s="179">
        <v>1080534108.28</v>
      </c>
      <c r="L98" s="179">
        <v>1080534108.28</v>
      </c>
      <c r="M98" s="179">
        <v>267289719.72</v>
      </c>
      <c r="N98" s="179">
        <v>267289719.72</v>
      </c>
    </row>
    <row r="99" spans="1:14" s="156" customFormat="1" x14ac:dyDescent="0.25">
      <c r="A99" s="156" t="s">
        <v>542</v>
      </c>
      <c r="B99" s="156" t="s">
        <v>123</v>
      </c>
      <c r="C99" s="156" t="s">
        <v>124</v>
      </c>
      <c r="D99" s="156" t="s">
        <v>541</v>
      </c>
      <c r="E99" s="179">
        <v>428982000</v>
      </c>
      <c r="F99" s="179">
        <v>395995580</v>
      </c>
      <c r="G99" s="179">
        <v>395995580</v>
      </c>
      <c r="H99" s="179">
        <v>16700</v>
      </c>
      <c r="I99" s="179">
        <v>95899876.890000001</v>
      </c>
      <c r="J99" s="179">
        <v>2083009</v>
      </c>
      <c r="K99" s="179">
        <v>257162643.78999999</v>
      </c>
      <c r="L99" s="179">
        <v>225581147.46000001</v>
      </c>
      <c r="M99" s="179">
        <v>40833350.32</v>
      </c>
      <c r="N99" s="179">
        <v>40833350.32</v>
      </c>
    </row>
    <row r="100" spans="1:14" s="156" customFormat="1" x14ac:dyDescent="0.25">
      <c r="A100" s="156" t="s">
        <v>542</v>
      </c>
      <c r="B100" s="156" t="s">
        <v>200</v>
      </c>
      <c r="C100" s="156" t="s">
        <v>201</v>
      </c>
      <c r="D100" s="156" t="s">
        <v>541</v>
      </c>
      <c r="E100" s="179">
        <v>70900000</v>
      </c>
      <c r="F100" s="179">
        <v>49640986</v>
      </c>
      <c r="G100" s="179">
        <v>49640986</v>
      </c>
      <c r="H100" s="179">
        <v>0</v>
      </c>
      <c r="I100" s="179">
        <v>3255188.44</v>
      </c>
      <c r="J100" s="179">
        <v>5467500</v>
      </c>
      <c r="K100" s="179">
        <v>38465140.859999999</v>
      </c>
      <c r="L100" s="179">
        <v>35631692.07</v>
      </c>
      <c r="M100" s="179">
        <v>2453156.7000000002</v>
      </c>
      <c r="N100" s="179">
        <v>2453156.7000000002</v>
      </c>
    </row>
    <row r="101" spans="1:14" s="156" customFormat="1" x14ac:dyDescent="0.25">
      <c r="A101" s="156" t="s">
        <v>542</v>
      </c>
      <c r="B101" s="156" t="s">
        <v>279</v>
      </c>
      <c r="C101" s="156" t="s">
        <v>280</v>
      </c>
      <c r="D101" s="156" t="s">
        <v>541</v>
      </c>
      <c r="E101" s="179">
        <v>4150000</v>
      </c>
      <c r="F101" s="179">
        <v>5094000</v>
      </c>
      <c r="G101" s="179">
        <v>5094000</v>
      </c>
      <c r="H101" s="179">
        <v>0</v>
      </c>
      <c r="I101" s="179">
        <v>0</v>
      </c>
      <c r="J101" s="179">
        <v>1110331.28</v>
      </c>
      <c r="K101" s="179">
        <v>3227171.79</v>
      </c>
      <c r="L101" s="179">
        <v>3027171.79</v>
      </c>
      <c r="M101" s="179">
        <v>756496.93</v>
      </c>
      <c r="N101" s="179">
        <v>756496.93</v>
      </c>
    </row>
    <row r="102" spans="1:14" s="156" customFormat="1" x14ac:dyDescent="0.25">
      <c r="A102" s="156" t="s">
        <v>542</v>
      </c>
      <c r="B102" s="156" t="s">
        <v>251</v>
      </c>
      <c r="C102" s="156" t="s">
        <v>252</v>
      </c>
      <c r="D102" s="156" t="s">
        <v>541</v>
      </c>
      <c r="E102" s="179">
        <v>756772000</v>
      </c>
      <c r="F102" s="179">
        <v>759678000</v>
      </c>
      <c r="G102" s="179">
        <v>759678000</v>
      </c>
      <c r="H102" s="179">
        <v>0</v>
      </c>
      <c r="I102" s="179">
        <v>112328836.62</v>
      </c>
      <c r="J102" s="179">
        <v>0</v>
      </c>
      <c r="K102" s="179">
        <v>629804570.97000003</v>
      </c>
      <c r="L102" s="179">
        <v>599804570.97000003</v>
      </c>
      <c r="M102" s="179">
        <v>17544592.41</v>
      </c>
      <c r="N102" s="179">
        <v>17544592.41</v>
      </c>
    </row>
    <row r="103" spans="1:14" s="156" customFormat="1" x14ac:dyDescent="0.25">
      <c r="A103" s="156" t="s">
        <v>542</v>
      </c>
      <c r="B103" s="156" t="s">
        <v>576</v>
      </c>
      <c r="C103" s="156" t="s">
        <v>577</v>
      </c>
      <c r="D103" s="156" t="s">
        <v>541</v>
      </c>
      <c r="E103" s="179">
        <v>0</v>
      </c>
      <c r="F103" s="179">
        <v>17560000</v>
      </c>
      <c r="G103" s="179">
        <v>17560000</v>
      </c>
      <c r="H103" s="179">
        <v>0</v>
      </c>
      <c r="I103" s="179">
        <v>0</v>
      </c>
      <c r="J103" s="179">
        <v>0</v>
      </c>
      <c r="K103" s="179">
        <v>0</v>
      </c>
      <c r="L103" s="179">
        <v>0</v>
      </c>
      <c r="M103" s="179">
        <v>17560000</v>
      </c>
      <c r="N103" s="179">
        <v>17560000</v>
      </c>
    </row>
    <row r="104" spans="1:14" s="156" customFormat="1" x14ac:dyDescent="0.25">
      <c r="A104" s="156">
        <v>214779</v>
      </c>
      <c r="B104" s="156" t="s">
        <v>587</v>
      </c>
      <c r="C104" s="156" t="s">
        <v>587</v>
      </c>
      <c r="D104" s="156" t="s">
        <v>541</v>
      </c>
      <c r="E104" s="179">
        <v>2837761000</v>
      </c>
      <c r="F104" s="179">
        <v>2608813216</v>
      </c>
      <c r="G104" s="179">
        <v>2608813216</v>
      </c>
      <c r="H104" s="179">
        <v>16700</v>
      </c>
      <c r="I104" s="179">
        <v>244504723.94999999</v>
      </c>
      <c r="J104" s="179">
        <v>8660840.2799999993</v>
      </c>
      <c r="K104" s="179">
        <v>2009193635.6900001</v>
      </c>
      <c r="L104" s="179">
        <v>1944578690.5699999</v>
      </c>
      <c r="M104" s="179">
        <v>346437316.07999998</v>
      </c>
      <c r="N104" s="179">
        <v>346437316.07999998</v>
      </c>
    </row>
    <row r="105" spans="1:14" s="156" customFormat="1" x14ac:dyDescent="0.25">
      <c r="A105" s="156" t="s">
        <v>544</v>
      </c>
      <c r="B105" s="156" t="s">
        <v>96</v>
      </c>
      <c r="C105" s="156" t="s">
        <v>97</v>
      </c>
      <c r="D105" s="156" t="s">
        <v>541</v>
      </c>
      <c r="E105" s="179">
        <v>415877000</v>
      </c>
      <c r="F105" s="179">
        <v>344741351</v>
      </c>
      <c r="G105" s="179">
        <v>344741350</v>
      </c>
      <c r="H105" s="179">
        <v>0</v>
      </c>
      <c r="I105" s="179">
        <v>0</v>
      </c>
      <c r="J105" s="179">
        <v>0</v>
      </c>
      <c r="K105" s="179">
        <v>268218737.28999999</v>
      </c>
      <c r="L105" s="179">
        <v>268218737.28999999</v>
      </c>
      <c r="M105" s="179">
        <v>76522613.709999993</v>
      </c>
      <c r="N105" s="179">
        <v>76522612.709999993</v>
      </c>
    </row>
    <row r="106" spans="1:14" s="156" customFormat="1" x14ac:dyDescent="0.25">
      <c r="A106" s="156" t="s">
        <v>544</v>
      </c>
      <c r="B106" s="156" t="s">
        <v>104</v>
      </c>
      <c r="C106" s="156" t="s">
        <v>105</v>
      </c>
      <c r="D106" s="156" t="s">
        <v>541</v>
      </c>
      <c r="E106" s="179">
        <v>79992000</v>
      </c>
      <c r="F106" s="179">
        <v>64192000</v>
      </c>
      <c r="G106" s="179">
        <v>64192000</v>
      </c>
      <c r="H106" s="179">
        <v>0</v>
      </c>
      <c r="I106" s="179">
        <v>0</v>
      </c>
      <c r="J106" s="179">
        <v>0</v>
      </c>
      <c r="K106" s="179">
        <v>55888848.409999996</v>
      </c>
      <c r="L106" s="179">
        <v>55888848.409999996</v>
      </c>
      <c r="M106" s="179">
        <v>8303151.5899999999</v>
      </c>
      <c r="N106" s="179">
        <v>8303151.5899999999</v>
      </c>
    </row>
    <row r="107" spans="1:14" s="156" customFormat="1" x14ac:dyDescent="0.25">
      <c r="A107" s="156" t="s">
        <v>544</v>
      </c>
      <c r="B107" s="156" t="s">
        <v>106</v>
      </c>
      <c r="C107" s="156" t="s">
        <v>107</v>
      </c>
      <c r="D107" s="156" t="s">
        <v>541</v>
      </c>
      <c r="E107" s="179">
        <v>248697000</v>
      </c>
      <c r="F107" s="179">
        <v>153947000</v>
      </c>
      <c r="G107" s="179">
        <v>153947000</v>
      </c>
      <c r="H107" s="179">
        <v>0</v>
      </c>
      <c r="I107" s="179">
        <v>0</v>
      </c>
      <c r="J107" s="179">
        <v>0</v>
      </c>
      <c r="K107" s="179">
        <v>134083002.81</v>
      </c>
      <c r="L107" s="179">
        <v>134083002.81</v>
      </c>
      <c r="M107" s="179">
        <v>19863997.190000001</v>
      </c>
      <c r="N107" s="179">
        <v>19863997.190000001</v>
      </c>
    </row>
    <row r="108" spans="1:14" s="156" customFormat="1" x14ac:dyDescent="0.25">
      <c r="A108" s="156" t="s">
        <v>544</v>
      </c>
      <c r="B108" s="156" t="s">
        <v>108</v>
      </c>
      <c r="C108" s="156" t="s">
        <v>109</v>
      </c>
      <c r="D108" s="156" t="s">
        <v>541</v>
      </c>
      <c r="E108" s="179">
        <v>43990000</v>
      </c>
      <c r="F108" s="179">
        <v>44290000</v>
      </c>
      <c r="G108" s="179">
        <v>44290000</v>
      </c>
      <c r="H108" s="179">
        <v>0</v>
      </c>
      <c r="I108" s="179">
        <v>0</v>
      </c>
      <c r="J108" s="179">
        <v>0</v>
      </c>
      <c r="K108" s="179">
        <v>43877811.079999998</v>
      </c>
      <c r="L108" s="179">
        <v>43877811.079999998</v>
      </c>
      <c r="M108" s="179">
        <v>412188.92</v>
      </c>
      <c r="N108" s="179">
        <v>412188.92</v>
      </c>
    </row>
    <row r="109" spans="1:14" s="156" customFormat="1" x14ac:dyDescent="0.25">
      <c r="A109" s="156" t="s">
        <v>544</v>
      </c>
      <c r="B109" s="156" t="s">
        <v>110</v>
      </c>
      <c r="C109" s="156" t="s">
        <v>111</v>
      </c>
      <c r="D109" s="156" t="s">
        <v>541</v>
      </c>
      <c r="E109" s="179">
        <v>31572000</v>
      </c>
      <c r="F109" s="179">
        <v>28572000</v>
      </c>
      <c r="G109" s="179">
        <v>28572000</v>
      </c>
      <c r="H109" s="179">
        <v>0</v>
      </c>
      <c r="I109" s="179">
        <v>0</v>
      </c>
      <c r="J109" s="179">
        <v>0</v>
      </c>
      <c r="K109" s="179">
        <v>25676435.059999999</v>
      </c>
      <c r="L109" s="179">
        <v>25676435.059999999</v>
      </c>
      <c r="M109" s="179">
        <v>2895564.94</v>
      </c>
      <c r="N109" s="179">
        <v>2895564.94</v>
      </c>
    </row>
    <row r="110" spans="1:14" s="156" customFormat="1" x14ac:dyDescent="0.25">
      <c r="A110" s="156" t="s">
        <v>544</v>
      </c>
      <c r="B110" s="156" t="s">
        <v>112</v>
      </c>
      <c r="C110" s="156" t="s">
        <v>113</v>
      </c>
      <c r="D110" s="156" t="s">
        <v>543</v>
      </c>
      <c r="E110" s="179">
        <v>64624000</v>
      </c>
      <c r="F110" s="179">
        <v>50624000</v>
      </c>
      <c r="G110" s="179">
        <v>50624000</v>
      </c>
      <c r="H110" s="179">
        <v>0</v>
      </c>
      <c r="I110" s="179">
        <v>0</v>
      </c>
      <c r="J110" s="179">
        <v>0</v>
      </c>
      <c r="K110" s="179">
        <v>0</v>
      </c>
      <c r="L110" s="179">
        <v>0</v>
      </c>
      <c r="M110" s="179">
        <v>50624000</v>
      </c>
      <c r="N110" s="179">
        <v>50624000</v>
      </c>
    </row>
    <row r="111" spans="1:14" s="156" customFormat="1" x14ac:dyDescent="0.25">
      <c r="A111" s="156" t="s">
        <v>544</v>
      </c>
      <c r="B111" s="156" t="s">
        <v>301</v>
      </c>
      <c r="C111" s="156" t="s">
        <v>620</v>
      </c>
      <c r="D111" s="156" t="s">
        <v>541</v>
      </c>
      <c r="E111" s="179">
        <v>75862000</v>
      </c>
      <c r="F111" s="179">
        <v>63432000</v>
      </c>
      <c r="G111" s="179">
        <v>63432000</v>
      </c>
      <c r="H111" s="179">
        <v>0</v>
      </c>
      <c r="I111" s="179">
        <v>3822174</v>
      </c>
      <c r="J111" s="179">
        <v>0</v>
      </c>
      <c r="K111" s="179">
        <v>59609826</v>
      </c>
      <c r="L111" s="179">
        <v>59609826</v>
      </c>
      <c r="M111" s="179">
        <v>0</v>
      </c>
      <c r="N111" s="179">
        <v>0</v>
      </c>
    </row>
    <row r="112" spans="1:14" s="156" customFormat="1" x14ac:dyDescent="0.25">
      <c r="A112" s="156" t="s">
        <v>544</v>
      </c>
      <c r="B112" s="156" t="s">
        <v>302</v>
      </c>
      <c r="C112" s="156" t="s">
        <v>583</v>
      </c>
      <c r="D112" s="156" t="s">
        <v>541</v>
      </c>
      <c r="E112" s="179">
        <v>4101000</v>
      </c>
      <c r="F112" s="179">
        <v>3579000</v>
      </c>
      <c r="G112" s="179">
        <v>3579000</v>
      </c>
      <c r="H112" s="179">
        <v>0</v>
      </c>
      <c r="I112" s="179">
        <v>357748</v>
      </c>
      <c r="J112" s="179">
        <v>0</v>
      </c>
      <c r="K112" s="179">
        <v>3221252</v>
      </c>
      <c r="L112" s="179">
        <v>3221252</v>
      </c>
      <c r="M112" s="179">
        <v>0</v>
      </c>
      <c r="N112" s="179">
        <v>0</v>
      </c>
    </row>
    <row r="113" spans="1:14" s="156" customFormat="1" x14ac:dyDescent="0.25">
      <c r="A113" s="156" t="s">
        <v>544</v>
      </c>
      <c r="B113" s="156" t="s">
        <v>303</v>
      </c>
      <c r="C113" s="156" t="s">
        <v>621</v>
      </c>
      <c r="D113" s="156" t="s">
        <v>541</v>
      </c>
      <c r="E113" s="179">
        <v>41663000</v>
      </c>
      <c r="F113" s="179">
        <v>35423000</v>
      </c>
      <c r="G113" s="179">
        <v>35423000</v>
      </c>
      <c r="H113" s="179">
        <v>0</v>
      </c>
      <c r="I113" s="179">
        <v>2686348</v>
      </c>
      <c r="J113" s="179">
        <v>0</v>
      </c>
      <c r="K113" s="179">
        <v>32736652</v>
      </c>
      <c r="L113" s="179">
        <v>32736652</v>
      </c>
      <c r="M113" s="179">
        <v>0</v>
      </c>
      <c r="N113" s="179">
        <v>0</v>
      </c>
    </row>
    <row r="114" spans="1:14" s="156" customFormat="1" x14ac:dyDescent="0.25">
      <c r="A114" s="156" t="s">
        <v>544</v>
      </c>
      <c r="B114" s="156" t="s">
        <v>304</v>
      </c>
      <c r="C114" s="156" t="s">
        <v>622</v>
      </c>
      <c r="D114" s="156" t="s">
        <v>541</v>
      </c>
      <c r="E114" s="179">
        <v>12303000</v>
      </c>
      <c r="F114" s="179">
        <v>10733000</v>
      </c>
      <c r="G114" s="179">
        <v>10733000</v>
      </c>
      <c r="H114" s="179">
        <v>0</v>
      </c>
      <c r="I114" s="179">
        <v>1069278</v>
      </c>
      <c r="J114" s="179">
        <v>0</v>
      </c>
      <c r="K114" s="179">
        <v>9663722</v>
      </c>
      <c r="L114" s="179">
        <v>9663722</v>
      </c>
      <c r="M114" s="179">
        <v>0</v>
      </c>
      <c r="N114" s="179">
        <v>0</v>
      </c>
    </row>
    <row r="115" spans="1:14" s="156" customFormat="1" x14ac:dyDescent="0.25">
      <c r="A115" s="156" t="s">
        <v>544</v>
      </c>
      <c r="B115" s="156" t="s">
        <v>305</v>
      </c>
      <c r="C115" s="156" t="s">
        <v>623</v>
      </c>
      <c r="D115" s="156" t="s">
        <v>541</v>
      </c>
      <c r="E115" s="179">
        <v>24604000</v>
      </c>
      <c r="F115" s="179">
        <v>20964000</v>
      </c>
      <c r="G115" s="179">
        <v>20964000</v>
      </c>
      <c r="H115" s="179">
        <v>0</v>
      </c>
      <c r="I115" s="179">
        <v>1636560</v>
      </c>
      <c r="J115" s="179">
        <v>0</v>
      </c>
      <c r="K115" s="179">
        <v>19327440</v>
      </c>
      <c r="L115" s="179">
        <v>19327440</v>
      </c>
      <c r="M115" s="179">
        <v>0</v>
      </c>
      <c r="N115" s="179">
        <v>0</v>
      </c>
    </row>
    <row r="116" spans="1:14" s="156" customFormat="1" x14ac:dyDescent="0.25">
      <c r="A116" s="156" t="s">
        <v>544</v>
      </c>
      <c r="B116" s="156" t="s">
        <v>306</v>
      </c>
      <c r="C116" s="156" t="s">
        <v>307</v>
      </c>
      <c r="D116" s="156" t="s">
        <v>541</v>
      </c>
      <c r="E116" s="179">
        <v>76041000</v>
      </c>
      <c r="F116" s="179">
        <v>67968040</v>
      </c>
      <c r="G116" s="179">
        <v>67968040</v>
      </c>
      <c r="H116" s="179">
        <v>0</v>
      </c>
      <c r="I116" s="179">
        <v>12294515.65</v>
      </c>
      <c r="J116" s="179">
        <v>0</v>
      </c>
      <c r="K116" s="179">
        <v>54368620.859999999</v>
      </c>
      <c r="L116" s="179">
        <v>54368620.859999999</v>
      </c>
      <c r="M116" s="179">
        <v>1304903.49</v>
      </c>
      <c r="N116" s="179">
        <v>1304903.49</v>
      </c>
    </row>
    <row r="117" spans="1:14" s="156" customFormat="1" x14ac:dyDescent="0.25">
      <c r="A117" s="156" t="s">
        <v>544</v>
      </c>
      <c r="B117" s="156" t="s">
        <v>127</v>
      </c>
      <c r="C117" s="156" t="s">
        <v>128</v>
      </c>
      <c r="D117" s="156" t="s">
        <v>541</v>
      </c>
      <c r="E117" s="179">
        <v>16000000</v>
      </c>
      <c r="F117" s="179">
        <v>17110000</v>
      </c>
      <c r="G117" s="179">
        <v>17110000</v>
      </c>
      <c r="H117" s="179">
        <v>0</v>
      </c>
      <c r="I117" s="179">
        <v>4632373.7699999996</v>
      </c>
      <c r="J117" s="179">
        <v>0</v>
      </c>
      <c r="K117" s="179">
        <v>12475946</v>
      </c>
      <c r="L117" s="179">
        <v>9724236.1500000004</v>
      </c>
      <c r="M117" s="179">
        <v>1680.23</v>
      </c>
      <c r="N117" s="179">
        <v>1680.23</v>
      </c>
    </row>
    <row r="118" spans="1:14" s="156" customFormat="1" x14ac:dyDescent="0.25">
      <c r="A118" s="156" t="s">
        <v>544</v>
      </c>
      <c r="B118" s="156" t="s">
        <v>133</v>
      </c>
      <c r="C118" s="156" t="s">
        <v>134</v>
      </c>
      <c r="D118" s="156" t="s">
        <v>541</v>
      </c>
      <c r="E118" s="179">
        <v>2000000</v>
      </c>
      <c r="F118" s="179">
        <v>1976700</v>
      </c>
      <c r="G118" s="179">
        <v>1976700</v>
      </c>
      <c r="H118" s="179">
        <v>0</v>
      </c>
      <c r="I118" s="179">
        <v>320095</v>
      </c>
      <c r="J118" s="179">
        <v>0</v>
      </c>
      <c r="K118" s="179">
        <v>906515</v>
      </c>
      <c r="L118" s="179">
        <v>839450</v>
      </c>
      <c r="M118" s="179">
        <v>750090</v>
      </c>
      <c r="N118" s="179">
        <v>750090</v>
      </c>
    </row>
    <row r="119" spans="1:14" s="156" customFormat="1" x14ac:dyDescent="0.25">
      <c r="A119" s="156" t="s">
        <v>544</v>
      </c>
      <c r="B119" s="156" t="s">
        <v>135</v>
      </c>
      <c r="C119" s="156" t="s">
        <v>136</v>
      </c>
      <c r="D119" s="156" t="s">
        <v>541</v>
      </c>
      <c r="E119" s="179">
        <v>6000000</v>
      </c>
      <c r="F119" s="179">
        <v>6000000</v>
      </c>
      <c r="G119" s="179">
        <v>6000000</v>
      </c>
      <c r="H119" s="179">
        <v>0</v>
      </c>
      <c r="I119" s="179">
        <v>1109811</v>
      </c>
      <c r="J119" s="179">
        <v>0</v>
      </c>
      <c r="K119" s="179">
        <v>2877171</v>
      </c>
      <c r="L119" s="179">
        <v>2616320</v>
      </c>
      <c r="M119" s="179">
        <v>2013018</v>
      </c>
      <c r="N119" s="179">
        <v>2013018</v>
      </c>
    </row>
    <row r="120" spans="1:14" s="156" customFormat="1" x14ac:dyDescent="0.25">
      <c r="A120" s="156" t="s">
        <v>544</v>
      </c>
      <c r="B120" s="156" t="s">
        <v>137</v>
      </c>
      <c r="C120" s="156" t="s">
        <v>138</v>
      </c>
      <c r="D120" s="156" t="s">
        <v>541</v>
      </c>
      <c r="E120" s="179">
        <v>500000</v>
      </c>
      <c r="F120" s="179">
        <v>500000</v>
      </c>
      <c r="G120" s="179">
        <v>500000</v>
      </c>
      <c r="H120" s="179">
        <v>0</v>
      </c>
      <c r="I120" s="179">
        <v>0</v>
      </c>
      <c r="J120" s="179">
        <v>0</v>
      </c>
      <c r="K120" s="179">
        <v>0</v>
      </c>
      <c r="L120" s="179">
        <v>0</v>
      </c>
      <c r="M120" s="179">
        <v>500000</v>
      </c>
      <c r="N120" s="179">
        <v>500000</v>
      </c>
    </row>
    <row r="121" spans="1:14" s="156" customFormat="1" x14ac:dyDescent="0.25">
      <c r="A121" s="156" t="s">
        <v>544</v>
      </c>
      <c r="B121" s="156" t="s">
        <v>139</v>
      </c>
      <c r="C121" s="156" t="s">
        <v>140</v>
      </c>
      <c r="D121" s="156" t="s">
        <v>541</v>
      </c>
      <c r="E121" s="179">
        <v>14062000</v>
      </c>
      <c r="F121" s="179">
        <v>14062000</v>
      </c>
      <c r="G121" s="179">
        <v>14062000</v>
      </c>
      <c r="H121" s="179">
        <v>0</v>
      </c>
      <c r="I121" s="179">
        <v>3588157</v>
      </c>
      <c r="J121" s="179">
        <v>0</v>
      </c>
      <c r="K121" s="179">
        <v>8304540</v>
      </c>
      <c r="L121" s="179">
        <v>7515341</v>
      </c>
      <c r="M121" s="179">
        <v>2169303</v>
      </c>
      <c r="N121" s="179">
        <v>2169303</v>
      </c>
    </row>
    <row r="122" spans="1:14" s="156" customFormat="1" x14ac:dyDescent="0.25">
      <c r="A122" s="156" t="s">
        <v>544</v>
      </c>
      <c r="B122" s="156" t="s">
        <v>145</v>
      </c>
      <c r="C122" s="156" t="s">
        <v>146</v>
      </c>
      <c r="D122" s="156" t="s">
        <v>541</v>
      </c>
      <c r="E122" s="179">
        <v>1000000</v>
      </c>
      <c r="F122" s="179">
        <v>250000</v>
      </c>
      <c r="G122" s="179">
        <v>250000</v>
      </c>
      <c r="H122" s="179">
        <v>0</v>
      </c>
      <c r="I122" s="179">
        <v>225500</v>
      </c>
      <c r="J122" s="179">
        <v>0</v>
      </c>
      <c r="K122" s="179">
        <v>24500</v>
      </c>
      <c r="L122" s="179">
        <v>24500</v>
      </c>
      <c r="M122" s="179">
        <v>0</v>
      </c>
      <c r="N122" s="179">
        <v>0</v>
      </c>
    </row>
    <row r="123" spans="1:14" s="156" customFormat="1" x14ac:dyDescent="0.25">
      <c r="A123" s="156" t="s">
        <v>544</v>
      </c>
      <c r="B123" s="156" t="s">
        <v>308</v>
      </c>
      <c r="C123" s="156" t="s">
        <v>627</v>
      </c>
      <c r="D123" s="156" t="s">
        <v>541</v>
      </c>
      <c r="E123" s="179">
        <v>169500</v>
      </c>
      <c r="F123" s="179">
        <v>97250</v>
      </c>
      <c r="G123" s="179">
        <v>97250</v>
      </c>
      <c r="H123" s="179">
        <v>0</v>
      </c>
      <c r="I123" s="179">
        <v>0</v>
      </c>
      <c r="J123" s="179">
        <v>0</v>
      </c>
      <c r="K123" s="179">
        <v>97250</v>
      </c>
      <c r="L123" s="179">
        <v>97250</v>
      </c>
      <c r="M123" s="179">
        <v>0</v>
      </c>
      <c r="N123" s="179">
        <v>0</v>
      </c>
    </row>
    <row r="124" spans="1:14" s="156" customFormat="1" x14ac:dyDescent="0.25">
      <c r="A124" s="156" t="s">
        <v>544</v>
      </c>
      <c r="B124" s="156" t="s">
        <v>147</v>
      </c>
      <c r="C124" s="156" t="s">
        <v>148</v>
      </c>
      <c r="D124" s="156" t="s">
        <v>541</v>
      </c>
      <c r="E124" s="179">
        <v>2000000</v>
      </c>
      <c r="F124" s="179">
        <v>3005710</v>
      </c>
      <c r="G124" s="179">
        <v>3005710</v>
      </c>
      <c r="H124" s="179">
        <v>0</v>
      </c>
      <c r="I124" s="179">
        <v>0</v>
      </c>
      <c r="J124" s="179">
        <v>15000</v>
      </c>
      <c r="K124" s="179">
        <v>2989000</v>
      </c>
      <c r="L124" s="179">
        <v>2989000</v>
      </c>
      <c r="M124" s="179">
        <v>1710</v>
      </c>
      <c r="N124" s="179">
        <v>1710</v>
      </c>
    </row>
    <row r="125" spans="1:14" s="156" customFormat="1" x14ac:dyDescent="0.25">
      <c r="A125" s="156" t="s">
        <v>544</v>
      </c>
      <c r="B125" s="156" t="s">
        <v>154</v>
      </c>
      <c r="C125" s="156" t="s">
        <v>155</v>
      </c>
      <c r="D125" s="156" t="s">
        <v>541</v>
      </c>
      <c r="E125" s="179">
        <v>3300000</v>
      </c>
      <c r="F125" s="179">
        <v>2850000</v>
      </c>
      <c r="G125" s="179">
        <v>2850000</v>
      </c>
      <c r="H125" s="179">
        <v>0</v>
      </c>
      <c r="I125" s="179">
        <v>1017240</v>
      </c>
      <c r="J125" s="179">
        <v>986000</v>
      </c>
      <c r="K125" s="179">
        <v>0</v>
      </c>
      <c r="L125" s="179">
        <v>0</v>
      </c>
      <c r="M125" s="179">
        <v>846760</v>
      </c>
      <c r="N125" s="179">
        <v>846760</v>
      </c>
    </row>
    <row r="126" spans="1:14" s="156" customFormat="1" x14ac:dyDescent="0.25">
      <c r="A126" s="156" t="s">
        <v>544</v>
      </c>
      <c r="B126" s="156" t="s">
        <v>156</v>
      </c>
      <c r="C126" s="156" t="s">
        <v>157</v>
      </c>
      <c r="D126" s="156" t="s">
        <v>541</v>
      </c>
      <c r="E126" s="179">
        <v>1500000</v>
      </c>
      <c r="F126" s="179">
        <v>590000</v>
      </c>
      <c r="G126" s="179">
        <v>590000</v>
      </c>
      <c r="H126" s="179">
        <v>0</v>
      </c>
      <c r="I126" s="179">
        <v>190000</v>
      </c>
      <c r="J126" s="179">
        <v>0</v>
      </c>
      <c r="K126" s="179">
        <v>400000</v>
      </c>
      <c r="L126" s="179">
        <v>350000</v>
      </c>
      <c r="M126" s="179">
        <v>0</v>
      </c>
      <c r="N126" s="179">
        <v>0</v>
      </c>
    </row>
    <row r="127" spans="1:14" s="156" customFormat="1" x14ac:dyDescent="0.25">
      <c r="A127" s="156" t="s">
        <v>544</v>
      </c>
      <c r="B127" s="156" t="s">
        <v>160</v>
      </c>
      <c r="C127" s="156" t="s">
        <v>161</v>
      </c>
      <c r="D127" s="156" t="s">
        <v>541</v>
      </c>
      <c r="E127" s="179">
        <v>700000</v>
      </c>
      <c r="F127" s="179">
        <v>804000</v>
      </c>
      <c r="G127" s="179">
        <v>804000</v>
      </c>
      <c r="H127" s="179">
        <v>0</v>
      </c>
      <c r="I127" s="179">
        <v>402880</v>
      </c>
      <c r="J127" s="179">
        <v>0</v>
      </c>
      <c r="K127" s="179">
        <v>401120</v>
      </c>
      <c r="L127" s="179">
        <v>401120</v>
      </c>
      <c r="M127" s="179">
        <v>0</v>
      </c>
      <c r="N127" s="179">
        <v>0</v>
      </c>
    </row>
    <row r="128" spans="1:14" s="156" customFormat="1" x14ac:dyDescent="0.25">
      <c r="A128" s="156" t="s">
        <v>544</v>
      </c>
      <c r="B128" s="156" t="s">
        <v>162</v>
      </c>
      <c r="C128" s="156" t="s">
        <v>163</v>
      </c>
      <c r="D128" s="156" t="s">
        <v>541</v>
      </c>
      <c r="E128" s="179">
        <v>8534500</v>
      </c>
      <c r="F128" s="179">
        <v>9034500</v>
      </c>
      <c r="G128" s="179">
        <v>9034500</v>
      </c>
      <c r="H128" s="179">
        <v>129900</v>
      </c>
      <c r="I128" s="179">
        <v>2805850</v>
      </c>
      <c r="J128" s="179">
        <v>0</v>
      </c>
      <c r="K128" s="179">
        <v>5748000</v>
      </c>
      <c r="L128" s="179">
        <v>5737700</v>
      </c>
      <c r="M128" s="179">
        <v>350750</v>
      </c>
      <c r="N128" s="179">
        <v>350750</v>
      </c>
    </row>
    <row r="129" spans="1:14" s="156" customFormat="1" x14ac:dyDescent="0.25">
      <c r="A129" s="156" t="s">
        <v>544</v>
      </c>
      <c r="B129" s="156" t="s">
        <v>170</v>
      </c>
      <c r="C129" s="156" t="s">
        <v>171</v>
      </c>
      <c r="D129" s="156" t="s">
        <v>541</v>
      </c>
      <c r="E129" s="179">
        <v>4500000</v>
      </c>
      <c r="F129" s="179">
        <v>4453000</v>
      </c>
      <c r="G129" s="179">
        <v>4453000</v>
      </c>
      <c r="H129" s="179">
        <v>0</v>
      </c>
      <c r="I129" s="179">
        <v>172995</v>
      </c>
      <c r="J129" s="179">
        <v>0</v>
      </c>
      <c r="K129" s="179">
        <v>3814274</v>
      </c>
      <c r="L129" s="179">
        <v>2901150</v>
      </c>
      <c r="M129" s="179">
        <v>465731</v>
      </c>
      <c r="N129" s="179">
        <v>465731</v>
      </c>
    </row>
    <row r="130" spans="1:14" s="156" customFormat="1" x14ac:dyDescent="0.25">
      <c r="A130" s="156" t="s">
        <v>544</v>
      </c>
      <c r="B130" s="156" t="s">
        <v>309</v>
      </c>
      <c r="C130" s="156" t="s">
        <v>310</v>
      </c>
      <c r="D130" s="156" t="s">
        <v>541</v>
      </c>
      <c r="E130" s="179">
        <v>12506000</v>
      </c>
      <c r="F130" s="179">
        <v>12506000</v>
      </c>
      <c r="G130" s="179">
        <v>12506000</v>
      </c>
      <c r="H130" s="179">
        <v>0</v>
      </c>
      <c r="I130" s="179">
        <v>3145762.8</v>
      </c>
      <c r="J130" s="179">
        <v>0</v>
      </c>
      <c r="K130" s="179">
        <v>9358000</v>
      </c>
      <c r="L130" s="179">
        <v>7112400</v>
      </c>
      <c r="M130" s="179">
        <v>2237.1999999999998</v>
      </c>
      <c r="N130" s="179">
        <v>2237.1999999999998</v>
      </c>
    </row>
    <row r="131" spans="1:14" s="156" customFormat="1" x14ac:dyDescent="0.25">
      <c r="A131" s="156" t="s">
        <v>544</v>
      </c>
      <c r="B131" s="156" t="s">
        <v>182</v>
      </c>
      <c r="C131" s="156" t="s">
        <v>183</v>
      </c>
      <c r="D131" s="156" t="s">
        <v>541</v>
      </c>
      <c r="E131" s="179">
        <v>600000</v>
      </c>
      <c r="F131" s="179">
        <v>600000</v>
      </c>
      <c r="G131" s="179">
        <v>600000</v>
      </c>
      <c r="H131" s="179">
        <v>0</v>
      </c>
      <c r="I131" s="179">
        <v>597500</v>
      </c>
      <c r="J131" s="179">
        <v>0</v>
      </c>
      <c r="K131" s="179">
        <v>2500</v>
      </c>
      <c r="L131" s="179">
        <v>2500</v>
      </c>
      <c r="M131" s="179">
        <v>0</v>
      </c>
      <c r="N131" s="179">
        <v>0</v>
      </c>
    </row>
    <row r="132" spans="1:14" s="156" customFormat="1" x14ac:dyDescent="0.25">
      <c r="A132" s="156" t="s">
        <v>544</v>
      </c>
      <c r="B132" s="156" t="s">
        <v>186</v>
      </c>
      <c r="C132" s="156" t="s">
        <v>187</v>
      </c>
      <c r="D132" s="156" t="s">
        <v>541</v>
      </c>
      <c r="E132" s="179">
        <v>1500000</v>
      </c>
      <c r="F132" s="179">
        <v>1000000</v>
      </c>
      <c r="G132" s="179">
        <v>1000000</v>
      </c>
      <c r="H132" s="179">
        <v>0</v>
      </c>
      <c r="I132" s="179">
        <v>0</v>
      </c>
      <c r="J132" s="179">
        <v>0</v>
      </c>
      <c r="K132" s="179">
        <v>0</v>
      </c>
      <c r="L132" s="179">
        <v>0</v>
      </c>
      <c r="M132" s="179">
        <v>1000000</v>
      </c>
      <c r="N132" s="179">
        <v>1000000</v>
      </c>
    </row>
    <row r="133" spans="1:14" s="156" customFormat="1" x14ac:dyDescent="0.25">
      <c r="A133" s="156" t="s">
        <v>544</v>
      </c>
      <c r="B133" s="156" t="s">
        <v>188</v>
      </c>
      <c r="C133" s="156" t="s">
        <v>189</v>
      </c>
      <c r="D133" s="156" t="s">
        <v>541</v>
      </c>
      <c r="E133" s="179">
        <v>1500000</v>
      </c>
      <c r="F133" s="179">
        <v>1500000</v>
      </c>
      <c r="G133" s="179">
        <v>1500000</v>
      </c>
      <c r="H133" s="179">
        <v>0</v>
      </c>
      <c r="I133" s="179">
        <v>0</v>
      </c>
      <c r="J133" s="179">
        <v>0</v>
      </c>
      <c r="K133" s="179">
        <v>1480193.78</v>
      </c>
      <c r="L133" s="179">
        <v>0</v>
      </c>
      <c r="M133" s="179">
        <v>19806.22</v>
      </c>
      <c r="N133" s="179">
        <v>19806.22</v>
      </c>
    </row>
    <row r="134" spans="1:14" s="156" customFormat="1" x14ac:dyDescent="0.25">
      <c r="A134" s="156" t="s">
        <v>544</v>
      </c>
      <c r="B134" s="156" t="s">
        <v>190</v>
      </c>
      <c r="C134" s="156" t="s">
        <v>191</v>
      </c>
      <c r="D134" s="156" t="s">
        <v>541</v>
      </c>
      <c r="E134" s="179">
        <v>1000000</v>
      </c>
      <c r="F134" s="179">
        <v>500000</v>
      </c>
      <c r="G134" s="179">
        <v>500000</v>
      </c>
      <c r="H134" s="179">
        <v>0</v>
      </c>
      <c r="I134" s="179">
        <v>0</v>
      </c>
      <c r="J134" s="179">
        <v>0</v>
      </c>
      <c r="K134" s="179">
        <v>0</v>
      </c>
      <c r="L134" s="179">
        <v>0</v>
      </c>
      <c r="M134" s="179">
        <v>500000</v>
      </c>
      <c r="N134" s="179">
        <v>500000</v>
      </c>
    </row>
    <row r="135" spans="1:14" s="156" customFormat="1" x14ac:dyDescent="0.25">
      <c r="A135" s="156" t="s">
        <v>544</v>
      </c>
      <c r="B135" s="156" t="s">
        <v>194</v>
      </c>
      <c r="C135" s="156" t="s">
        <v>195</v>
      </c>
      <c r="D135" s="156" t="s">
        <v>541</v>
      </c>
      <c r="E135" s="179">
        <v>200000</v>
      </c>
      <c r="F135" s="179">
        <v>120000</v>
      </c>
      <c r="G135" s="179">
        <v>120000</v>
      </c>
      <c r="H135" s="179">
        <v>0</v>
      </c>
      <c r="I135" s="179">
        <v>120000</v>
      </c>
      <c r="J135" s="179">
        <v>0</v>
      </c>
      <c r="K135" s="179">
        <v>0</v>
      </c>
      <c r="L135" s="179">
        <v>0</v>
      </c>
      <c r="M135" s="179">
        <v>0</v>
      </c>
      <c r="N135" s="179">
        <v>0</v>
      </c>
    </row>
    <row r="136" spans="1:14" s="156" customFormat="1" x14ac:dyDescent="0.25">
      <c r="A136" s="156" t="s">
        <v>544</v>
      </c>
      <c r="B136" s="156" t="s">
        <v>198</v>
      </c>
      <c r="C136" s="156" t="s">
        <v>199</v>
      </c>
      <c r="D136" s="156" t="s">
        <v>541</v>
      </c>
      <c r="E136" s="179">
        <v>500000</v>
      </c>
      <c r="F136" s="179">
        <v>225000</v>
      </c>
      <c r="G136" s="179">
        <v>225000</v>
      </c>
      <c r="H136" s="179">
        <v>0</v>
      </c>
      <c r="I136" s="179">
        <v>225000</v>
      </c>
      <c r="J136" s="179">
        <v>0</v>
      </c>
      <c r="K136" s="179">
        <v>0</v>
      </c>
      <c r="L136" s="179">
        <v>0</v>
      </c>
      <c r="M136" s="179">
        <v>0</v>
      </c>
      <c r="N136" s="179">
        <v>0</v>
      </c>
    </row>
    <row r="137" spans="1:14" s="156" customFormat="1" x14ac:dyDescent="0.25">
      <c r="A137" s="156" t="s">
        <v>544</v>
      </c>
      <c r="B137" s="156" t="s">
        <v>204</v>
      </c>
      <c r="C137" s="156" t="s">
        <v>205</v>
      </c>
      <c r="D137" s="156" t="s">
        <v>541</v>
      </c>
      <c r="E137" s="179">
        <v>5000000</v>
      </c>
      <c r="F137" s="179">
        <v>4492000</v>
      </c>
      <c r="G137" s="179">
        <v>4492000</v>
      </c>
      <c r="H137" s="179">
        <v>0</v>
      </c>
      <c r="I137" s="179">
        <v>1590688</v>
      </c>
      <c r="J137" s="179">
        <v>0</v>
      </c>
      <c r="K137" s="179">
        <v>2473584</v>
      </c>
      <c r="L137" s="179">
        <v>2473584</v>
      </c>
      <c r="M137" s="179">
        <v>427728</v>
      </c>
      <c r="N137" s="179">
        <v>427728</v>
      </c>
    </row>
    <row r="138" spans="1:14" s="156" customFormat="1" x14ac:dyDescent="0.25">
      <c r="A138" s="156" t="s">
        <v>544</v>
      </c>
      <c r="B138" s="156" t="s">
        <v>208</v>
      </c>
      <c r="C138" s="156" t="s">
        <v>209</v>
      </c>
      <c r="D138" s="156" t="s">
        <v>541</v>
      </c>
      <c r="E138" s="179">
        <v>10000000</v>
      </c>
      <c r="F138" s="179">
        <v>9991000</v>
      </c>
      <c r="G138" s="179">
        <v>9991000</v>
      </c>
      <c r="H138" s="179">
        <v>0</v>
      </c>
      <c r="I138" s="179">
        <v>1704890</v>
      </c>
      <c r="J138" s="179">
        <v>0</v>
      </c>
      <c r="K138" s="179">
        <v>7961270.5</v>
      </c>
      <c r="L138" s="179">
        <v>765582.3</v>
      </c>
      <c r="M138" s="179">
        <v>324839.5</v>
      </c>
      <c r="N138" s="179">
        <v>324839.5</v>
      </c>
    </row>
    <row r="139" spans="1:14" s="156" customFormat="1" x14ac:dyDescent="0.25">
      <c r="A139" s="156" t="s">
        <v>544</v>
      </c>
      <c r="B139" s="156" t="s">
        <v>214</v>
      </c>
      <c r="C139" s="156" t="s">
        <v>215</v>
      </c>
      <c r="D139" s="156" t="s">
        <v>541</v>
      </c>
      <c r="E139" s="179">
        <v>3000000</v>
      </c>
      <c r="F139" s="179">
        <v>3600000</v>
      </c>
      <c r="G139" s="179">
        <v>3600000</v>
      </c>
      <c r="H139" s="179">
        <v>0</v>
      </c>
      <c r="I139" s="179">
        <v>824642</v>
      </c>
      <c r="J139" s="179">
        <v>0</v>
      </c>
      <c r="K139" s="179">
        <v>2774742</v>
      </c>
      <c r="L139" s="179">
        <v>2774742</v>
      </c>
      <c r="M139" s="179">
        <v>616</v>
      </c>
      <c r="N139" s="179">
        <v>616</v>
      </c>
    </row>
    <row r="140" spans="1:14" s="156" customFormat="1" x14ac:dyDescent="0.25">
      <c r="A140" s="156" t="s">
        <v>544</v>
      </c>
      <c r="B140" s="156" t="s">
        <v>220</v>
      </c>
      <c r="C140" s="156" t="s">
        <v>221</v>
      </c>
      <c r="D140" s="156" t="s">
        <v>541</v>
      </c>
      <c r="E140" s="179">
        <v>811000</v>
      </c>
      <c r="F140" s="179">
        <v>811000</v>
      </c>
      <c r="G140" s="179">
        <v>811000</v>
      </c>
      <c r="H140" s="179">
        <v>0</v>
      </c>
      <c r="I140" s="179">
        <v>105430</v>
      </c>
      <c r="J140" s="179">
        <v>0</v>
      </c>
      <c r="K140" s="179">
        <v>662490.84</v>
      </c>
      <c r="L140" s="179">
        <v>49500</v>
      </c>
      <c r="M140" s="179">
        <v>43079.16</v>
      </c>
      <c r="N140" s="179">
        <v>43079.16</v>
      </c>
    </row>
    <row r="141" spans="1:14" s="156" customFormat="1" x14ac:dyDescent="0.25">
      <c r="A141" s="156" t="s">
        <v>544</v>
      </c>
      <c r="B141" s="156" t="s">
        <v>224</v>
      </c>
      <c r="C141" s="156" t="s">
        <v>225</v>
      </c>
      <c r="D141" s="156" t="s">
        <v>541</v>
      </c>
      <c r="E141" s="179">
        <v>16000</v>
      </c>
      <c r="F141" s="179">
        <v>0</v>
      </c>
      <c r="G141" s="179">
        <v>0</v>
      </c>
      <c r="H141" s="179">
        <v>0</v>
      </c>
      <c r="I141" s="179">
        <v>0</v>
      </c>
      <c r="J141" s="179">
        <v>0</v>
      </c>
      <c r="K141" s="179">
        <v>0</v>
      </c>
      <c r="L141" s="179">
        <v>0</v>
      </c>
      <c r="M141" s="179">
        <v>0</v>
      </c>
      <c r="N141" s="179">
        <v>0</v>
      </c>
    </row>
    <row r="142" spans="1:14" s="156" customFormat="1" x14ac:dyDescent="0.25">
      <c r="A142" s="156" t="s">
        <v>544</v>
      </c>
      <c r="B142" s="156" t="s">
        <v>230</v>
      </c>
      <c r="C142" s="156" t="s">
        <v>231</v>
      </c>
      <c r="D142" s="156" t="s">
        <v>541</v>
      </c>
      <c r="E142" s="179">
        <v>2000000</v>
      </c>
      <c r="F142" s="179">
        <v>1987000</v>
      </c>
      <c r="G142" s="179">
        <v>1987000</v>
      </c>
      <c r="H142" s="179">
        <v>0</v>
      </c>
      <c r="I142" s="179">
        <v>364550</v>
      </c>
      <c r="J142" s="179">
        <v>0</v>
      </c>
      <c r="K142" s="179">
        <v>1241990.3799999999</v>
      </c>
      <c r="L142" s="179">
        <v>1241990.3799999999</v>
      </c>
      <c r="M142" s="179">
        <v>380459.62</v>
      </c>
      <c r="N142" s="179">
        <v>380459.62</v>
      </c>
    </row>
    <row r="143" spans="1:14" s="156" customFormat="1" x14ac:dyDescent="0.25">
      <c r="A143" s="156" t="s">
        <v>544</v>
      </c>
      <c r="B143" s="156" t="s">
        <v>232</v>
      </c>
      <c r="C143" s="156" t="s">
        <v>233</v>
      </c>
      <c r="D143" s="156" t="s">
        <v>541</v>
      </c>
      <c r="E143" s="179">
        <v>1000000</v>
      </c>
      <c r="F143" s="179">
        <v>1000000</v>
      </c>
      <c r="G143" s="179">
        <v>1000000</v>
      </c>
      <c r="H143" s="179">
        <v>0</v>
      </c>
      <c r="I143" s="179">
        <v>994125</v>
      </c>
      <c r="J143" s="179">
        <v>0</v>
      </c>
      <c r="K143" s="179">
        <v>0</v>
      </c>
      <c r="L143" s="179">
        <v>0</v>
      </c>
      <c r="M143" s="179">
        <v>5875</v>
      </c>
      <c r="N143" s="179">
        <v>5875</v>
      </c>
    </row>
    <row r="144" spans="1:14" s="156" customFormat="1" x14ac:dyDescent="0.25">
      <c r="A144" s="156" t="s">
        <v>544</v>
      </c>
      <c r="B144" s="156" t="s">
        <v>235</v>
      </c>
      <c r="C144" s="156" t="s">
        <v>236</v>
      </c>
      <c r="D144" s="156" t="s">
        <v>541</v>
      </c>
      <c r="E144" s="179">
        <v>2000000</v>
      </c>
      <c r="F144" s="179">
        <v>2000000</v>
      </c>
      <c r="G144" s="179">
        <v>2000000</v>
      </c>
      <c r="H144" s="179">
        <v>0</v>
      </c>
      <c r="I144" s="179">
        <v>0</v>
      </c>
      <c r="J144" s="179">
        <v>396419.15</v>
      </c>
      <c r="K144" s="179">
        <v>1456851.3</v>
      </c>
      <c r="L144" s="179">
        <v>1416867.3</v>
      </c>
      <c r="M144" s="179">
        <v>146729.54999999999</v>
      </c>
      <c r="N144" s="179">
        <v>146729.54999999999</v>
      </c>
    </row>
    <row r="145" spans="1:14" s="156" customFormat="1" x14ac:dyDescent="0.25">
      <c r="A145" s="156" t="s">
        <v>544</v>
      </c>
      <c r="B145" s="156" t="s">
        <v>239</v>
      </c>
      <c r="C145" s="156" t="s">
        <v>240</v>
      </c>
      <c r="D145" s="156" t="s">
        <v>541</v>
      </c>
      <c r="E145" s="179">
        <v>2300000</v>
      </c>
      <c r="F145" s="179">
        <v>2300000</v>
      </c>
      <c r="G145" s="179">
        <v>2300000</v>
      </c>
      <c r="H145" s="179">
        <v>0</v>
      </c>
      <c r="I145" s="179">
        <v>125100</v>
      </c>
      <c r="J145" s="179">
        <v>224472.09</v>
      </c>
      <c r="K145" s="179">
        <v>1938282.5</v>
      </c>
      <c r="L145" s="179">
        <v>1726987</v>
      </c>
      <c r="M145" s="179">
        <v>12145.41</v>
      </c>
      <c r="N145" s="179">
        <v>12145.41</v>
      </c>
    </row>
    <row r="146" spans="1:14" s="156" customFormat="1" x14ac:dyDescent="0.25">
      <c r="A146" s="156" t="s">
        <v>544</v>
      </c>
      <c r="B146" s="156" t="s">
        <v>243</v>
      </c>
      <c r="C146" s="156" t="s">
        <v>244</v>
      </c>
      <c r="D146" s="156" t="s">
        <v>541</v>
      </c>
      <c r="E146" s="179">
        <v>700000</v>
      </c>
      <c r="F146" s="179">
        <v>700000</v>
      </c>
      <c r="G146" s="179">
        <v>700000</v>
      </c>
      <c r="H146" s="179">
        <v>0</v>
      </c>
      <c r="I146" s="179">
        <v>316882</v>
      </c>
      <c r="J146" s="179">
        <v>0</v>
      </c>
      <c r="K146" s="179">
        <v>71800</v>
      </c>
      <c r="L146" s="179">
        <v>0</v>
      </c>
      <c r="M146" s="179">
        <v>311318</v>
      </c>
      <c r="N146" s="179">
        <v>311318</v>
      </c>
    </row>
    <row r="147" spans="1:14" s="156" customFormat="1" x14ac:dyDescent="0.25">
      <c r="A147" s="156" t="s">
        <v>544</v>
      </c>
      <c r="B147" s="156" t="s">
        <v>249</v>
      </c>
      <c r="C147" s="156" t="s">
        <v>250</v>
      </c>
      <c r="D147" s="156" t="s">
        <v>541</v>
      </c>
      <c r="E147" s="179">
        <v>100000</v>
      </c>
      <c r="F147" s="179">
        <v>100000</v>
      </c>
      <c r="G147" s="179">
        <v>100000</v>
      </c>
      <c r="H147" s="179">
        <v>0</v>
      </c>
      <c r="I147" s="179">
        <v>0</v>
      </c>
      <c r="J147" s="179">
        <v>0</v>
      </c>
      <c r="K147" s="179">
        <v>0</v>
      </c>
      <c r="L147" s="179">
        <v>0</v>
      </c>
      <c r="M147" s="179">
        <v>100000</v>
      </c>
      <c r="N147" s="179">
        <v>100000</v>
      </c>
    </row>
    <row r="148" spans="1:14" s="156" customFormat="1" x14ac:dyDescent="0.25">
      <c r="A148" s="156" t="s">
        <v>544</v>
      </c>
      <c r="B148" s="156" t="s">
        <v>311</v>
      </c>
      <c r="C148" s="156" t="s">
        <v>625</v>
      </c>
      <c r="D148" s="156" t="s">
        <v>541</v>
      </c>
      <c r="E148" s="179">
        <v>4757000</v>
      </c>
      <c r="F148" s="179">
        <v>4757000</v>
      </c>
      <c r="G148" s="179">
        <v>4757000</v>
      </c>
      <c r="H148" s="179">
        <v>0</v>
      </c>
      <c r="I148" s="179">
        <v>258365</v>
      </c>
      <c r="J148" s="179">
        <v>0</v>
      </c>
      <c r="K148" s="179">
        <v>4498635</v>
      </c>
      <c r="L148" s="179">
        <v>4498635</v>
      </c>
      <c r="M148" s="179">
        <v>0</v>
      </c>
      <c r="N148" s="179">
        <v>0</v>
      </c>
    </row>
    <row r="149" spans="1:14" s="156" customFormat="1" x14ac:dyDescent="0.25">
      <c r="A149" s="156" t="s">
        <v>544</v>
      </c>
      <c r="B149" s="156" t="s">
        <v>312</v>
      </c>
      <c r="C149" s="156" t="s">
        <v>626</v>
      </c>
      <c r="D149" s="156" t="s">
        <v>541</v>
      </c>
      <c r="E149" s="179">
        <v>2051000</v>
      </c>
      <c r="F149" s="179">
        <v>2051000</v>
      </c>
      <c r="G149" s="179">
        <v>2051000</v>
      </c>
      <c r="H149" s="179">
        <v>0</v>
      </c>
      <c r="I149" s="179">
        <v>563113</v>
      </c>
      <c r="J149" s="179">
        <v>0</v>
      </c>
      <c r="K149" s="179">
        <v>1487887</v>
      </c>
      <c r="L149" s="179">
        <v>1487887</v>
      </c>
      <c r="M149" s="179">
        <v>0</v>
      </c>
      <c r="N149" s="179">
        <v>0</v>
      </c>
    </row>
    <row r="150" spans="1:14" s="156" customFormat="1" x14ac:dyDescent="0.25">
      <c r="A150" s="156" t="s">
        <v>544</v>
      </c>
      <c r="B150" s="156" t="s">
        <v>263</v>
      </c>
      <c r="C150" s="156" t="s">
        <v>264</v>
      </c>
      <c r="D150" s="156" t="s">
        <v>541</v>
      </c>
      <c r="E150" s="179">
        <v>11000000</v>
      </c>
      <c r="F150" s="179">
        <v>15740000</v>
      </c>
      <c r="G150" s="179">
        <v>15740000</v>
      </c>
      <c r="H150" s="179">
        <v>0</v>
      </c>
      <c r="I150" s="179">
        <v>1451.38</v>
      </c>
      <c r="J150" s="179">
        <v>0</v>
      </c>
      <c r="K150" s="179">
        <v>15738128.390000001</v>
      </c>
      <c r="L150" s="179">
        <v>15738128.390000001</v>
      </c>
      <c r="M150" s="179">
        <v>420.23</v>
      </c>
      <c r="N150" s="179">
        <v>420.23</v>
      </c>
    </row>
    <row r="151" spans="1:14" s="156" customFormat="1" x14ac:dyDescent="0.25">
      <c r="A151" s="156" t="s">
        <v>544</v>
      </c>
      <c r="B151" s="156" t="s">
        <v>265</v>
      </c>
      <c r="C151" s="156" t="s">
        <v>266</v>
      </c>
      <c r="D151" s="156" t="s">
        <v>541</v>
      </c>
      <c r="E151" s="179">
        <v>7000000</v>
      </c>
      <c r="F151" s="179">
        <v>7000000</v>
      </c>
      <c r="G151" s="179">
        <v>7000000</v>
      </c>
      <c r="H151" s="179">
        <v>0</v>
      </c>
      <c r="I151" s="179">
        <v>0</v>
      </c>
      <c r="J151" s="179">
        <v>0</v>
      </c>
      <c r="K151" s="179">
        <v>1016555.5</v>
      </c>
      <c r="L151" s="179">
        <v>1016555.5</v>
      </c>
      <c r="M151" s="179">
        <v>5983444.5</v>
      </c>
      <c r="N151" s="179">
        <v>5983444.5</v>
      </c>
    </row>
    <row r="152" spans="1:14" s="156" customFormat="1" x14ac:dyDescent="0.25">
      <c r="A152" s="156" t="s">
        <v>544</v>
      </c>
      <c r="B152" s="156" t="s">
        <v>269</v>
      </c>
      <c r="C152" s="156" t="s">
        <v>270</v>
      </c>
      <c r="D152" s="156" t="s">
        <v>541</v>
      </c>
      <c r="E152" s="179">
        <v>3000000</v>
      </c>
      <c r="F152" s="179">
        <v>3000000</v>
      </c>
      <c r="G152" s="179">
        <v>3000000</v>
      </c>
      <c r="H152" s="179">
        <v>0</v>
      </c>
      <c r="I152" s="179">
        <v>600000</v>
      </c>
      <c r="J152" s="179">
        <v>0</v>
      </c>
      <c r="K152" s="179">
        <v>1975539.12</v>
      </c>
      <c r="L152" s="179">
        <v>1975539.12</v>
      </c>
      <c r="M152" s="179">
        <v>424460.88</v>
      </c>
      <c r="N152" s="179">
        <v>424460.88</v>
      </c>
    </row>
    <row r="153" spans="1:14" s="156" customFormat="1" x14ac:dyDescent="0.25">
      <c r="A153" s="156" t="s">
        <v>544</v>
      </c>
      <c r="B153" s="156" t="s">
        <v>572</v>
      </c>
      <c r="C153" s="156" t="s">
        <v>573</v>
      </c>
      <c r="D153" s="156" t="s">
        <v>541</v>
      </c>
      <c r="E153" s="179">
        <v>0</v>
      </c>
      <c r="F153" s="179">
        <v>5652000</v>
      </c>
      <c r="G153" s="179">
        <v>5652000</v>
      </c>
      <c r="H153" s="179">
        <v>0</v>
      </c>
      <c r="I153" s="179">
        <v>0</v>
      </c>
      <c r="J153" s="179">
        <v>0</v>
      </c>
      <c r="K153" s="179">
        <v>0</v>
      </c>
      <c r="L153" s="179">
        <v>0</v>
      </c>
      <c r="M153" s="179">
        <v>5652000</v>
      </c>
      <c r="N153" s="179">
        <v>5652000</v>
      </c>
    </row>
    <row r="154" spans="1:14" s="156" customFormat="1" x14ac:dyDescent="0.25">
      <c r="A154" s="156" t="s">
        <v>544</v>
      </c>
      <c r="B154" s="156" t="s">
        <v>285</v>
      </c>
      <c r="C154" s="156" t="s">
        <v>286</v>
      </c>
      <c r="D154" s="156" t="s">
        <v>543</v>
      </c>
      <c r="E154" s="179">
        <v>1000000</v>
      </c>
      <c r="F154" s="179">
        <v>1016000</v>
      </c>
      <c r="G154" s="179">
        <v>1016000</v>
      </c>
      <c r="H154" s="179">
        <v>0</v>
      </c>
      <c r="I154" s="179">
        <v>0</v>
      </c>
      <c r="J154" s="179">
        <v>0</v>
      </c>
      <c r="K154" s="179">
        <v>1015139.92</v>
      </c>
      <c r="L154" s="179">
        <v>1015139.92</v>
      </c>
      <c r="M154" s="179">
        <v>860.08</v>
      </c>
      <c r="N154" s="179">
        <v>860.08</v>
      </c>
    </row>
    <row r="155" spans="1:14" s="156" customFormat="1" x14ac:dyDescent="0.25">
      <c r="A155" s="156" t="s">
        <v>544</v>
      </c>
      <c r="B155" s="156" t="s">
        <v>287</v>
      </c>
      <c r="C155" s="156" t="s">
        <v>288</v>
      </c>
      <c r="D155" s="156" t="s">
        <v>543</v>
      </c>
      <c r="E155" s="179">
        <v>2000000</v>
      </c>
      <c r="F155" s="179">
        <v>1980000</v>
      </c>
      <c r="G155" s="179">
        <v>1980000</v>
      </c>
      <c r="H155" s="179">
        <v>0</v>
      </c>
      <c r="I155" s="179">
        <v>0</v>
      </c>
      <c r="J155" s="179">
        <v>0</v>
      </c>
      <c r="K155" s="179">
        <v>1961465.3</v>
      </c>
      <c r="L155" s="179">
        <v>442425.3</v>
      </c>
      <c r="M155" s="179">
        <v>18534.7</v>
      </c>
      <c r="N155" s="179">
        <v>18534.7</v>
      </c>
    </row>
    <row r="156" spans="1:14" s="156" customFormat="1" x14ac:dyDescent="0.25">
      <c r="A156" s="156" t="s">
        <v>544</v>
      </c>
      <c r="B156" s="156" t="s">
        <v>293</v>
      </c>
      <c r="C156" s="156" t="s">
        <v>294</v>
      </c>
      <c r="D156" s="156" t="s">
        <v>543</v>
      </c>
      <c r="E156" s="179">
        <v>300000</v>
      </c>
      <c r="F156" s="179">
        <v>296000</v>
      </c>
      <c r="G156" s="179">
        <v>296000</v>
      </c>
      <c r="H156" s="179">
        <v>0</v>
      </c>
      <c r="I156" s="179">
        <v>0</v>
      </c>
      <c r="J156" s="179">
        <v>0</v>
      </c>
      <c r="K156" s="179">
        <v>295119</v>
      </c>
      <c r="L156" s="179">
        <v>295119</v>
      </c>
      <c r="M156" s="179">
        <v>881</v>
      </c>
      <c r="N156" s="179">
        <v>881</v>
      </c>
    </row>
    <row r="157" spans="1:14" s="156" customFormat="1" x14ac:dyDescent="0.25">
      <c r="A157" s="156" t="s">
        <v>544</v>
      </c>
      <c r="B157" s="156" t="s">
        <v>295</v>
      </c>
      <c r="C157" s="156" t="s">
        <v>296</v>
      </c>
      <c r="D157" s="156" t="s">
        <v>543</v>
      </c>
      <c r="E157" s="179">
        <v>500000</v>
      </c>
      <c r="F157" s="179">
        <v>500000</v>
      </c>
      <c r="G157" s="179">
        <v>500000</v>
      </c>
      <c r="H157" s="179">
        <v>0</v>
      </c>
      <c r="I157" s="179">
        <v>0</v>
      </c>
      <c r="J157" s="179">
        <v>0</v>
      </c>
      <c r="K157" s="179">
        <v>416545</v>
      </c>
      <c r="L157" s="179">
        <v>76138</v>
      </c>
      <c r="M157" s="179">
        <v>83455</v>
      </c>
      <c r="N157" s="179">
        <v>83455</v>
      </c>
    </row>
    <row r="158" spans="1:14" s="156" customFormat="1" x14ac:dyDescent="0.25">
      <c r="A158" s="156" t="s">
        <v>544</v>
      </c>
      <c r="B158" s="156" t="s">
        <v>94</v>
      </c>
      <c r="C158" s="156" t="s">
        <v>95</v>
      </c>
      <c r="D158" s="156" t="s">
        <v>541</v>
      </c>
      <c r="E158" s="179">
        <v>415877000</v>
      </c>
      <c r="F158" s="179">
        <v>344741351</v>
      </c>
      <c r="G158" s="179">
        <v>344741350</v>
      </c>
      <c r="H158" s="179">
        <v>0</v>
      </c>
      <c r="I158" s="179">
        <v>0</v>
      </c>
      <c r="J158" s="179">
        <v>0</v>
      </c>
      <c r="K158" s="179">
        <v>268218737.28999999</v>
      </c>
      <c r="L158" s="179">
        <v>268218737.28999999</v>
      </c>
      <c r="M158" s="179">
        <v>76522613.709999993</v>
      </c>
      <c r="N158" s="179">
        <v>76522612.709999993</v>
      </c>
    </row>
    <row r="159" spans="1:14" s="156" customFormat="1" x14ac:dyDescent="0.25">
      <c r="A159" s="156" t="s">
        <v>544</v>
      </c>
      <c r="B159" s="156" t="s">
        <v>102</v>
      </c>
      <c r="C159" s="156" t="s">
        <v>103</v>
      </c>
      <c r="D159" s="156" t="s">
        <v>541</v>
      </c>
      <c r="E159" s="179">
        <v>468875000</v>
      </c>
      <c r="F159" s="179">
        <v>341625000</v>
      </c>
      <c r="G159" s="179">
        <v>341625000</v>
      </c>
      <c r="H159" s="179">
        <v>0</v>
      </c>
      <c r="I159" s="179">
        <v>0</v>
      </c>
      <c r="J159" s="179">
        <v>0</v>
      </c>
      <c r="K159" s="179">
        <v>259526097.36000001</v>
      </c>
      <c r="L159" s="179">
        <v>259526097.36000001</v>
      </c>
      <c r="M159" s="179">
        <v>82098902.640000001</v>
      </c>
      <c r="N159" s="179">
        <v>82098902.640000001</v>
      </c>
    </row>
    <row r="160" spans="1:14" s="156" customFormat="1" x14ac:dyDescent="0.25">
      <c r="A160" s="156" t="s">
        <v>544</v>
      </c>
      <c r="B160" s="156" t="s">
        <v>114</v>
      </c>
      <c r="C160" s="156" t="s">
        <v>115</v>
      </c>
      <c r="D160" s="156" t="s">
        <v>541</v>
      </c>
      <c r="E160" s="179">
        <v>79963000</v>
      </c>
      <c r="F160" s="179">
        <v>67011000</v>
      </c>
      <c r="G160" s="179">
        <v>67011000</v>
      </c>
      <c r="H160" s="179">
        <v>0</v>
      </c>
      <c r="I160" s="179">
        <v>4179922</v>
      </c>
      <c r="J160" s="179">
        <v>0</v>
      </c>
      <c r="K160" s="179">
        <v>62831078</v>
      </c>
      <c r="L160" s="179">
        <v>62831078</v>
      </c>
      <c r="M160" s="179">
        <v>0</v>
      </c>
      <c r="N160" s="179">
        <v>0</v>
      </c>
    </row>
    <row r="161" spans="1:14" s="156" customFormat="1" x14ac:dyDescent="0.25">
      <c r="A161" s="156" t="s">
        <v>544</v>
      </c>
      <c r="B161" s="156" t="s">
        <v>118</v>
      </c>
      <c r="C161" s="156" t="s">
        <v>119</v>
      </c>
      <c r="D161" s="156" t="s">
        <v>541</v>
      </c>
      <c r="E161" s="179">
        <v>78570000</v>
      </c>
      <c r="F161" s="179">
        <v>67120000</v>
      </c>
      <c r="G161" s="179">
        <v>67120000</v>
      </c>
      <c r="H161" s="179">
        <v>0</v>
      </c>
      <c r="I161" s="179">
        <v>5392186</v>
      </c>
      <c r="J161" s="179">
        <v>0</v>
      </c>
      <c r="K161" s="179">
        <v>61727814</v>
      </c>
      <c r="L161" s="179">
        <v>61727814</v>
      </c>
      <c r="M161" s="179">
        <v>0</v>
      </c>
      <c r="N161" s="179">
        <v>0</v>
      </c>
    </row>
    <row r="162" spans="1:14" s="156" customFormat="1" x14ac:dyDescent="0.25">
      <c r="A162" s="156" t="s">
        <v>544</v>
      </c>
      <c r="B162" s="156" t="s">
        <v>125</v>
      </c>
      <c r="C162" s="156" t="s">
        <v>126</v>
      </c>
      <c r="D162" s="156" t="s">
        <v>541</v>
      </c>
      <c r="E162" s="179">
        <v>92041000</v>
      </c>
      <c r="F162" s="179">
        <v>85078040</v>
      </c>
      <c r="G162" s="179">
        <v>85078040</v>
      </c>
      <c r="H162" s="179">
        <v>0</v>
      </c>
      <c r="I162" s="179">
        <v>16926889.420000002</v>
      </c>
      <c r="J162" s="179">
        <v>0</v>
      </c>
      <c r="K162" s="179">
        <v>66844566.859999999</v>
      </c>
      <c r="L162" s="179">
        <v>64092857.009999998</v>
      </c>
      <c r="M162" s="179">
        <v>1306583.72</v>
      </c>
      <c r="N162" s="179">
        <v>1306583.72</v>
      </c>
    </row>
    <row r="163" spans="1:14" s="156" customFormat="1" x14ac:dyDescent="0.25">
      <c r="A163" s="156" t="s">
        <v>544</v>
      </c>
      <c r="B163" s="156" t="s">
        <v>131</v>
      </c>
      <c r="C163" s="156" t="s">
        <v>132</v>
      </c>
      <c r="D163" s="156" t="s">
        <v>541</v>
      </c>
      <c r="E163" s="179">
        <v>22562000</v>
      </c>
      <c r="F163" s="179">
        <v>22538700</v>
      </c>
      <c r="G163" s="179">
        <v>22538700</v>
      </c>
      <c r="H163" s="179">
        <v>0</v>
      </c>
      <c r="I163" s="179">
        <v>5018063</v>
      </c>
      <c r="J163" s="179">
        <v>0</v>
      </c>
      <c r="K163" s="179">
        <v>12088226</v>
      </c>
      <c r="L163" s="179">
        <v>10971111</v>
      </c>
      <c r="M163" s="179">
        <v>5432411</v>
      </c>
      <c r="N163" s="179">
        <v>5432411</v>
      </c>
    </row>
    <row r="164" spans="1:14" s="156" customFormat="1" x14ac:dyDescent="0.25">
      <c r="A164" s="156" t="s">
        <v>544</v>
      </c>
      <c r="B164" s="156" t="s">
        <v>143</v>
      </c>
      <c r="C164" s="156" t="s">
        <v>144</v>
      </c>
      <c r="D164" s="156" t="s">
        <v>541</v>
      </c>
      <c r="E164" s="179">
        <v>3169500</v>
      </c>
      <c r="F164" s="179">
        <v>3352960</v>
      </c>
      <c r="G164" s="179">
        <v>3352960</v>
      </c>
      <c r="H164" s="179">
        <v>0</v>
      </c>
      <c r="I164" s="179">
        <v>225500</v>
      </c>
      <c r="J164" s="179">
        <v>15000</v>
      </c>
      <c r="K164" s="179">
        <v>3110750</v>
      </c>
      <c r="L164" s="179">
        <v>3110750</v>
      </c>
      <c r="M164" s="179">
        <v>1710</v>
      </c>
      <c r="N164" s="179">
        <v>1710</v>
      </c>
    </row>
    <row r="165" spans="1:14" s="156" customFormat="1" x14ac:dyDescent="0.25">
      <c r="A165" s="156" t="s">
        <v>544</v>
      </c>
      <c r="B165" s="156" t="s">
        <v>151</v>
      </c>
      <c r="C165" s="156" t="s">
        <v>152</v>
      </c>
      <c r="D165" s="156" t="s">
        <v>541</v>
      </c>
      <c r="E165" s="179">
        <v>4800000</v>
      </c>
      <c r="F165" s="179">
        <v>3440000</v>
      </c>
      <c r="G165" s="179">
        <v>3440000</v>
      </c>
      <c r="H165" s="179">
        <v>0</v>
      </c>
      <c r="I165" s="179">
        <v>1207240</v>
      </c>
      <c r="J165" s="179">
        <v>986000</v>
      </c>
      <c r="K165" s="179">
        <v>400000</v>
      </c>
      <c r="L165" s="179">
        <v>350000</v>
      </c>
      <c r="M165" s="179">
        <v>846760</v>
      </c>
      <c r="N165" s="179">
        <v>846760</v>
      </c>
    </row>
    <row r="166" spans="1:14" s="156" customFormat="1" x14ac:dyDescent="0.25">
      <c r="A166" s="156" t="s">
        <v>544</v>
      </c>
      <c r="B166" s="156" t="s">
        <v>158</v>
      </c>
      <c r="C166" s="156" t="s">
        <v>159</v>
      </c>
      <c r="D166" s="156" t="s">
        <v>541</v>
      </c>
      <c r="E166" s="179">
        <v>9234500</v>
      </c>
      <c r="F166" s="179">
        <v>9838500</v>
      </c>
      <c r="G166" s="179">
        <v>9838500</v>
      </c>
      <c r="H166" s="179">
        <v>129900</v>
      </c>
      <c r="I166" s="179">
        <v>3208730</v>
      </c>
      <c r="J166" s="179">
        <v>0</v>
      </c>
      <c r="K166" s="179">
        <v>6149120</v>
      </c>
      <c r="L166" s="179">
        <v>6138820</v>
      </c>
      <c r="M166" s="179">
        <v>350750</v>
      </c>
      <c r="N166" s="179">
        <v>350750</v>
      </c>
    </row>
    <row r="167" spans="1:14" s="156" customFormat="1" x14ac:dyDescent="0.25">
      <c r="A167" s="156" t="s">
        <v>544</v>
      </c>
      <c r="B167" s="156" t="s">
        <v>168</v>
      </c>
      <c r="C167" s="156" t="s">
        <v>169</v>
      </c>
      <c r="D167" s="156" t="s">
        <v>541</v>
      </c>
      <c r="E167" s="179">
        <v>4500000</v>
      </c>
      <c r="F167" s="179">
        <v>4453000</v>
      </c>
      <c r="G167" s="179">
        <v>4453000</v>
      </c>
      <c r="H167" s="179">
        <v>0</v>
      </c>
      <c r="I167" s="179">
        <v>172995</v>
      </c>
      <c r="J167" s="179">
        <v>0</v>
      </c>
      <c r="K167" s="179">
        <v>3814274</v>
      </c>
      <c r="L167" s="179">
        <v>2901150</v>
      </c>
      <c r="M167" s="179">
        <v>465731</v>
      </c>
      <c r="N167" s="179">
        <v>465731</v>
      </c>
    </row>
    <row r="168" spans="1:14" s="156" customFormat="1" x14ac:dyDescent="0.25">
      <c r="A168" s="156" t="s">
        <v>544</v>
      </c>
      <c r="B168" s="156" t="s">
        <v>172</v>
      </c>
      <c r="C168" s="156" t="s">
        <v>173</v>
      </c>
      <c r="D168" s="156" t="s">
        <v>541</v>
      </c>
      <c r="E168" s="179">
        <v>12506000</v>
      </c>
      <c r="F168" s="179">
        <v>12506000</v>
      </c>
      <c r="G168" s="179">
        <v>12506000</v>
      </c>
      <c r="H168" s="179">
        <v>0</v>
      </c>
      <c r="I168" s="179">
        <v>3145762.8</v>
      </c>
      <c r="J168" s="179">
        <v>0</v>
      </c>
      <c r="K168" s="179">
        <v>9358000</v>
      </c>
      <c r="L168" s="179">
        <v>7112400</v>
      </c>
      <c r="M168" s="179">
        <v>2237.1999999999998</v>
      </c>
      <c r="N168" s="179">
        <v>2237.1999999999998</v>
      </c>
    </row>
    <row r="169" spans="1:14" s="156" customFormat="1" x14ac:dyDescent="0.25">
      <c r="A169" s="156" t="s">
        <v>544</v>
      </c>
      <c r="B169" s="156" t="s">
        <v>178</v>
      </c>
      <c r="C169" s="156" t="s">
        <v>179</v>
      </c>
      <c r="D169" s="156" t="s">
        <v>541</v>
      </c>
      <c r="E169" s="179">
        <v>4600000</v>
      </c>
      <c r="F169" s="179">
        <v>3600000</v>
      </c>
      <c r="G169" s="179">
        <v>3600000</v>
      </c>
      <c r="H169" s="179">
        <v>0</v>
      </c>
      <c r="I169" s="179">
        <v>597500</v>
      </c>
      <c r="J169" s="179">
        <v>0</v>
      </c>
      <c r="K169" s="179">
        <v>1482693.78</v>
      </c>
      <c r="L169" s="179">
        <v>2500</v>
      </c>
      <c r="M169" s="179">
        <v>1519806.22</v>
      </c>
      <c r="N169" s="179">
        <v>1519806.22</v>
      </c>
    </row>
    <row r="170" spans="1:14" s="156" customFormat="1" x14ac:dyDescent="0.25">
      <c r="A170" s="156" t="s">
        <v>544</v>
      </c>
      <c r="B170" s="156" t="s">
        <v>192</v>
      </c>
      <c r="C170" s="156" t="s">
        <v>193</v>
      </c>
      <c r="D170" s="156" t="s">
        <v>541</v>
      </c>
      <c r="E170" s="179">
        <v>200000</v>
      </c>
      <c r="F170" s="179">
        <v>120000</v>
      </c>
      <c r="G170" s="179">
        <v>120000</v>
      </c>
      <c r="H170" s="179">
        <v>0</v>
      </c>
      <c r="I170" s="179">
        <v>120000</v>
      </c>
      <c r="J170" s="179">
        <v>0</v>
      </c>
      <c r="K170" s="179">
        <v>0</v>
      </c>
      <c r="L170" s="179">
        <v>0</v>
      </c>
      <c r="M170" s="179">
        <v>0</v>
      </c>
      <c r="N170" s="179">
        <v>0</v>
      </c>
    </row>
    <row r="171" spans="1:14" s="156" customFormat="1" x14ac:dyDescent="0.25">
      <c r="A171" s="156" t="s">
        <v>544</v>
      </c>
      <c r="B171" s="156" t="s">
        <v>196</v>
      </c>
      <c r="C171" s="156" t="s">
        <v>197</v>
      </c>
      <c r="D171" s="156" t="s">
        <v>541</v>
      </c>
      <c r="E171" s="179">
        <v>500000</v>
      </c>
      <c r="F171" s="179">
        <v>225000</v>
      </c>
      <c r="G171" s="179">
        <v>225000</v>
      </c>
      <c r="H171" s="179">
        <v>0</v>
      </c>
      <c r="I171" s="179">
        <v>225000</v>
      </c>
      <c r="J171" s="179">
        <v>0</v>
      </c>
      <c r="K171" s="179">
        <v>0</v>
      </c>
      <c r="L171" s="179">
        <v>0</v>
      </c>
      <c r="M171" s="179">
        <v>0</v>
      </c>
      <c r="N171" s="179">
        <v>0</v>
      </c>
    </row>
    <row r="172" spans="1:14" s="156" customFormat="1" x14ac:dyDescent="0.25">
      <c r="A172" s="156" t="s">
        <v>544</v>
      </c>
      <c r="B172" s="156" t="s">
        <v>202</v>
      </c>
      <c r="C172" s="156" t="s">
        <v>203</v>
      </c>
      <c r="D172" s="156" t="s">
        <v>541</v>
      </c>
      <c r="E172" s="179">
        <v>15000000</v>
      </c>
      <c r="F172" s="179">
        <v>14483000</v>
      </c>
      <c r="G172" s="179">
        <v>14483000</v>
      </c>
      <c r="H172" s="179">
        <v>0</v>
      </c>
      <c r="I172" s="179">
        <v>3295578</v>
      </c>
      <c r="J172" s="179">
        <v>0</v>
      </c>
      <c r="K172" s="179">
        <v>10434854.5</v>
      </c>
      <c r="L172" s="179">
        <v>3239166.3</v>
      </c>
      <c r="M172" s="179">
        <v>752567.5</v>
      </c>
      <c r="N172" s="179">
        <v>752567.5</v>
      </c>
    </row>
    <row r="173" spans="1:14" s="156" customFormat="1" x14ac:dyDescent="0.25">
      <c r="A173" s="156" t="s">
        <v>544</v>
      </c>
      <c r="B173" s="156" t="s">
        <v>212</v>
      </c>
      <c r="C173" s="156" t="s">
        <v>213</v>
      </c>
      <c r="D173" s="156" t="s">
        <v>541</v>
      </c>
      <c r="E173" s="179">
        <v>3000000</v>
      </c>
      <c r="F173" s="179">
        <v>3600000</v>
      </c>
      <c r="G173" s="179">
        <v>3600000</v>
      </c>
      <c r="H173" s="179">
        <v>0</v>
      </c>
      <c r="I173" s="179">
        <v>824642</v>
      </c>
      <c r="J173" s="179">
        <v>0</v>
      </c>
      <c r="K173" s="179">
        <v>2774742</v>
      </c>
      <c r="L173" s="179">
        <v>2774742</v>
      </c>
      <c r="M173" s="179">
        <v>616</v>
      </c>
      <c r="N173" s="179">
        <v>616</v>
      </c>
    </row>
    <row r="174" spans="1:14" s="156" customFormat="1" x14ac:dyDescent="0.25">
      <c r="A174" s="156" t="s">
        <v>544</v>
      </c>
      <c r="B174" s="156" t="s">
        <v>216</v>
      </c>
      <c r="C174" s="156" t="s">
        <v>217</v>
      </c>
      <c r="D174" s="156" t="s">
        <v>541</v>
      </c>
      <c r="E174" s="179">
        <v>827000</v>
      </c>
      <c r="F174" s="179">
        <v>811000</v>
      </c>
      <c r="G174" s="179">
        <v>811000</v>
      </c>
      <c r="H174" s="179">
        <v>0</v>
      </c>
      <c r="I174" s="179">
        <v>105430</v>
      </c>
      <c r="J174" s="179">
        <v>0</v>
      </c>
      <c r="K174" s="179">
        <v>662490.84</v>
      </c>
      <c r="L174" s="179">
        <v>49500</v>
      </c>
      <c r="M174" s="179">
        <v>43079.16</v>
      </c>
      <c r="N174" s="179">
        <v>43079.16</v>
      </c>
    </row>
    <row r="175" spans="1:14" s="156" customFormat="1" x14ac:dyDescent="0.25">
      <c r="A175" s="156" t="s">
        <v>544</v>
      </c>
      <c r="B175" s="156" t="s">
        <v>228</v>
      </c>
      <c r="C175" s="156" t="s">
        <v>229</v>
      </c>
      <c r="D175" s="156" t="s">
        <v>541</v>
      </c>
      <c r="E175" s="179">
        <v>3000000</v>
      </c>
      <c r="F175" s="179">
        <v>2987000</v>
      </c>
      <c r="G175" s="179">
        <v>2987000</v>
      </c>
      <c r="H175" s="179">
        <v>0</v>
      </c>
      <c r="I175" s="179">
        <v>1358675</v>
      </c>
      <c r="J175" s="179">
        <v>0</v>
      </c>
      <c r="K175" s="179">
        <v>1241990.3799999999</v>
      </c>
      <c r="L175" s="179">
        <v>1241990.3799999999</v>
      </c>
      <c r="M175" s="179">
        <v>386334.62</v>
      </c>
      <c r="N175" s="179">
        <v>386334.62</v>
      </c>
    </row>
    <row r="176" spans="1:14" s="156" customFormat="1" x14ac:dyDescent="0.25">
      <c r="A176" s="156" t="s">
        <v>544</v>
      </c>
      <c r="B176" s="156" t="s">
        <v>234</v>
      </c>
      <c r="C176" s="156" t="s">
        <v>624</v>
      </c>
      <c r="D176" s="156" t="s">
        <v>541</v>
      </c>
      <c r="E176" s="179">
        <v>5100000</v>
      </c>
      <c r="F176" s="179">
        <v>5100000</v>
      </c>
      <c r="G176" s="179">
        <v>5100000</v>
      </c>
      <c r="H176" s="179">
        <v>0</v>
      </c>
      <c r="I176" s="179">
        <v>441982</v>
      </c>
      <c r="J176" s="179">
        <v>620891.24</v>
      </c>
      <c r="K176" s="179">
        <v>3466933.8</v>
      </c>
      <c r="L176" s="179">
        <v>3143854.3</v>
      </c>
      <c r="M176" s="179">
        <v>570192.96</v>
      </c>
      <c r="N176" s="179">
        <v>570192.96</v>
      </c>
    </row>
    <row r="177" spans="1:14" s="156" customFormat="1" x14ac:dyDescent="0.25">
      <c r="A177" s="156" t="s">
        <v>544</v>
      </c>
      <c r="B177" s="156" t="s">
        <v>253</v>
      </c>
      <c r="C177" s="156" t="s">
        <v>254</v>
      </c>
      <c r="D177" s="156" t="s">
        <v>541</v>
      </c>
      <c r="E177" s="179">
        <v>6808000</v>
      </c>
      <c r="F177" s="179">
        <v>6808000</v>
      </c>
      <c r="G177" s="179">
        <v>6808000</v>
      </c>
      <c r="H177" s="179">
        <v>0</v>
      </c>
      <c r="I177" s="179">
        <v>821478</v>
      </c>
      <c r="J177" s="179">
        <v>0</v>
      </c>
      <c r="K177" s="179">
        <v>5986522</v>
      </c>
      <c r="L177" s="179">
        <v>5986522</v>
      </c>
      <c r="M177" s="179">
        <v>0</v>
      </c>
      <c r="N177" s="179">
        <v>0</v>
      </c>
    </row>
    <row r="178" spans="1:14" s="156" customFormat="1" x14ac:dyDescent="0.25">
      <c r="A178" s="156" t="s">
        <v>544</v>
      </c>
      <c r="B178" s="156" t="s">
        <v>261</v>
      </c>
      <c r="C178" s="156" t="s">
        <v>262</v>
      </c>
      <c r="D178" s="156" t="s">
        <v>541</v>
      </c>
      <c r="E178" s="179">
        <v>18000000</v>
      </c>
      <c r="F178" s="179">
        <v>22740000</v>
      </c>
      <c r="G178" s="179">
        <v>22740000</v>
      </c>
      <c r="H178" s="179">
        <v>0</v>
      </c>
      <c r="I178" s="179">
        <v>1451.38</v>
      </c>
      <c r="J178" s="179">
        <v>0</v>
      </c>
      <c r="K178" s="179">
        <v>16754683.890000001</v>
      </c>
      <c r="L178" s="179">
        <v>16754683.890000001</v>
      </c>
      <c r="M178" s="179">
        <v>5983864.7300000004</v>
      </c>
      <c r="N178" s="179">
        <v>5983864.7300000004</v>
      </c>
    </row>
    <row r="179" spans="1:14" s="156" customFormat="1" x14ac:dyDescent="0.25">
      <c r="A179" s="156" t="s">
        <v>544</v>
      </c>
      <c r="B179" s="156" t="s">
        <v>267</v>
      </c>
      <c r="C179" s="156" t="s">
        <v>268</v>
      </c>
      <c r="D179" s="156" t="s">
        <v>541</v>
      </c>
      <c r="E179" s="179">
        <v>3000000</v>
      </c>
      <c r="F179" s="179">
        <v>3000000</v>
      </c>
      <c r="G179" s="179">
        <v>3000000</v>
      </c>
      <c r="H179" s="179">
        <v>0</v>
      </c>
      <c r="I179" s="179">
        <v>600000</v>
      </c>
      <c r="J179" s="179">
        <v>0</v>
      </c>
      <c r="K179" s="179">
        <v>1975539.12</v>
      </c>
      <c r="L179" s="179">
        <v>1975539.12</v>
      </c>
      <c r="M179" s="179">
        <v>424460.88</v>
      </c>
      <c r="N179" s="179">
        <v>424460.88</v>
      </c>
    </row>
    <row r="180" spans="1:14" s="156" customFormat="1" x14ac:dyDescent="0.25">
      <c r="A180" s="156" t="s">
        <v>544</v>
      </c>
      <c r="B180" s="156" t="s">
        <v>574</v>
      </c>
      <c r="C180" s="156" t="s">
        <v>575</v>
      </c>
      <c r="D180" s="156" t="s">
        <v>541</v>
      </c>
      <c r="E180" s="179">
        <v>0</v>
      </c>
      <c r="F180" s="179">
        <v>5652000</v>
      </c>
      <c r="G180" s="179">
        <v>5652000</v>
      </c>
      <c r="H180" s="179">
        <v>0</v>
      </c>
      <c r="I180" s="179">
        <v>0</v>
      </c>
      <c r="J180" s="179">
        <v>0</v>
      </c>
      <c r="K180" s="179">
        <v>0</v>
      </c>
      <c r="L180" s="179">
        <v>0</v>
      </c>
      <c r="M180" s="179">
        <v>5652000</v>
      </c>
      <c r="N180" s="179">
        <v>5652000</v>
      </c>
    </row>
    <row r="181" spans="1:14" s="156" customFormat="1" x14ac:dyDescent="0.25">
      <c r="A181" s="156" t="s">
        <v>544</v>
      </c>
      <c r="B181" s="156" t="s">
        <v>281</v>
      </c>
      <c r="C181" s="156" t="s">
        <v>282</v>
      </c>
      <c r="D181" s="156" t="s">
        <v>543</v>
      </c>
      <c r="E181" s="179">
        <v>3800000</v>
      </c>
      <c r="F181" s="179">
        <v>3792000</v>
      </c>
      <c r="G181" s="179">
        <v>3792000</v>
      </c>
      <c r="H181" s="179">
        <v>0</v>
      </c>
      <c r="I181" s="179">
        <v>0</v>
      </c>
      <c r="J181" s="179">
        <v>0</v>
      </c>
      <c r="K181" s="179">
        <v>3688269.22</v>
      </c>
      <c r="L181" s="179">
        <v>1828822.22</v>
      </c>
      <c r="M181" s="179">
        <v>103730.78</v>
      </c>
      <c r="N181" s="179">
        <v>103730.78</v>
      </c>
    </row>
    <row r="182" spans="1:14" s="156" customFormat="1" x14ac:dyDescent="0.25">
      <c r="A182" s="156" t="s">
        <v>544</v>
      </c>
      <c r="B182" s="156" t="s">
        <v>92</v>
      </c>
      <c r="C182" s="156" t="s">
        <v>93</v>
      </c>
      <c r="D182" s="156" t="s">
        <v>541</v>
      </c>
      <c r="E182" s="179">
        <v>1043285000</v>
      </c>
      <c r="F182" s="179">
        <v>820497351</v>
      </c>
      <c r="G182" s="179">
        <v>820497350</v>
      </c>
      <c r="H182" s="179">
        <v>0</v>
      </c>
      <c r="I182" s="179">
        <v>9572108</v>
      </c>
      <c r="J182" s="179">
        <v>0</v>
      </c>
      <c r="K182" s="179">
        <v>652303726.64999998</v>
      </c>
      <c r="L182" s="179">
        <v>652303726.64999998</v>
      </c>
      <c r="M182" s="179">
        <v>158621516.34999999</v>
      </c>
      <c r="N182" s="179">
        <v>158621515.34999999</v>
      </c>
    </row>
    <row r="183" spans="1:14" s="156" customFormat="1" x14ac:dyDescent="0.25">
      <c r="A183" s="156" t="s">
        <v>544</v>
      </c>
      <c r="B183" s="156" t="s">
        <v>123</v>
      </c>
      <c r="C183" s="156" t="s">
        <v>124</v>
      </c>
      <c r="D183" s="156" t="s">
        <v>541</v>
      </c>
      <c r="E183" s="179">
        <v>154113000</v>
      </c>
      <c r="F183" s="179">
        <v>145152200</v>
      </c>
      <c r="G183" s="179">
        <v>145152200</v>
      </c>
      <c r="H183" s="179">
        <v>129900</v>
      </c>
      <c r="I183" s="179">
        <v>30847680.219999999</v>
      </c>
      <c r="J183" s="179">
        <v>1001000</v>
      </c>
      <c r="K183" s="179">
        <v>103247630.64</v>
      </c>
      <c r="L183" s="179">
        <v>94679588.010000005</v>
      </c>
      <c r="M183" s="179">
        <v>9925989.1400000006</v>
      </c>
      <c r="N183" s="179">
        <v>9925989.1400000006</v>
      </c>
    </row>
    <row r="184" spans="1:14" s="156" customFormat="1" x14ac:dyDescent="0.25">
      <c r="A184" s="156" t="s">
        <v>544</v>
      </c>
      <c r="B184" s="156" t="s">
        <v>200</v>
      </c>
      <c r="C184" s="156" t="s">
        <v>201</v>
      </c>
      <c r="D184" s="156" t="s">
        <v>541</v>
      </c>
      <c r="E184" s="179">
        <v>26927000</v>
      </c>
      <c r="F184" s="179">
        <v>26981000</v>
      </c>
      <c r="G184" s="179">
        <v>26981000</v>
      </c>
      <c r="H184" s="179">
        <v>0</v>
      </c>
      <c r="I184" s="179">
        <v>6026307</v>
      </c>
      <c r="J184" s="179">
        <v>620891.24</v>
      </c>
      <c r="K184" s="179">
        <v>18581011.52</v>
      </c>
      <c r="L184" s="179">
        <v>10449252.98</v>
      </c>
      <c r="M184" s="179">
        <v>1752790.24</v>
      </c>
      <c r="N184" s="179">
        <v>1752790.24</v>
      </c>
    </row>
    <row r="185" spans="1:14" s="156" customFormat="1" x14ac:dyDescent="0.25">
      <c r="A185" s="156" t="s">
        <v>544</v>
      </c>
      <c r="B185" s="156" t="s">
        <v>251</v>
      </c>
      <c r="C185" s="156" t="s">
        <v>252</v>
      </c>
      <c r="D185" s="156" t="s">
        <v>541</v>
      </c>
      <c r="E185" s="179">
        <v>27808000</v>
      </c>
      <c r="F185" s="179">
        <v>32548000</v>
      </c>
      <c r="G185" s="179">
        <v>32548000</v>
      </c>
      <c r="H185" s="179">
        <v>0</v>
      </c>
      <c r="I185" s="179">
        <v>1422929.38</v>
      </c>
      <c r="J185" s="179">
        <v>0</v>
      </c>
      <c r="K185" s="179">
        <v>24716745.010000002</v>
      </c>
      <c r="L185" s="179">
        <v>24716745.010000002</v>
      </c>
      <c r="M185" s="179">
        <v>6408325.6100000003</v>
      </c>
      <c r="N185" s="179">
        <v>6408325.6100000003</v>
      </c>
    </row>
    <row r="186" spans="1:14" s="156" customFormat="1" x14ac:dyDescent="0.25">
      <c r="A186" s="156" t="s">
        <v>544</v>
      </c>
      <c r="B186" s="156" t="s">
        <v>576</v>
      </c>
      <c r="C186" s="156" t="s">
        <v>577</v>
      </c>
      <c r="D186" s="156" t="s">
        <v>541</v>
      </c>
      <c r="E186" s="179">
        <v>0</v>
      </c>
      <c r="F186" s="179">
        <v>5652000</v>
      </c>
      <c r="G186" s="179">
        <v>5652000</v>
      </c>
      <c r="H186" s="179">
        <v>0</v>
      </c>
      <c r="I186" s="179">
        <v>0</v>
      </c>
      <c r="J186" s="179">
        <v>0</v>
      </c>
      <c r="K186" s="179">
        <v>0</v>
      </c>
      <c r="L186" s="179">
        <v>0</v>
      </c>
      <c r="M186" s="179">
        <v>5652000</v>
      </c>
      <c r="N186" s="179">
        <v>5652000</v>
      </c>
    </row>
    <row r="187" spans="1:14" s="156" customFormat="1" x14ac:dyDescent="0.25">
      <c r="A187" s="156" t="s">
        <v>544</v>
      </c>
      <c r="B187" s="156" t="s">
        <v>279</v>
      </c>
      <c r="C187" s="156" t="s">
        <v>280</v>
      </c>
      <c r="D187" s="156" t="s">
        <v>543</v>
      </c>
      <c r="E187" s="179">
        <v>3800000</v>
      </c>
      <c r="F187" s="179">
        <v>3792000</v>
      </c>
      <c r="G187" s="179">
        <v>3792000</v>
      </c>
      <c r="H187" s="179">
        <v>0</v>
      </c>
      <c r="I187" s="179">
        <v>0</v>
      </c>
      <c r="J187" s="179">
        <v>0</v>
      </c>
      <c r="K187" s="179">
        <v>3688269.22</v>
      </c>
      <c r="L187" s="179">
        <v>1828822.22</v>
      </c>
      <c r="M187" s="179">
        <v>103730.78</v>
      </c>
      <c r="N187" s="179">
        <v>103730.78</v>
      </c>
    </row>
    <row r="188" spans="1:14" s="156" customFormat="1" x14ac:dyDescent="0.25">
      <c r="A188" s="156">
        <v>214780</v>
      </c>
      <c r="B188" s="156" t="s">
        <v>587</v>
      </c>
      <c r="C188" s="156" t="s">
        <v>587</v>
      </c>
      <c r="D188" s="156" t="s">
        <v>541</v>
      </c>
      <c r="E188" s="179">
        <v>1255933000</v>
      </c>
      <c r="F188" s="179">
        <v>1034622551</v>
      </c>
      <c r="G188" s="179">
        <v>1034622550</v>
      </c>
      <c r="H188" s="179">
        <v>129900</v>
      </c>
      <c r="I188" s="179">
        <v>47869024.600000001</v>
      </c>
      <c r="J188" s="179">
        <v>1621891.24</v>
      </c>
      <c r="K188" s="179">
        <v>802537383.03999996</v>
      </c>
      <c r="L188" s="179">
        <v>783978134.87</v>
      </c>
      <c r="M188" s="179">
        <v>182464352.12</v>
      </c>
      <c r="N188" s="179">
        <v>182464351.12</v>
      </c>
    </row>
    <row r="189" spans="1:14" s="156" customFormat="1" x14ac:dyDescent="0.25">
      <c r="A189" s="156" t="s">
        <v>545</v>
      </c>
      <c r="B189" s="156" t="s">
        <v>96</v>
      </c>
      <c r="C189" s="156" t="s">
        <v>97</v>
      </c>
      <c r="D189" s="156" t="s">
        <v>541</v>
      </c>
      <c r="E189" s="179">
        <v>3264433000</v>
      </c>
      <c r="F189" s="179">
        <v>2950148960</v>
      </c>
      <c r="G189" s="179">
        <v>2950148960</v>
      </c>
      <c r="H189" s="179">
        <v>0</v>
      </c>
      <c r="I189" s="179">
        <v>0</v>
      </c>
      <c r="J189" s="179">
        <v>0</v>
      </c>
      <c r="K189" s="179">
        <v>2551959085.29</v>
      </c>
      <c r="L189" s="179">
        <v>2551959085.29</v>
      </c>
      <c r="M189" s="179">
        <v>398189874.70999998</v>
      </c>
      <c r="N189" s="179">
        <v>398189874.70999998</v>
      </c>
    </row>
    <row r="190" spans="1:14" s="156" customFormat="1" x14ac:dyDescent="0.25">
      <c r="A190" s="156" t="s">
        <v>545</v>
      </c>
      <c r="B190" s="156" t="s">
        <v>313</v>
      </c>
      <c r="C190" s="156" t="s">
        <v>314</v>
      </c>
      <c r="D190" s="156" t="s">
        <v>541</v>
      </c>
      <c r="E190" s="179">
        <v>5000000</v>
      </c>
      <c r="F190" s="179">
        <v>2500000</v>
      </c>
      <c r="G190" s="179">
        <v>2500000</v>
      </c>
      <c r="H190" s="179">
        <v>0</v>
      </c>
      <c r="I190" s="179">
        <v>0</v>
      </c>
      <c r="J190" s="179">
        <v>0</v>
      </c>
      <c r="K190" s="179">
        <v>0</v>
      </c>
      <c r="L190" s="179">
        <v>0</v>
      </c>
      <c r="M190" s="179">
        <v>2500000</v>
      </c>
      <c r="N190" s="179">
        <v>2500000</v>
      </c>
    </row>
    <row r="191" spans="1:14" s="156" customFormat="1" x14ac:dyDescent="0.25">
      <c r="A191" s="156" t="s">
        <v>545</v>
      </c>
      <c r="B191" s="156" t="s">
        <v>100</v>
      </c>
      <c r="C191" s="156" t="s">
        <v>101</v>
      </c>
      <c r="D191" s="156" t="s">
        <v>541</v>
      </c>
      <c r="E191" s="179">
        <v>14000000</v>
      </c>
      <c r="F191" s="179">
        <v>11084920</v>
      </c>
      <c r="G191" s="179">
        <v>11084920</v>
      </c>
      <c r="H191" s="179">
        <v>0</v>
      </c>
      <c r="I191" s="179">
        <v>0</v>
      </c>
      <c r="J191" s="179">
        <v>0</v>
      </c>
      <c r="K191" s="179">
        <v>8332416.8700000001</v>
      </c>
      <c r="L191" s="179">
        <v>8332416.8700000001</v>
      </c>
      <c r="M191" s="179">
        <v>2752503.13</v>
      </c>
      <c r="N191" s="179">
        <v>2752503.13</v>
      </c>
    </row>
    <row r="192" spans="1:14" s="156" customFormat="1" x14ac:dyDescent="0.25">
      <c r="A192" s="156" t="s">
        <v>545</v>
      </c>
      <c r="B192" s="156" t="s">
        <v>104</v>
      </c>
      <c r="C192" s="156" t="s">
        <v>105</v>
      </c>
      <c r="D192" s="156" t="s">
        <v>541</v>
      </c>
      <c r="E192" s="179">
        <v>848164000</v>
      </c>
      <c r="F192" s="179">
        <v>793278678</v>
      </c>
      <c r="G192" s="179">
        <v>793278678</v>
      </c>
      <c r="H192" s="179">
        <v>0</v>
      </c>
      <c r="I192" s="179">
        <v>0</v>
      </c>
      <c r="J192" s="179">
        <v>0</v>
      </c>
      <c r="K192" s="179">
        <v>670337022.60000002</v>
      </c>
      <c r="L192" s="179">
        <v>670337022.60000002</v>
      </c>
      <c r="M192" s="179">
        <v>122941655.40000001</v>
      </c>
      <c r="N192" s="179">
        <v>122941655.40000001</v>
      </c>
    </row>
    <row r="193" spans="1:14" s="156" customFormat="1" x14ac:dyDescent="0.25">
      <c r="A193" s="156" t="s">
        <v>545</v>
      </c>
      <c r="B193" s="156" t="s">
        <v>106</v>
      </c>
      <c r="C193" s="156" t="s">
        <v>107</v>
      </c>
      <c r="D193" s="156" t="s">
        <v>541</v>
      </c>
      <c r="E193" s="179">
        <v>2130281000</v>
      </c>
      <c r="F193" s="179">
        <v>1961959267</v>
      </c>
      <c r="G193" s="179">
        <v>1961959267</v>
      </c>
      <c r="H193" s="179">
        <v>0</v>
      </c>
      <c r="I193" s="179">
        <v>0</v>
      </c>
      <c r="J193" s="179">
        <v>0</v>
      </c>
      <c r="K193" s="179">
        <v>1678193424.21</v>
      </c>
      <c r="L193" s="179">
        <v>1678193424.21</v>
      </c>
      <c r="M193" s="179">
        <v>283765842.79000002</v>
      </c>
      <c r="N193" s="179">
        <v>283765842.79000002</v>
      </c>
    </row>
    <row r="194" spans="1:14" s="156" customFormat="1" x14ac:dyDescent="0.25">
      <c r="A194" s="156" t="s">
        <v>545</v>
      </c>
      <c r="B194" s="156" t="s">
        <v>108</v>
      </c>
      <c r="C194" s="156" t="s">
        <v>109</v>
      </c>
      <c r="D194" s="156" t="s">
        <v>541</v>
      </c>
      <c r="E194" s="179">
        <v>446946000</v>
      </c>
      <c r="F194" s="179">
        <v>455146000</v>
      </c>
      <c r="G194" s="179">
        <v>455146000</v>
      </c>
      <c r="H194" s="179">
        <v>0</v>
      </c>
      <c r="I194" s="179">
        <v>0</v>
      </c>
      <c r="J194" s="179">
        <v>0</v>
      </c>
      <c r="K194" s="179">
        <v>453709879.5</v>
      </c>
      <c r="L194" s="179">
        <v>453709879.5</v>
      </c>
      <c r="M194" s="179">
        <v>1436120.5</v>
      </c>
      <c r="N194" s="179">
        <v>1436120.5</v>
      </c>
    </row>
    <row r="195" spans="1:14" s="156" customFormat="1" x14ac:dyDescent="0.25">
      <c r="A195" s="156" t="s">
        <v>545</v>
      </c>
      <c r="B195" s="156" t="s">
        <v>110</v>
      </c>
      <c r="C195" s="156" t="s">
        <v>111</v>
      </c>
      <c r="D195" s="156" t="s">
        <v>541</v>
      </c>
      <c r="E195" s="179">
        <v>591313000</v>
      </c>
      <c r="F195" s="179">
        <v>554097888</v>
      </c>
      <c r="G195" s="179">
        <v>554097888</v>
      </c>
      <c r="H195" s="179">
        <v>0</v>
      </c>
      <c r="I195" s="179">
        <v>0</v>
      </c>
      <c r="J195" s="179">
        <v>0</v>
      </c>
      <c r="K195" s="179">
        <v>477909720.63999999</v>
      </c>
      <c r="L195" s="179">
        <v>477909720.63999999</v>
      </c>
      <c r="M195" s="179">
        <v>76188167.359999999</v>
      </c>
      <c r="N195" s="179">
        <v>76188167.359999999</v>
      </c>
    </row>
    <row r="196" spans="1:14" s="156" customFormat="1" x14ac:dyDescent="0.25">
      <c r="A196" s="156" t="s">
        <v>545</v>
      </c>
      <c r="B196" s="156" t="s">
        <v>112</v>
      </c>
      <c r="C196" s="156" t="s">
        <v>113</v>
      </c>
      <c r="D196" s="156" t="s">
        <v>543</v>
      </c>
      <c r="E196" s="179">
        <v>586616000</v>
      </c>
      <c r="F196" s="179">
        <v>539462089</v>
      </c>
      <c r="G196" s="179">
        <v>539462089</v>
      </c>
      <c r="H196" s="179">
        <v>0</v>
      </c>
      <c r="I196" s="179">
        <v>0</v>
      </c>
      <c r="J196" s="179">
        <v>0</v>
      </c>
      <c r="K196" s="179">
        <v>230516.94</v>
      </c>
      <c r="L196" s="179">
        <v>230516.94</v>
      </c>
      <c r="M196" s="179">
        <v>539231572.05999994</v>
      </c>
      <c r="N196" s="179">
        <v>539231572.05999994</v>
      </c>
    </row>
    <row r="197" spans="1:14" s="156" customFormat="1" x14ac:dyDescent="0.25">
      <c r="A197" s="156" t="s">
        <v>545</v>
      </c>
      <c r="B197" s="156" t="s">
        <v>315</v>
      </c>
      <c r="C197" s="156" t="s">
        <v>620</v>
      </c>
      <c r="D197" s="156" t="s">
        <v>541</v>
      </c>
      <c r="E197" s="179">
        <v>675263000</v>
      </c>
      <c r="F197" s="179">
        <v>632901476</v>
      </c>
      <c r="G197" s="179">
        <v>632901476</v>
      </c>
      <c r="H197" s="179">
        <v>0</v>
      </c>
      <c r="I197" s="179">
        <v>96256041</v>
      </c>
      <c r="J197" s="179">
        <v>0</v>
      </c>
      <c r="K197" s="179">
        <v>536645435</v>
      </c>
      <c r="L197" s="179">
        <v>536645435</v>
      </c>
      <c r="M197" s="179">
        <v>0</v>
      </c>
      <c r="N197" s="179">
        <v>0</v>
      </c>
    </row>
    <row r="198" spans="1:14" s="156" customFormat="1" x14ac:dyDescent="0.25">
      <c r="A198" s="156" t="s">
        <v>545</v>
      </c>
      <c r="B198" s="156" t="s">
        <v>316</v>
      </c>
      <c r="C198" s="156" t="s">
        <v>583</v>
      </c>
      <c r="D198" s="156" t="s">
        <v>541</v>
      </c>
      <c r="E198" s="179">
        <v>36501000</v>
      </c>
      <c r="F198" s="179">
        <v>33670670</v>
      </c>
      <c r="G198" s="179">
        <v>33670670</v>
      </c>
      <c r="H198" s="179">
        <v>0</v>
      </c>
      <c r="I198" s="179">
        <v>4663221</v>
      </c>
      <c r="J198" s="179">
        <v>0</v>
      </c>
      <c r="K198" s="179">
        <v>29007449</v>
      </c>
      <c r="L198" s="179">
        <v>29007449</v>
      </c>
      <c r="M198" s="179">
        <v>0</v>
      </c>
      <c r="N198" s="179">
        <v>0</v>
      </c>
    </row>
    <row r="199" spans="1:14" s="156" customFormat="1" x14ac:dyDescent="0.25">
      <c r="A199" s="156" t="s">
        <v>545</v>
      </c>
      <c r="B199" s="156" t="s">
        <v>317</v>
      </c>
      <c r="C199" s="156" t="s">
        <v>621</v>
      </c>
      <c r="D199" s="156" t="s">
        <v>541</v>
      </c>
      <c r="E199" s="179">
        <v>370847000</v>
      </c>
      <c r="F199" s="179">
        <v>342090641</v>
      </c>
      <c r="G199" s="179">
        <v>342090641</v>
      </c>
      <c r="H199" s="179">
        <v>0</v>
      </c>
      <c r="I199" s="179">
        <v>61958784</v>
      </c>
      <c r="J199" s="179">
        <v>0</v>
      </c>
      <c r="K199" s="179">
        <v>280131857</v>
      </c>
      <c r="L199" s="179">
        <v>280131857</v>
      </c>
      <c r="M199" s="179">
        <v>0</v>
      </c>
      <c r="N199" s="179">
        <v>0</v>
      </c>
    </row>
    <row r="200" spans="1:14" s="156" customFormat="1" x14ac:dyDescent="0.25">
      <c r="A200" s="156" t="s">
        <v>545</v>
      </c>
      <c r="B200" s="156" t="s">
        <v>318</v>
      </c>
      <c r="C200" s="156" t="s">
        <v>622</v>
      </c>
      <c r="D200" s="156" t="s">
        <v>541</v>
      </c>
      <c r="E200" s="179">
        <v>109503000</v>
      </c>
      <c r="F200" s="179">
        <v>101011907</v>
      </c>
      <c r="G200" s="179">
        <v>101011907</v>
      </c>
      <c r="H200" s="179">
        <v>0</v>
      </c>
      <c r="I200" s="179">
        <v>13989559</v>
      </c>
      <c r="J200" s="179">
        <v>0</v>
      </c>
      <c r="K200" s="179">
        <v>87022348</v>
      </c>
      <c r="L200" s="179">
        <v>87022348</v>
      </c>
      <c r="M200" s="179">
        <v>0</v>
      </c>
      <c r="N200" s="179">
        <v>0</v>
      </c>
    </row>
    <row r="201" spans="1:14" s="156" customFormat="1" x14ac:dyDescent="0.25">
      <c r="A201" s="156" t="s">
        <v>545</v>
      </c>
      <c r="B201" s="156" t="s">
        <v>319</v>
      </c>
      <c r="C201" s="156" t="s">
        <v>623</v>
      </c>
      <c r="D201" s="156" t="s">
        <v>541</v>
      </c>
      <c r="E201" s="179">
        <v>219005000</v>
      </c>
      <c r="F201" s="179">
        <v>202022915</v>
      </c>
      <c r="G201" s="179">
        <v>202022915</v>
      </c>
      <c r="H201" s="179">
        <v>0</v>
      </c>
      <c r="I201" s="179">
        <v>27978223</v>
      </c>
      <c r="J201" s="179">
        <v>0</v>
      </c>
      <c r="K201" s="179">
        <v>174044692</v>
      </c>
      <c r="L201" s="179">
        <v>174044692</v>
      </c>
      <c r="M201" s="179">
        <v>0</v>
      </c>
      <c r="N201" s="179">
        <v>0</v>
      </c>
    </row>
    <row r="202" spans="1:14" s="156" customFormat="1" x14ac:dyDescent="0.25">
      <c r="A202" s="156" t="s">
        <v>545</v>
      </c>
      <c r="B202" s="156" t="s">
        <v>306</v>
      </c>
      <c r="C202" s="156" t="s">
        <v>307</v>
      </c>
      <c r="D202" s="156" t="s">
        <v>541</v>
      </c>
      <c r="E202" s="179">
        <v>292666000</v>
      </c>
      <c r="F202" s="179">
        <v>167666000</v>
      </c>
      <c r="G202" s="179">
        <v>167666000</v>
      </c>
      <c r="H202" s="179">
        <v>0</v>
      </c>
      <c r="I202" s="179">
        <v>15996291.199999999</v>
      </c>
      <c r="J202" s="179">
        <v>0</v>
      </c>
      <c r="K202" s="179">
        <v>122426481.97</v>
      </c>
      <c r="L202" s="179">
        <v>114938801.97</v>
      </c>
      <c r="M202" s="179">
        <v>29243226.829999998</v>
      </c>
      <c r="N202" s="179">
        <v>29243226.829999998</v>
      </c>
    </row>
    <row r="203" spans="1:14" s="156" customFormat="1" x14ac:dyDescent="0.25">
      <c r="A203" s="156" t="s">
        <v>545</v>
      </c>
      <c r="B203" s="156" t="s">
        <v>320</v>
      </c>
      <c r="C203" s="156" t="s">
        <v>321</v>
      </c>
      <c r="D203" s="156" t="s">
        <v>541</v>
      </c>
      <c r="E203" s="179">
        <v>6984000</v>
      </c>
      <c r="F203" s="179">
        <v>4984000</v>
      </c>
      <c r="G203" s="179">
        <v>4984000</v>
      </c>
      <c r="H203" s="179">
        <v>0</v>
      </c>
      <c r="I203" s="179">
        <v>822174.71999999997</v>
      </c>
      <c r="J203" s="179">
        <v>0</v>
      </c>
      <c r="K203" s="179">
        <v>1887552.01</v>
      </c>
      <c r="L203" s="179">
        <v>1887552.01</v>
      </c>
      <c r="M203" s="179">
        <v>2274273.27</v>
      </c>
      <c r="N203" s="179">
        <v>2274273.27</v>
      </c>
    </row>
    <row r="204" spans="1:14" s="156" customFormat="1" x14ac:dyDescent="0.25">
      <c r="A204" s="156" t="s">
        <v>545</v>
      </c>
      <c r="B204" s="156" t="s">
        <v>127</v>
      </c>
      <c r="C204" s="156" t="s">
        <v>128</v>
      </c>
      <c r="D204" s="156" t="s">
        <v>541</v>
      </c>
      <c r="E204" s="179">
        <v>115000000</v>
      </c>
      <c r="F204" s="179">
        <v>105750000</v>
      </c>
      <c r="G204" s="179">
        <v>105750000</v>
      </c>
      <c r="H204" s="179">
        <v>0</v>
      </c>
      <c r="I204" s="179">
        <v>15649460.92</v>
      </c>
      <c r="J204" s="179">
        <v>0</v>
      </c>
      <c r="K204" s="179">
        <v>76051963</v>
      </c>
      <c r="L204" s="179">
        <v>65788488.789999999</v>
      </c>
      <c r="M204" s="179">
        <v>14048576.08</v>
      </c>
      <c r="N204" s="179">
        <v>14048576.08</v>
      </c>
    </row>
    <row r="205" spans="1:14" s="156" customFormat="1" x14ac:dyDescent="0.25">
      <c r="A205" s="156" t="s">
        <v>545</v>
      </c>
      <c r="B205" s="156" t="s">
        <v>322</v>
      </c>
      <c r="C205" s="156" t="s">
        <v>323</v>
      </c>
      <c r="D205" s="156" t="s">
        <v>541</v>
      </c>
      <c r="E205" s="179">
        <v>1571000</v>
      </c>
      <c r="F205" s="179">
        <v>2071000</v>
      </c>
      <c r="G205" s="179">
        <v>2071000</v>
      </c>
      <c r="H205" s="179">
        <v>0</v>
      </c>
      <c r="I205" s="179">
        <v>300941</v>
      </c>
      <c r="J205" s="179">
        <v>0</v>
      </c>
      <c r="K205" s="179">
        <v>1299456</v>
      </c>
      <c r="L205" s="179">
        <v>1163061</v>
      </c>
      <c r="M205" s="179">
        <v>470603</v>
      </c>
      <c r="N205" s="179">
        <v>470603</v>
      </c>
    </row>
    <row r="206" spans="1:14" s="156" customFormat="1" x14ac:dyDescent="0.25">
      <c r="A206" s="156" t="s">
        <v>545</v>
      </c>
      <c r="B206" s="156" t="s">
        <v>129</v>
      </c>
      <c r="C206" s="156" t="s">
        <v>130</v>
      </c>
      <c r="D206" s="156" t="s">
        <v>541</v>
      </c>
      <c r="E206" s="179">
        <v>35103000</v>
      </c>
      <c r="F206" s="179">
        <v>37703000</v>
      </c>
      <c r="G206" s="179">
        <v>37703000</v>
      </c>
      <c r="H206" s="179">
        <v>0</v>
      </c>
      <c r="I206" s="179">
        <v>102949.66</v>
      </c>
      <c r="J206" s="179">
        <v>0</v>
      </c>
      <c r="K206" s="179">
        <v>29442014.16</v>
      </c>
      <c r="L206" s="179">
        <v>17490358.82</v>
      </c>
      <c r="M206" s="179">
        <v>8158036.1799999997</v>
      </c>
      <c r="N206" s="179">
        <v>8158036.1799999997</v>
      </c>
    </row>
    <row r="207" spans="1:14" s="156" customFormat="1" x14ac:dyDescent="0.25">
      <c r="A207" s="156" t="s">
        <v>545</v>
      </c>
      <c r="B207" s="156" t="s">
        <v>133</v>
      </c>
      <c r="C207" s="156" t="s">
        <v>134</v>
      </c>
      <c r="D207" s="156" t="s">
        <v>541</v>
      </c>
      <c r="E207" s="179">
        <v>20500000</v>
      </c>
      <c r="F207" s="179">
        <v>20500000</v>
      </c>
      <c r="G207" s="179">
        <v>20500000</v>
      </c>
      <c r="H207" s="179">
        <v>0</v>
      </c>
      <c r="I207" s="179">
        <v>5175414</v>
      </c>
      <c r="J207" s="179">
        <v>0</v>
      </c>
      <c r="K207" s="179">
        <v>15323884</v>
      </c>
      <c r="L207" s="179">
        <v>11564876</v>
      </c>
      <c r="M207" s="179">
        <v>702</v>
      </c>
      <c r="N207" s="179">
        <v>702</v>
      </c>
    </row>
    <row r="208" spans="1:14" s="156" customFormat="1" x14ac:dyDescent="0.25">
      <c r="A208" s="156" t="s">
        <v>545</v>
      </c>
      <c r="B208" s="156" t="s">
        <v>135</v>
      </c>
      <c r="C208" s="156" t="s">
        <v>136</v>
      </c>
      <c r="D208" s="156" t="s">
        <v>541</v>
      </c>
      <c r="E208" s="179">
        <v>54000000</v>
      </c>
      <c r="F208" s="179">
        <v>49000000</v>
      </c>
      <c r="G208" s="179">
        <v>49000000</v>
      </c>
      <c r="H208" s="179">
        <v>0</v>
      </c>
      <c r="I208" s="179">
        <v>12300280</v>
      </c>
      <c r="J208" s="179">
        <v>0</v>
      </c>
      <c r="K208" s="179">
        <v>36699720</v>
      </c>
      <c r="L208" s="179">
        <v>33062040</v>
      </c>
      <c r="M208" s="179">
        <v>0</v>
      </c>
      <c r="N208" s="179">
        <v>0</v>
      </c>
    </row>
    <row r="209" spans="1:14" s="156" customFormat="1" x14ac:dyDescent="0.25">
      <c r="A209" s="156" t="s">
        <v>545</v>
      </c>
      <c r="B209" s="156" t="s">
        <v>137</v>
      </c>
      <c r="C209" s="156" t="s">
        <v>138</v>
      </c>
      <c r="D209" s="156" t="s">
        <v>541</v>
      </c>
      <c r="E209" s="179">
        <v>16400000</v>
      </c>
      <c r="F209" s="179">
        <v>10400000</v>
      </c>
      <c r="G209" s="179">
        <v>10400000</v>
      </c>
      <c r="H209" s="179">
        <v>0</v>
      </c>
      <c r="I209" s="179">
        <v>1058050</v>
      </c>
      <c r="J209" s="179">
        <v>0</v>
      </c>
      <c r="K209" s="179">
        <v>2554085</v>
      </c>
      <c r="L209" s="179">
        <v>2182755</v>
      </c>
      <c r="M209" s="179">
        <v>6787865</v>
      </c>
      <c r="N209" s="179">
        <v>6787865</v>
      </c>
    </row>
    <row r="210" spans="1:14" s="156" customFormat="1" x14ac:dyDescent="0.25">
      <c r="A210" s="156" t="s">
        <v>545</v>
      </c>
      <c r="B210" s="156" t="s">
        <v>139</v>
      </c>
      <c r="C210" s="156" t="s">
        <v>140</v>
      </c>
      <c r="D210" s="156" t="s">
        <v>541</v>
      </c>
      <c r="E210" s="179">
        <v>56520000</v>
      </c>
      <c r="F210" s="179">
        <v>46520000</v>
      </c>
      <c r="G210" s="179">
        <v>46520000</v>
      </c>
      <c r="H210" s="179">
        <v>0</v>
      </c>
      <c r="I210" s="179">
        <v>9272404.2799999993</v>
      </c>
      <c r="J210" s="179">
        <v>0</v>
      </c>
      <c r="K210" s="179">
        <v>28650368.739999998</v>
      </c>
      <c r="L210" s="179">
        <v>23771002.719999999</v>
      </c>
      <c r="M210" s="179">
        <v>8597226.9800000004</v>
      </c>
      <c r="N210" s="179">
        <v>8597226.9800000004</v>
      </c>
    </row>
    <row r="211" spans="1:14" s="156" customFormat="1" x14ac:dyDescent="0.25">
      <c r="A211" s="156" t="s">
        <v>545</v>
      </c>
      <c r="B211" s="156" t="s">
        <v>141</v>
      </c>
      <c r="C211" s="156" t="s">
        <v>142</v>
      </c>
      <c r="D211" s="156" t="s">
        <v>541</v>
      </c>
      <c r="E211" s="179">
        <v>5000000</v>
      </c>
      <c r="F211" s="179">
        <v>5000000</v>
      </c>
      <c r="G211" s="179">
        <v>5000000</v>
      </c>
      <c r="H211" s="179">
        <v>0</v>
      </c>
      <c r="I211" s="179">
        <v>505.2</v>
      </c>
      <c r="J211" s="179">
        <v>0</v>
      </c>
      <c r="K211" s="179">
        <v>4917979.2</v>
      </c>
      <c r="L211" s="179">
        <v>3688484.4</v>
      </c>
      <c r="M211" s="179">
        <v>81515.600000000006</v>
      </c>
      <c r="N211" s="179">
        <v>81515.600000000006</v>
      </c>
    </row>
    <row r="212" spans="1:14" s="156" customFormat="1" x14ac:dyDescent="0.25">
      <c r="A212" s="156" t="s">
        <v>545</v>
      </c>
      <c r="B212" s="156" t="s">
        <v>145</v>
      </c>
      <c r="C212" s="156" t="s">
        <v>146</v>
      </c>
      <c r="D212" s="156" t="s">
        <v>541</v>
      </c>
      <c r="E212" s="179">
        <v>1000000</v>
      </c>
      <c r="F212" s="179">
        <v>1000000</v>
      </c>
      <c r="G212" s="179">
        <v>1000000</v>
      </c>
      <c r="H212" s="179">
        <v>0</v>
      </c>
      <c r="I212" s="179">
        <v>354940</v>
      </c>
      <c r="J212" s="179">
        <v>0</v>
      </c>
      <c r="K212" s="179">
        <v>195060</v>
      </c>
      <c r="L212" s="179">
        <v>195060</v>
      </c>
      <c r="M212" s="179">
        <v>450000</v>
      </c>
      <c r="N212" s="179">
        <v>450000</v>
      </c>
    </row>
    <row r="213" spans="1:14" s="156" customFormat="1" x14ac:dyDescent="0.25">
      <c r="A213" s="156" t="s">
        <v>545</v>
      </c>
      <c r="B213" s="156" t="s">
        <v>147</v>
      </c>
      <c r="C213" s="156" t="s">
        <v>148</v>
      </c>
      <c r="D213" s="156" t="s">
        <v>541</v>
      </c>
      <c r="E213" s="179">
        <v>3100000</v>
      </c>
      <c r="F213" s="179">
        <v>3100000</v>
      </c>
      <c r="G213" s="179">
        <v>3100000</v>
      </c>
      <c r="H213" s="179">
        <v>0</v>
      </c>
      <c r="I213" s="179">
        <v>147712</v>
      </c>
      <c r="J213" s="179">
        <v>0</v>
      </c>
      <c r="K213" s="179">
        <v>276708</v>
      </c>
      <c r="L213" s="179">
        <v>276708</v>
      </c>
      <c r="M213" s="179">
        <v>2675580</v>
      </c>
      <c r="N213" s="179">
        <v>2675580</v>
      </c>
    </row>
    <row r="214" spans="1:14" s="156" customFormat="1" x14ac:dyDescent="0.25">
      <c r="A214" s="156" t="s">
        <v>545</v>
      </c>
      <c r="B214" s="156" t="s">
        <v>324</v>
      </c>
      <c r="C214" s="156" t="s">
        <v>325</v>
      </c>
      <c r="D214" s="156" t="s">
        <v>541</v>
      </c>
      <c r="E214" s="179">
        <v>600000</v>
      </c>
      <c r="F214" s="179">
        <v>600000</v>
      </c>
      <c r="G214" s="179">
        <v>600000</v>
      </c>
      <c r="H214" s="179">
        <v>0</v>
      </c>
      <c r="I214" s="179">
        <v>0</v>
      </c>
      <c r="J214" s="179">
        <v>0</v>
      </c>
      <c r="K214" s="179">
        <v>0</v>
      </c>
      <c r="L214" s="179">
        <v>0</v>
      </c>
      <c r="M214" s="179">
        <v>600000</v>
      </c>
      <c r="N214" s="179">
        <v>600000</v>
      </c>
    </row>
    <row r="215" spans="1:14" s="156" customFormat="1" x14ac:dyDescent="0.25">
      <c r="A215" s="156" t="s">
        <v>545</v>
      </c>
      <c r="B215" s="156" t="s">
        <v>149</v>
      </c>
      <c r="C215" s="156" t="s">
        <v>150</v>
      </c>
      <c r="D215" s="156" t="s">
        <v>541</v>
      </c>
      <c r="E215" s="179">
        <v>200000</v>
      </c>
      <c r="F215" s="179">
        <v>200000</v>
      </c>
      <c r="G215" s="179">
        <v>200000</v>
      </c>
      <c r="H215" s="179">
        <v>0</v>
      </c>
      <c r="I215" s="179">
        <v>25030.5</v>
      </c>
      <c r="J215" s="179">
        <v>0</v>
      </c>
      <c r="K215" s="179">
        <v>74969.5</v>
      </c>
      <c r="L215" s="179">
        <v>74969.5</v>
      </c>
      <c r="M215" s="179">
        <v>100000</v>
      </c>
      <c r="N215" s="179">
        <v>100000</v>
      </c>
    </row>
    <row r="216" spans="1:14" s="156" customFormat="1" x14ac:dyDescent="0.25">
      <c r="A216" s="156" t="s">
        <v>545</v>
      </c>
      <c r="B216" s="156" t="s">
        <v>326</v>
      </c>
      <c r="C216" s="156" t="s">
        <v>327</v>
      </c>
      <c r="D216" s="156" t="s">
        <v>541</v>
      </c>
      <c r="E216" s="179">
        <v>44549000</v>
      </c>
      <c r="F216" s="179">
        <v>4549000</v>
      </c>
      <c r="G216" s="179">
        <v>4549000</v>
      </c>
      <c r="H216" s="179">
        <v>0</v>
      </c>
      <c r="I216" s="179">
        <v>3723008.42</v>
      </c>
      <c r="J216" s="179">
        <v>0</v>
      </c>
      <c r="K216" s="179">
        <v>766664.88</v>
      </c>
      <c r="L216" s="179">
        <v>749383.78</v>
      </c>
      <c r="M216" s="179">
        <v>59326.7</v>
      </c>
      <c r="N216" s="179">
        <v>59326.7</v>
      </c>
    </row>
    <row r="217" spans="1:14" s="156" customFormat="1" x14ac:dyDescent="0.25">
      <c r="A217" s="156" t="s">
        <v>545</v>
      </c>
      <c r="B217" s="156" t="s">
        <v>328</v>
      </c>
      <c r="C217" s="156" t="s">
        <v>329</v>
      </c>
      <c r="D217" s="156" t="s">
        <v>541</v>
      </c>
      <c r="E217" s="179">
        <v>2000000</v>
      </c>
      <c r="F217" s="179">
        <v>1000000</v>
      </c>
      <c r="G217" s="179">
        <v>1000000</v>
      </c>
      <c r="H217" s="179">
        <v>0</v>
      </c>
      <c r="I217" s="179">
        <v>6725</v>
      </c>
      <c r="J217" s="179">
        <v>0</v>
      </c>
      <c r="K217" s="179">
        <v>18275</v>
      </c>
      <c r="L217" s="179">
        <v>18275</v>
      </c>
      <c r="M217" s="179">
        <v>975000</v>
      </c>
      <c r="N217" s="179">
        <v>975000</v>
      </c>
    </row>
    <row r="218" spans="1:14" s="156" customFormat="1" x14ac:dyDescent="0.25">
      <c r="A218" s="156" t="s">
        <v>545</v>
      </c>
      <c r="B218" s="156" t="s">
        <v>330</v>
      </c>
      <c r="C218" s="156" t="s">
        <v>628</v>
      </c>
      <c r="D218" s="156" t="s">
        <v>541</v>
      </c>
      <c r="E218" s="179">
        <v>141090000</v>
      </c>
      <c r="F218" s="179">
        <v>384090000</v>
      </c>
      <c r="G218" s="179">
        <v>384090000</v>
      </c>
      <c r="H218" s="179">
        <v>0</v>
      </c>
      <c r="I218" s="179">
        <v>0</v>
      </c>
      <c r="J218" s="179">
        <v>0</v>
      </c>
      <c r="K218" s="179">
        <v>75393837.510000005</v>
      </c>
      <c r="L218" s="179">
        <v>25136837.510000002</v>
      </c>
      <c r="M218" s="179">
        <v>308696162.49000001</v>
      </c>
      <c r="N218" s="179">
        <v>308696162.49000001</v>
      </c>
    </row>
    <row r="219" spans="1:14" s="156" customFormat="1" x14ac:dyDescent="0.25">
      <c r="A219" s="156" t="s">
        <v>545</v>
      </c>
      <c r="B219" s="156" t="s">
        <v>331</v>
      </c>
      <c r="C219" s="156" t="s">
        <v>629</v>
      </c>
      <c r="D219" s="156" t="s">
        <v>541</v>
      </c>
      <c r="E219" s="179">
        <v>3000000</v>
      </c>
      <c r="F219" s="179">
        <v>0</v>
      </c>
      <c r="G219" s="179">
        <v>0</v>
      </c>
      <c r="H219" s="179">
        <v>0</v>
      </c>
      <c r="I219" s="179">
        <v>0</v>
      </c>
      <c r="J219" s="179">
        <v>0</v>
      </c>
      <c r="K219" s="179">
        <v>0</v>
      </c>
      <c r="L219" s="179">
        <v>0</v>
      </c>
      <c r="M219" s="179">
        <v>0</v>
      </c>
      <c r="N219" s="179">
        <v>0</v>
      </c>
    </row>
    <row r="220" spans="1:14" s="156" customFormat="1" x14ac:dyDescent="0.25">
      <c r="A220" s="156" t="s">
        <v>545</v>
      </c>
      <c r="B220" s="156" t="s">
        <v>154</v>
      </c>
      <c r="C220" s="156" t="s">
        <v>155</v>
      </c>
      <c r="D220" s="156" t="s">
        <v>541</v>
      </c>
      <c r="E220" s="179">
        <v>347095000</v>
      </c>
      <c r="F220" s="179">
        <v>347095000</v>
      </c>
      <c r="G220" s="179">
        <v>347095000</v>
      </c>
      <c r="H220" s="179">
        <v>0</v>
      </c>
      <c r="I220" s="179">
        <v>66920379.75</v>
      </c>
      <c r="J220" s="179">
        <v>7355430.0499999998</v>
      </c>
      <c r="K220" s="179">
        <v>242291090.94999999</v>
      </c>
      <c r="L220" s="179">
        <v>211500356.40000001</v>
      </c>
      <c r="M220" s="179">
        <v>30528099.25</v>
      </c>
      <c r="N220" s="179">
        <v>30528099.25</v>
      </c>
    </row>
    <row r="221" spans="1:14" s="156" customFormat="1" x14ac:dyDescent="0.25">
      <c r="A221" s="156" t="s">
        <v>545</v>
      </c>
      <c r="B221" s="156" t="s">
        <v>156</v>
      </c>
      <c r="C221" s="156" t="s">
        <v>157</v>
      </c>
      <c r="D221" s="156" t="s">
        <v>541</v>
      </c>
      <c r="E221" s="179">
        <v>14850000</v>
      </c>
      <c r="F221" s="179">
        <v>14850000</v>
      </c>
      <c r="G221" s="179">
        <v>14850000</v>
      </c>
      <c r="H221" s="179">
        <v>0</v>
      </c>
      <c r="I221" s="179">
        <v>2216881.61</v>
      </c>
      <c r="J221" s="179">
        <v>0</v>
      </c>
      <c r="K221" s="179">
        <v>5789825.7999999998</v>
      </c>
      <c r="L221" s="179">
        <v>5763015.7999999998</v>
      </c>
      <c r="M221" s="179">
        <v>6843292.5899999999</v>
      </c>
      <c r="N221" s="179">
        <v>6843292.5899999999</v>
      </c>
    </row>
    <row r="222" spans="1:14" s="156" customFormat="1" x14ac:dyDescent="0.25">
      <c r="A222" s="156" t="s">
        <v>545</v>
      </c>
      <c r="B222" s="156" t="s">
        <v>160</v>
      </c>
      <c r="C222" s="156" t="s">
        <v>161</v>
      </c>
      <c r="D222" s="156" t="s">
        <v>541</v>
      </c>
      <c r="E222" s="179">
        <v>450000</v>
      </c>
      <c r="F222" s="179">
        <v>1600000</v>
      </c>
      <c r="G222" s="179">
        <v>1600000</v>
      </c>
      <c r="H222" s="179">
        <v>0</v>
      </c>
      <c r="I222" s="179">
        <v>91390</v>
      </c>
      <c r="J222" s="179">
        <v>0</v>
      </c>
      <c r="K222" s="179">
        <v>882275</v>
      </c>
      <c r="L222" s="179">
        <v>882275</v>
      </c>
      <c r="M222" s="179">
        <v>626335</v>
      </c>
      <c r="N222" s="179">
        <v>626335</v>
      </c>
    </row>
    <row r="223" spans="1:14" s="156" customFormat="1" x14ac:dyDescent="0.25">
      <c r="A223" s="156" t="s">
        <v>545</v>
      </c>
      <c r="B223" s="156" t="s">
        <v>162</v>
      </c>
      <c r="C223" s="156" t="s">
        <v>163</v>
      </c>
      <c r="D223" s="156" t="s">
        <v>541</v>
      </c>
      <c r="E223" s="179">
        <v>34000000</v>
      </c>
      <c r="F223" s="179">
        <v>34000000</v>
      </c>
      <c r="G223" s="179">
        <v>34000000</v>
      </c>
      <c r="H223" s="179">
        <v>0</v>
      </c>
      <c r="I223" s="179">
        <v>8630500</v>
      </c>
      <c r="J223" s="179">
        <v>0</v>
      </c>
      <c r="K223" s="179">
        <v>23637600</v>
      </c>
      <c r="L223" s="179">
        <v>23411500</v>
      </c>
      <c r="M223" s="179">
        <v>1731900</v>
      </c>
      <c r="N223" s="179">
        <v>1731900</v>
      </c>
    </row>
    <row r="224" spans="1:14" s="156" customFormat="1" x14ac:dyDescent="0.25">
      <c r="A224" s="156" t="s">
        <v>545</v>
      </c>
      <c r="B224" s="156" t="s">
        <v>164</v>
      </c>
      <c r="C224" s="156" t="s">
        <v>165</v>
      </c>
      <c r="D224" s="156" t="s">
        <v>541</v>
      </c>
      <c r="E224" s="179">
        <v>3000000</v>
      </c>
      <c r="F224" s="179">
        <v>2550000</v>
      </c>
      <c r="G224" s="179">
        <v>2550000</v>
      </c>
      <c r="H224" s="179">
        <v>0</v>
      </c>
      <c r="I224" s="179">
        <v>11309.46</v>
      </c>
      <c r="J224" s="179">
        <v>0</v>
      </c>
      <c r="K224" s="179">
        <v>1986202.24</v>
      </c>
      <c r="L224" s="179">
        <v>1986202.24</v>
      </c>
      <c r="M224" s="179">
        <v>552488.30000000005</v>
      </c>
      <c r="N224" s="179">
        <v>552488.30000000005</v>
      </c>
    </row>
    <row r="225" spans="1:14" s="156" customFormat="1" x14ac:dyDescent="0.25">
      <c r="A225" s="156" t="s">
        <v>545</v>
      </c>
      <c r="B225" s="156" t="s">
        <v>166</v>
      </c>
      <c r="C225" s="156" t="s">
        <v>167</v>
      </c>
      <c r="D225" s="156" t="s">
        <v>541</v>
      </c>
      <c r="E225" s="179">
        <v>7500000</v>
      </c>
      <c r="F225" s="179">
        <v>6121205</v>
      </c>
      <c r="G225" s="179">
        <v>6121205</v>
      </c>
      <c r="H225" s="179">
        <v>0</v>
      </c>
      <c r="I225" s="179">
        <v>0</v>
      </c>
      <c r="J225" s="179">
        <v>0</v>
      </c>
      <c r="K225" s="179">
        <v>4700562.32</v>
      </c>
      <c r="L225" s="179">
        <v>4700562.32</v>
      </c>
      <c r="M225" s="179">
        <v>1420642.68</v>
      </c>
      <c r="N225" s="179">
        <v>1420642.68</v>
      </c>
    </row>
    <row r="226" spans="1:14" s="156" customFormat="1" x14ac:dyDescent="0.25">
      <c r="A226" s="156" t="s">
        <v>545</v>
      </c>
      <c r="B226" s="156" t="s">
        <v>170</v>
      </c>
      <c r="C226" s="156" t="s">
        <v>171</v>
      </c>
      <c r="D226" s="156" t="s">
        <v>541</v>
      </c>
      <c r="E226" s="179">
        <v>91000000</v>
      </c>
      <c r="F226" s="179">
        <v>91000000</v>
      </c>
      <c r="G226" s="179">
        <v>91000000</v>
      </c>
      <c r="H226" s="179">
        <v>0</v>
      </c>
      <c r="I226" s="179">
        <v>627083</v>
      </c>
      <c r="J226" s="179">
        <v>0</v>
      </c>
      <c r="K226" s="179">
        <v>49119446</v>
      </c>
      <c r="L226" s="179">
        <v>26866432</v>
      </c>
      <c r="M226" s="179">
        <v>41253471</v>
      </c>
      <c r="N226" s="179">
        <v>41253471</v>
      </c>
    </row>
    <row r="227" spans="1:14" s="156" customFormat="1" x14ac:dyDescent="0.25">
      <c r="A227" s="156" t="s">
        <v>545</v>
      </c>
      <c r="B227" s="156" t="s">
        <v>309</v>
      </c>
      <c r="C227" s="156" t="s">
        <v>310</v>
      </c>
      <c r="D227" s="156" t="s">
        <v>541</v>
      </c>
      <c r="E227" s="179">
        <v>6000000</v>
      </c>
      <c r="F227" s="179">
        <v>6000000</v>
      </c>
      <c r="G227" s="179">
        <v>6000000</v>
      </c>
      <c r="H227" s="179">
        <v>0</v>
      </c>
      <c r="I227" s="179">
        <v>3775000</v>
      </c>
      <c r="J227" s="179">
        <v>0</v>
      </c>
      <c r="K227" s="179">
        <v>2224561</v>
      </c>
      <c r="L227" s="179">
        <v>954561</v>
      </c>
      <c r="M227" s="179">
        <v>439</v>
      </c>
      <c r="N227" s="179">
        <v>439</v>
      </c>
    </row>
    <row r="228" spans="1:14" s="156" customFormat="1" x14ac:dyDescent="0.25">
      <c r="A228" s="156" t="s">
        <v>545</v>
      </c>
      <c r="B228" s="156" t="s">
        <v>180</v>
      </c>
      <c r="C228" s="156" t="s">
        <v>181</v>
      </c>
      <c r="D228" s="156" t="s">
        <v>541</v>
      </c>
      <c r="E228" s="179">
        <v>19900000</v>
      </c>
      <c r="F228" s="179">
        <v>19900000</v>
      </c>
      <c r="G228" s="179">
        <v>19900000</v>
      </c>
      <c r="H228" s="179">
        <v>8000000</v>
      </c>
      <c r="I228" s="179">
        <v>4744714.87</v>
      </c>
      <c r="J228" s="179">
        <v>155500</v>
      </c>
      <c r="K228" s="179">
        <v>2929812.24</v>
      </c>
      <c r="L228" s="179">
        <v>2618812.2400000002</v>
      </c>
      <c r="M228" s="179">
        <v>4069972.89</v>
      </c>
      <c r="N228" s="179">
        <v>4069972.89</v>
      </c>
    </row>
    <row r="229" spans="1:14" s="156" customFormat="1" x14ac:dyDescent="0.25">
      <c r="A229" s="156" t="s">
        <v>545</v>
      </c>
      <c r="B229" s="156" t="s">
        <v>332</v>
      </c>
      <c r="C229" s="156" t="s">
        <v>333</v>
      </c>
      <c r="D229" s="156" t="s">
        <v>541</v>
      </c>
      <c r="E229" s="179">
        <v>4750000</v>
      </c>
      <c r="F229" s="179">
        <v>4750000</v>
      </c>
      <c r="G229" s="179">
        <v>4750000</v>
      </c>
      <c r="H229" s="179">
        <v>0</v>
      </c>
      <c r="I229" s="179">
        <v>840593.75</v>
      </c>
      <c r="J229" s="179">
        <v>0</v>
      </c>
      <c r="K229" s="179">
        <v>3270506.61</v>
      </c>
      <c r="L229" s="179">
        <v>3270506.61</v>
      </c>
      <c r="M229" s="179">
        <v>638899.64</v>
      </c>
      <c r="N229" s="179">
        <v>638899.64</v>
      </c>
    </row>
    <row r="230" spans="1:14" s="156" customFormat="1" x14ac:dyDescent="0.25">
      <c r="A230" s="156" t="s">
        <v>545</v>
      </c>
      <c r="B230" s="156" t="s">
        <v>182</v>
      </c>
      <c r="C230" s="156" t="s">
        <v>183</v>
      </c>
      <c r="D230" s="156" t="s">
        <v>541</v>
      </c>
      <c r="E230" s="179">
        <v>28300000</v>
      </c>
      <c r="F230" s="179">
        <v>15300000</v>
      </c>
      <c r="G230" s="179">
        <v>15300000</v>
      </c>
      <c r="H230" s="179">
        <v>0</v>
      </c>
      <c r="I230" s="179">
        <v>10328738</v>
      </c>
      <c r="J230" s="179">
        <v>0</v>
      </c>
      <c r="K230" s="179">
        <v>4920999</v>
      </c>
      <c r="L230" s="179">
        <v>4920999</v>
      </c>
      <c r="M230" s="179">
        <v>50263</v>
      </c>
      <c r="N230" s="179">
        <v>50263</v>
      </c>
    </row>
    <row r="231" spans="1:14" s="156" customFormat="1" x14ac:dyDescent="0.25">
      <c r="A231" s="156" t="s">
        <v>545</v>
      </c>
      <c r="B231" s="156" t="s">
        <v>184</v>
      </c>
      <c r="C231" s="156" t="s">
        <v>185</v>
      </c>
      <c r="D231" s="156" t="s">
        <v>541</v>
      </c>
      <c r="E231" s="179">
        <v>8900000</v>
      </c>
      <c r="F231" s="179">
        <v>8900000</v>
      </c>
      <c r="G231" s="179">
        <v>8900000</v>
      </c>
      <c r="H231" s="179">
        <v>0</v>
      </c>
      <c r="I231" s="179">
        <v>615568.80000000005</v>
      </c>
      <c r="J231" s="179">
        <v>0</v>
      </c>
      <c r="K231" s="179">
        <v>3256329.65</v>
      </c>
      <c r="L231" s="179">
        <v>2344658.9</v>
      </c>
      <c r="M231" s="179">
        <v>5028101.55</v>
      </c>
      <c r="N231" s="179">
        <v>5028101.55</v>
      </c>
    </row>
    <row r="232" spans="1:14" s="156" customFormat="1" x14ac:dyDescent="0.25">
      <c r="A232" s="156" t="s">
        <v>545</v>
      </c>
      <c r="B232" s="156" t="s">
        <v>186</v>
      </c>
      <c r="C232" s="156" t="s">
        <v>187</v>
      </c>
      <c r="D232" s="156" t="s">
        <v>541</v>
      </c>
      <c r="E232" s="179">
        <v>13062000</v>
      </c>
      <c r="F232" s="179">
        <v>9562000</v>
      </c>
      <c r="G232" s="179">
        <v>9562000</v>
      </c>
      <c r="H232" s="179">
        <v>0</v>
      </c>
      <c r="I232" s="179">
        <v>1034310.4</v>
      </c>
      <c r="J232" s="179">
        <v>416000</v>
      </c>
      <c r="K232" s="179">
        <v>4002196.8</v>
      </c>
      <c r="L232" s="179">
        <v>3882196.8</v>
      </c>
      <c r="M232" s="179">
        <v>4109492.8</v>
      </c>
      <c r="N232" s="179">
        <v>4109492.8</v>
      </c>
    </row>
    <row r="233" spans="1:14" s="156" customFormat="1" x14ac:dyDescent="0.25">
      <c r="A233" s="156" t="s">
        <v>545</v>
      </c>
      <c r="B233" s="156" t="s">
        <v>188</v>
      </c>
      <c r="C233" s="156" t="s">
        <v>189</v>
      </c>
      <c r="D233" s="156" t="s">
        <v>541</v>
      </c>
      <c r="E233" s="179">
        <v>35260000</v>
      </c>
      <c r="F233" s="179">
        <v>35260000</v>
      </c>
      <c r="G233" s="179">
        <v>35260000</v>
      </c>
      <c r="H233" s="179">
        <v>0</v>
      </c>
      <c r="I233" s="179">
        <v>2454520</v>
      </c>
      <c r="J233" s="179">
        <v>847050</v>
      </c>
      <c r="K233" s="179">
        <v>13898054.890000001</v>
      </c>
      <c r="L233" s="179">
        <v>12548054.890000001</v>
      </c>
      <c r="M233" s="179">
        <v>18060375.109999999</v>
      </c>
      <c r="N233" s="179">
        <v>18060375.109999999</v>
      </c>
    </row>
    <row r="234" spans="1:14" s="156" customFormat="1" x14ac:dyDescent="0.25">
      <c r="A234" s="156" t="s">
        <v>545</v>
      </c>
      <c r="B234" s="156" t="s">
        <v>190</v>
      </c>
      <c r="C234" s="156" t="s">
        <v>191</v>
      </c>
      <c r="D234" s="156" t="s">
        <v>541</v>
      </c>
      <c r="E234" s="179">
        <v>3100000</v>
      </c>
      <c r="F234" s="179">
        <v>4600000</v>
      </c>
      <c r="G234" s="179">
        <v>4600000</v>
      </c>
      <c r="H234" s="179">
        <v>0</v>
      </c>
      <c r="I234" s="179">
        <v>0</v>
      </c>
      <c r="J234" s="179">
        <v>580320.94999999995</v>
      </c>
      <c r="K234" s="179">
        <v>2296446.69</v>
      </c>
      <c r="L234" s="179">
        <v>1054148.5</v>
      </c>
      <c r="M234" s="179">
        <v>1723232.36</v>
      </c>
      <c r="N234" s="179">
        <v>1723232.36</v>
      </c>
    </row>
    <row r="235" spans="1:14" s="156" customFormat="1" x14ac:dyDescent="0.25">
      <c r="A235" s="156" t="s">
        <v>545</v>
      </c>
      <c r="B235" s="156" t="s">
        <v>194</v>
      </c>
      <c r="C235" s="156" t="s">
        <v>195</v>
      </c>
      <c r="D235" s="156" t="s">
        <v>541</v>
      </c>
      <c r="E235" s="179">
        <v>1550000</v>
      </c>
      <c r="F235" s="179">
        <v>1550000</v>
      </c>
      <c r="G235" s="179">
        <v>1550000</v>
      </c>
      <c r="H235" s="179">
        <v>0</v>
      </c>
      <c r="I235" s="179">
        <v>24400</v>
      </c>
      <c r="J235" s="179">
        <v>0</v>
      </c>
      <c r="K235" s="179">
        <v>600</v>
      </c>
      <c r="L235" s="179">
        <v>600</v>
      </c>
      <c r="M235" s="179">
        <v>1525000</v>
      </c>
      <c r="N235" s="179">
        <v>1525000</v>
      </c>
    </row>
    <row r="236" spans="1:14" s="156" customFormat="1" x14ac:dyDescent="0.25">
      <c r="A236" s="156" t="s">
        <v>545</v>
      </c>
      <c r="B236" s="156" t="s">
        <v>334</v>
      </c>
      <c r="C236" s="156" t="s">
        <v>335</v>
      </c>
      <c r="D236" s="156" t="s">
        <v>541</v>
      </c>
      <c r="E236" s="179">
        <v>150000</v>
      </c>
      <c r="F236" s="179">
        <v>150000</v>
      </c>
      <c r="G236" s="179">
        <v>150000</v>
      </c>
      <c r="H236" s="179">
        <v>0</v>
      </c>
      <c r="I236" s="179">
        <v>33857.78</v>
      </c>
      <c r="J236" s="179">
        <v>0</v>
      </c>
      <c r="K236" s="179">
        <v>0</v>
      </c>
      <c r="L236" s="179">
        <v>0</v>
      </c>
      <c r="M236" s="179">
        <v>116142.22</v>
      </c>
      <c r="N236" s="179">
        <v>116142.22</v>
      </c>
    </row>
    <row r="237" spans="1:14" s="156" customFormat="1" x14ac:dyDescent="0.25">
      <c r="A237" s="156" t="s">
        <v>545</v>
      </c>
      <c r="B237" s="156" t="s">
        <v>198</v>
      </c>
      <c r="C237" s="156" t="s">
        <v>199</v>
      </c>
      <c r="D237" s="156" t="s">
        <v>541</v>
      </c>
      <c r="E237" s="179">
        <v>2000000</v>
      </c>
      <c r="F237" s="179">
        <v>2000000</v>
      </c>
      <c r="G237" s="179">
        <v>2000000</v>
      </c>
      <c r="H237" s="179">
        <v>0</v>
      </c>
      <c r="I237" s="179">
        <v>0</v>
      </c>
      <c r="J237" s="179">
        <v>0</v>
      </c>
      <c r="K237" s="179">
        <v>150000</v>
      </c>
      <c r="L237" s="179">
        <v>150000</v>
      </c>
      <c r="M237" s="179">
        <v>1850000</v>
      </c>
      <c r="N237" s="179">
        <v>1850000</v>
      </c>
    </row>
    <row r="238" spans="1:14" s="156" customFormat="1" x14ac:dyDescent="0.25">
      <c r="A238" s="156" t="s">
        <v>545</v>
      </c>
      <c r="B238" s="156" t="s">
        <v>204</v>
      </c>
      <c r="C238" s="156" t="s">
        <v>205</v>
      </c>
      <c r="D238" s="156" t="s">
        <v>541</v>
      </c>
      <c r="E238" s="179">
        <v>30200000</v>
      </c>
      <c r="F238" s="179">
        <v>30200000</v>
      </c>
      <c r="G238" s="179">
        <v>30200000</v>
      </c>
      <c r="H238" s="179">
        <v>0</v>
      </c>
      <c r="I238" s="179">
        <v>1705886.16</v>
      </c>
      <c r="J238" s="179">
        <v>0</v>
      </c>
      <c r="K238" s="179">
        <v>16836254.84</v>
      </c>
      <c r="L238" s="179">
        <v>16836254.84</v>
      </c>
      <c r="M238" s="179">
        <v>11657859</v>
      </c>
      <c r="N238" s="179">
        <v>11657859</v>
      </c>
    </row>
    <row r="239" spans="1:14" s="156" customFormat="1" x14ac:dyDescent="0.25">
      <c r="A239" s="156" t="s">
        <v>545</v>
      </c>
      <c r="B239" s="156" t="s">
        <v>206</v>
      </c>
      <c r="C239" s="156" t="s">
        <v>207</v>
      </c>
      <c r="D239" s="156" t="s">
        <v>541</v>
      </c>
      <c r="E239" s="179">
        <v>7000</v>
      </c>
      <c r="F239" s="179">
        <v>0</v>
      </c>
      <c r="G239" s="179">
        <v>0</v>
      </c>
      <c r="H239" s="179">
        <v>0</v>
      </c>
      <c r="I239" s="179">
        <v>0</v>
      </c>
      <c r="J239" s="179">
        <v>0</v>
      </c>
      <c r="K239" s="179">
        <v>0</v>
      </c>
      <c r="L239" s="179">
        <v>0</v>
      </c>
      <c r="M239" s="179">
        <v>0</v>
      </c>
      <c r="N239" s="179">
        <v>0</v>
      </c>
    </row>
    <row r="240" spans="1:14" s="156" customFormat="1" x14ac:dyDescent="0.25">
      <c r="A240" s="156" t="s">
        <v>545</v>
      </c>
      <c r="B240" s="156" t="s">
        <v>208</v>
      </c>
      <c r="C240" s="156" t="s">
        <v>209</v>
      </c>
      <c r="D240" s="156" t="s">
        <v>541</v>
      </c>
      <c r="E240" s="179">
        <v>25615000</v>
      </c>
      <c r="F240" s="179">
        <v>3415000</v>
      </c>
      <c r="G240" s="179">
        <v>3415000</v>
      </c>
      <c r="H240" s="179">
        <v>0</v>
      </c>
      <c r="I240" s="179">
        <v>829288.59</v>
      </c>
      <c r="J240" s="179">
        <v>0</v>
      </c>
      <c r="K240" s="179">
        <v>950210.23</v>
      </c>
      <c r="L240" s="179">
        <v>950210.23</v>
      </c>
      <c r="M240" s="179">
        <v>1635501.18</v>
      </c>
      <c r="N240" s="179">
        <v>1635501.18</v>
      </c>
    </row>
    <row r="241" spans="1:14" s="156" customFormat="1" x14ac:dyDescent="0.25">
      <c r="A241" s="156" t="s">
        <v>545</v>
      </c>
      <c r="B241" s="156" t="s">
        <v>210</v>
      </c>
      <c r="C241" s="156" t="s">
        <v>211</v>
      </c>
      <c r="D241" s="156" t="s">
        <v>541</v>
      </c>
      <c r="E241" s="179">
        <v>128000</v>
      </c>
      <c r="F241" s="179">
        <v>128000</v>
      </c>
      <c r="G241" s="179">
        <v>128000</v>
      </c>
      <c r="H241" s="179">
        <v>0</v>
      </c>
      <c r="I241" s="179">
        <v>0</v>
      </c>
      <c r="J241" s="179">
        <v>0</v>
      </c>
      <c r="K241" s="179">
        <v>0</v>
      </c>
      <c r="L241" s="179">
        <v>0</v>
      </c>
      <c r="M241" s="179">
        <v>128000</v>
      </c>
      <c r="N241" s="179">
        <v>128000</v>
      </c>
    </row>
    <row r="242" spans="1:14" s="156" customFormat="1" x14ac:dyDescent="0.25">
      <c r="A242" s="156" t="s">
        <v>545</v>
      </c>
      <c r="B242" s="156" t="s">
        <v>218</v>
      </c>
      <c r="C242" s="156" t="s">
        <v>219</v>
      </c>
      <c r="D242" s="156" t="s">
        <v>541</v>
      </c>
      <c r="E242" s="179">
        <v>437000</v>
      </c>
      <c r="F242" s="179">
        <v>437000</v>
      </c>
      <c r="G242" s="179">
        <v>437000</v>
      </c>
      <c r="H242" s="179">
        <v>11750</v>
      </c>
      <c r="I242" s="179">
        <v>289365</v>
      </c>
      <c r="J242" s="179">
        <v>0</v>
      </c>
      <c r="K242" s="179">
        <v>25950</v>
      </c>
      <c r="L242" s="179">
        <v>25950</v>
      </c>
      <c r="M242" s="179">
        <v>109935</v>
      </c>
      <c r="N242" s="179">
        <v>109935</v>
      </c>
    </row>
    <row r="243" spans="1:14" s="156" customFormat="1" x14ac:dyDescent="0.25">
      <c r="A243" s="156" t="s">
        <v>545</v>
      </c>
      <c r="B243" s="156" t="s">
        <v>336</v>
      </c>
      <c r="C243" s="156" t="s">
        <v>337</v>
      </c>
      <c r="D243" s="156" t="s">
        <v>541</v>
      </c>
      <c r="E243" s="179">
        <v>120000</v>
      </c>
      <c r="F243" s="179">
        <v>120000</v>
      </c>
      <c r="G243" s="179">
        <v>120000</v>
      </c>
      <c r="H243" s="179">
        <v>0</v>
      </c>
      <c r="I243" s="179">
        <v>0</v>
      </c>
      <c r="J243" s="179">
        <v>75487</v>
      </c>
      <c r="K243" s="179">
        <v>0</v>
      </c>
      <c r="L243" s="179">
        <v>0</v>
      </c>
      <c r="M243" s="179">
        <v>44513</v>
      </c>
      <c r="N243" s="179">
        <v>44513</v>
      </c>
    </row>
    <row r="244" spans="1:14" s="156" customFormat="1" x14ac:dyDescent="0.25">
      <c r="A244" s="156" t="s">
        <v>545</v>
      </c>
      <c r="B244" s="156" t="s">
        <v>338</v>
      </c>
      <c r="C244" s="156" t="s">
        <v>339</v>
      </c>
      <c r="D244" s="156" t="s">
        <v>541</v>
      </c>
      <c r="E244" s="179">
        <v>88000</v>
      </c>
      <c r="F244" s="179">
        <v>88000</v>
      </c>
      <c r="G244" s="179">
        <v>88000</v>
      </c>
      <c r="H244" s="179">
        <v>0</v>
      </c>
      <c r="I244" s="179">
        <v>0</v>
      </c>
      <c r="J244" s="179">
        <v>0</v>
      </c>
      <c r="K244" s="179">
        <v>0</v>
      </c>
      <c r="L244" s="179">
        <v>0</v>
      </c>
      <c r="M244" s="179">
        <v>88000</v>
      </c>
      <c r="N244" s="179">
        <v>88000</v>
      </c>
    </row>
    <row r="245" spans="1:14" s="156" customFormat="1" x14ac:dyDescent="0.25">
      <c r="A245" s="156" t="s">
        <v>545</v>
      </c>
      <c r="B245" s="156" t="s">
        <v>220</v>
      </c>
      <c r="C245" s="156" t="s">
        <v>221</v>
      </c>
      <c r="D245" s="156" t="s">
        <v>541</v>
      </c>
      <c r="E245" s="179">
        <v>1750000</v>
      </c>
      <c r="F245" s="179">
        <v>1750000</v>
      </c>
      <c r="G245" s="179">
        <v>1750000</v>
      </c>
      <c r="H245" s="179">
        <v>0</v>
      </c>
      <c r="I245" s="179">
        <v>1071598</v>
      </c>
      <c r="J245" s="179">
        <v>0</v>
      </c>
      <c r="K245" s="179">
        <v>0</v>
      </c>
      <c r="L245" s="179">
        <v>0</v>
      </c>
      <c r="M245" s="179">
        <v>678402</v>
      </c>
      <c r="N245" s="179">
        <v>678402</v>
      </c>
    </row>
    <row r="246" spans="1:14" s="156" customFormat="1" x14ac:dyDescent="0.25">
      <c r="A246" s="156" t="s">
        <v>545</v>
      </c>
      <c r="B246" s="156" t="s">
        <v>222</v>
      </c>
      <c r="C246" s="156" t="s">
        <v>223</v>
      </c>
      <c r="D246" s="156" t="s">
        <v>541</v>
      </c>
      <c r="E246" s="179">
        <v>70000</v>
      </c>
      <c r="F246" s="179">
        <v>70000</v>
      </c>
      <c r="G246" s="179">
        <v>70000</v>
      </c>
      <c r="H246" s="179">
        <v>0</v>
      </c>
      <c r="I246" s="179">
        <v>0</v>
      </c>
      <c r="J246" s="179">
        <v>0</v>
      </c>
      <c r="K246" s="179">
        <v>0</v>
      </c>
      <c r="L246" s="179">
        <v>0</v>
      </c>
      <c r="M246" s="179">
        <v>70000</v>
      </c>
      <c r="N246" s="179">
        <v>70000</v>
      </c>
    </row>
    <row r="247" spans="1:14" s="156" customFormat="1" x14ac:dyDescent="0.25">
      <c r="A247" s="156" t="s">
        <v>545</v>
      </c>
      <c r="B247" s="156" t="s">
        <v>224</v>
      </c>
      <c r="C247" s="156" t="s">
        <v>225</v>
      </c>
      <c r="D247" s="156" t="s">
        <v>541</v>
      </c>
      <c r="E247" s="179">
        <v>500000</v>
      </c>
      <c r="F247" s="179">
        <v>500000</v>
      </c>
      <c r="G247" s="179">
        <v>500000</v>
      </c>
      <c r="H247" s="179">
        <v>0</v>
      </c>
      <c r="I247" s="179">
        <v>236964</v>
      </c>
      <c r="J247" s="179">
        <v>0</v>
      </c>
      <c r="K247" s="179">
        <v>0</v>
      </c>
      <c r="L247" s="179">
        <v>0</v>
      </c>
      <c r="M247" s="179">
        <v>263036</v>
      </c>
      <c r="N247" s="179">
        <v>263036</v>
      </c>
    </row>
    <row r="248" spans="1:14" s="156" customFormat="1" x14ac:dyDescent="0.25">
      <c r="A248" s="156" t="s">
        <v>545</v>
      </c>
      <c r="B248" s="156" t="s">
        <v>226</v>
      </c>
      <c r="C248" s="156" t="s">
        <v>227</v>
      </c>
      <c r="D248" s="156" t="s">
        <v>541</v>
      </c>
      <c r="E248" s="179">
        <v>310000</v>
      </c>
      <c r="F248" s="179">
        <v>310000</v>
      </c>
      <c r="G248" s="179">
        <v>310000</v>
      </c>
      <c r="H248" s="179">
        <v>259125</v>
      </c>
      <c r="I248" s="179">
        <v>0</v>
      </c>
      <c r="J248" s="179">
        <v>0</v>
      </c>
      <c r="K248" s="179">
        <v>0</v>
      </c>
      <c r="L248" s="179">
        <v>0</v>
      </c>
      <c r="M248" s="179">
        <v>50875</v>
      </c>
      <c r="N248" s="179">
        <v>50875</v>
      </c>
    </row>
    <row r="249" spans="1:14" s="156" customFormat="1" x14ac:dyDescent="0.25">
      <c r="A249" s="156" t="s">
        <v>545</v>
      </c>
      <c r="B249" s="156" t="s">
        <v>230</v>
      </c>
      <c r="C249" s="156" t="s">
        <v>231</v>
      </c>
      <c r="D249" s="156" t="s">
        <v>541</v>
      </c>
      <c r="E249" s="179">
        <v>171000</v>
      </c>
      <c r="F249" s="179">
        <v>171000</v>
      </c>
      <c r="G249" s="179">
        <v>171000</v>
      </c>
      <c r="H249" s="179">
        <v>15005</v>
      </c>
      <c r="I249" s="179">
        <v>0</v>
      </c>
      <c r="J249" s="179">
        <v>0</v>
      </c>
      <c r="K249" s="179">
        <v>18284.75</v>
      </c>
      <c r="L249" s="179">
        <v>18284.75</v>
      </c>
      <c r="M249" s="179">
        <v>137710.25</v>
      </c>
      <c r="N249" s="179">
        <v>137710.25</v>
      </c>
    </row>
    <row r="250" spans="1:14" s="156" customFormat="1" x14ac:dyDescent="0.25">
      <c r="A250" s="156" t="s">
        <v>545</v>
      </c>
      <c r="B250" s="156" t="s">
        <v>232</v>
      </c>
      <c r="C250" s="156" t="s">
        <v>233</v>
      </c>
      <c r="D250" s="156" t="s">
        <v>541</v>
      </c>
      <c r="E250" s="179">
        <v>785000</v>
      </c>
      <c r="F250" s="179">
        <v>1785000</v>
      </c>
      <c r="G250" s="179">
        <v>1785000</v>
      </c>
      <c r="H250" s="179">
        <v>0</v>
      </c>
      <c r="I250" s="179">
        <v>700560.96</v>
      </c>
      <c r="J250" s="179">
        <v>0</v>
      </c>
      <c r="K250" s="179">
        <v>769645.49</v>
      </c>
      <c r="L250" s="179">
        <v>564545.49</v>
      </c>
      <c r="M250" s="179">
        <v>314793.55</v>
      </c>
      <c r="N250" s="179">
        <v>314793.55</v>
      </c>
    </row>
    <row r="251" spans="1:14" s="156" customFormat="1" x14ac:dyDescent="0.25">
      <c r="A251" s="156" t="s">
        <v>545</v>
      </c>
      <c r="B251" s="156" t="s">
        <v>235</v>
      </c>
      <c r="C251" s="156" t="s">
        <v>236</v>
      </c>
      <c r="D251" s="156" t="s">
        <v>541</v>
      </c>
      <c r="E251" s="179">
        <v>8270000</v>
      </c>
      <c r="F251" s="179">
        <v>4770000</v>
      </c>
      <c r="G251" s="179">
        <v>4770000</v>
      </c>
      <c r="H251" s="179">
        <v>0</v>
      </c>
      <c r="I251" s="179">
        <v>821625</v>
      </c>
      <c r="J251" s="179">
        <v>0</v>
      </c>
      <c r="K251" s="179">
        <v>3182095.95</v>
      </c>
      <c r="L251" s="179">
        <v>3182095.95</v>
      </c>
      <c r="M251" s="179">
        <v>766279.05</v>
      </c>
      <c r="N251" s="179">
        <v>766279.05</v>
      </c>
    </row>
    <row r="252" spans="1:14" s="156" customFormat="1" x14ac:dyDescent="0.25">
      <c r="A252" s="156" t="s">
        <v>545</v>
      </c>
      <c r="B252" s="156" t="s">
        <v>237</v>
      </c>
      <c r="C252" s="156" t="s">
        <v>238</v>
      </c>
      <c r="D252" s="156" t="s">
        <v>541</v>
      </c>
      <c r="E252" s="179">
        <v>21000</v>
      </c>
      <c r="F252" s="179">
        <v>21000</v>
      </c>
      <c r="G252" s="179">
        <v>21000</v>
      </c>
      <c r="H252" s="179">
        <v>20946</v>
      </c>
      <c r="I252" s="179">
        <v>0</v>
      </c>
      <c r="J252" s="179">
        <v>0</v>
      </c>
      <c r="K252" s="179">
        <v>0</v>
      </c>
      <c r="L252" s="179">
        <v>0</v>
      </c>
      <c r="M252" s="179">
        <v>54</v>
      </c>
      <c r="N252" s="179">
        <v>54</v>
      </c>
    </row>
    <row r="253" spans="1:14" s="156" customFormat="1" x14ac:dyDescent="0.25">
      <c r="A253" s="156" t="s">
        <v>545</v>
      </c>
      <c r="B253" s="156" t="s">
        <v>239</v>
      </c>
      <c r="C253" s="156" t="s">
        <v>240</v>
      </c>
      <c r="D253" s="156" t="s">
        <v>541</v>
      </c>
      <c r="E253" s="179">
        <v>28400000</v>
      </c>
      <c r="F253" s="179">
        <v>17400000</v>
      </c>
      <c r="G253" s="179">
        <v>17400000</v>
      </c>
      <c r="H253" s="179">
        <v>3000000</v>
      </c>
      <c r="I253" s="179">
        <v>2354375</v>
      </c>
      <c r="J253" s="179">
        <v>55687.5</v>
      </c>
      <c r="K253" s="179">
        <v>10600107.699999999</v>
      </c>
      <c r="L253" s="179">
        <v>7885855.7000000002</v>
      </c>
      <c r="M253" s="179">
        <v>1389829.8</v>
      </c>
      <c r="N253" s="179">
        <v>1389829.8</v>
      </c>
    </row>
    <row r="254" spans="1:14" s="156" customFormat="1" x14ac:dyDescent="0.25">
      <c r="A254" s="156" t="s">
        <v>545</v>
      </c>
      <c r="B254" s="156" t="s">
        <v>241</v>
      </c>
      <c r="C254" s="156" t="s">
        <v>242</v>
      </c>
      <c r="D254" s="156" t="s">
        <v>541</v>
      </c>
      <c r="E254" s="179">
        <v>1255000</v>
      </c>
      <c r="F254" s="179">
        <v>1255000</v>
      </c>
      <c r="G254" s="179">
        <v>1255000</v>
      </c>
      <c r="H254" s="179">
        <v>0</v>
      </c>
      <c r="I254" s="179">
        <v>0</v>
      </c>
      <c r="J254" s="179">
        <v>0</v>
      </c>
      <c r="K254" s="179">
        <v>1094570</v>
      </c>
      <c r="L254" s="179">
        <v>269815</v>
      </c>
      <c r="M254" s="179">
        <v>160430</v>
      </c>
      <c r="N254" s="179">
        <v>160430</v>
      </c>
    </row>
    <row r="255" spans="1:14" s="156" customFormat="1" x14ac:dyDescent="0.25">
      <c r="A255" s="156" t="s">
        <v>545</v>
      </c>
      <c r="B255" s="156" t="s">
        <v>243</v>
      </c>
      <c r="C255" s="156" t="s">
        <v>244</v>
      </c>
      <c r="D255" s="156" t="s">
        <v>541</v>
      </c>
      <c r="E255" s="179">
        <v>1360000</v>
      </c>
      <c r="F255" s="179">
        <v>860000</v>
      </c>
      <c r="G255" s="179">
        <v>860000</v>
      </c>
      <c r="H255" s="179">
        <v>0</v>
      </c>
      <c r="I255" s="179">
        <v>386600</v>
      </c>
      <c r="J255" s="179">
        <v>0</v>
      </c>
      <c r="K255" s="179">
        <v>368959</v>
      </c>
      <c r="L255" s="179">
        <v>0</v>
      </c>
      <c r="M255" s="179">
        <v>104441</v>
      </c>
      <c r="N255" s="179">
        <v>104441</v>
      </c>
    </row>
    <row r="256" spans="1:14" s="156" customFormat="1" x14ac:dyDescent="0.25">
      <c r="A256" s="156" t="s">
        <v>545</v>
      </c>
      <c r="B256" s="156" t="s">
        <v>245</v>
      </c>
      <c r="C256" s="156" t="s">
        <v>246</v>
      </c>
      <c r="D256" s="156" t="s">
        <v>541</v>
      </c>
      <c r="E256" s="179">
        <v>105000</v>
      </c>
      <c r="F256" s="179">
        <v>105000</v>
      </c>
      <c r="G256" s="179">
        <v>105000</v>
      </c>
      <c r="H256" s="179">
        <v>4800</v>
      </c>
      <c r="I256" s="179">
        <v>0</v>
      </c>
      <c r="J256" s="179">
        <v>0</v>
      </c>
      <c r="K256" s="179">
        <v>83580</v>
      </c>
      <c r="L256" s="179">
        <v>83580</v>
      </c>
      <c r="M256" s="179">
        <v>16620</v>
      </c>
      <c r="N256" s="179">
        <v>16620</v>
      </c>
    </row>
    <row r="257" spans="1:14" s="156" customFormat="1" x14ac:dyDescent="0.25">
      <c r="A257" s="156" t="s">
        <v>545</v>
      </c>
      <c r="B257" s="156" t="s">
        <v>247</v>
      </c>
      <c r="C257" s="156" t="s">
        <v>248</v>
      </c>
      <c r="D257" s="156" t="s">
        <v>541</v>
      </c>
      <c r="E257" s="179">
        <v>100000</v>
      </c>
      <c r="F257" s="179">
        <v>0</v>
      </c>
      <c r="G257" s="179">
        <v>0</v>
      </c>
      <c r="H257" s="179">
        <v>0</v>
      </c>
      <c r="I257" s="179">
        <v>0</v>
      </c>
      <c r="J257" s="179">
        <v>0</v>
      </c>
      <c r="K257" s="179">
        <v>0</v>
      </c>
      <c r="L257" s="179">
        <v>0</v>
      </c>
      <c r="M257" s="179">
        <v>0</v>
      </c>
      <c r="N257" s="179">
        <v>0</v>
      </c>
    </row>
    <row r="258" spans="1:14" s="156" customFormat="1" x14ac:dyDescent="0.25">
      <c r="A258" s="156" t="s">
        <v>545</v>
      </c>
      <c r="B258" s="156" t="s">
        <v>249</v>
      </c>
      <c r="C258" s="156" t="s">
        <v>250</v>
      </c>
      <c r="D258" s="156" t="s">
        <v>541</v>
      </c>
      <c r="E258" s="179">
        <v>640000</v>
      </c>
      <c r="F258" s="179">
        <v>640000</v>
      </c>
      <c r="G258" s="179">
        <v>640000</v>
      </c>
      <c r="H258" s="179">
        <v>0</v>
      </c>
      <c r="I258" s="179">
        <v>152340</v>
      </c>
      <c r="J258" s="179">
        <v>0</v>
      </c>
      <c r="K258" s="179">
        <v>375640</v>
      </c>
      <c r="L258" s="179">
        <v>320000</v>
      </c>
      <c r="M258" s="179">
        <v>112020</v>
      </c>
      <c r="N258" s="179">
        <v>112020</v>
      </c>
    </row>
    <row r="259" spans="1:14" s="156" customFormat="1" x14ac:dyDescent="0.25">
      <c r="A259" s="156" t="s">
        <v>545</v>
      </c>
      <c r="B259" s="156" t="s">
        <v>344</v>
      </c>
      <c r="C259" s="156" t="s">
        <v>625</v>
      </c>
      <c r="D259" s="156" t="s">
        <v>541</v>
      </c>
      <c r="E259" s="179">
        <v>42341000</v>
      </c>
      <c r="F259" s="179">
        <v>42341000</v>
      </c>
      <c r="G259" s="179">
        <v>42341000</v>
      </c>
      <c r="H259" s="179">
        <v>0</v>
      </c>
      <c r="I259" s="179">
        <v>0</v>
      </c>
      <c r="J259" s="179">
        <v>0</v>
      </c>
      <c r="K259" s="179">
        <v>42341000</v>
      </c>
      <c r="L259" s="179">
        <v>42341000</v>
      </c>
      <c r="M259" s="179">
        <v>0</v>
      </c>
      <c r="N259" s="179">
        <v>0</v>
      </c>
    </row>
    <row r="260" spans="1:14" s="156" customFormat="1" x14ac:dyDescent="0.25">
      <c r="A260" s="156" t="s">
        <v>545</v>
      </c>
      <c r="B260" s="156" t="s">
        <v>345</v>
      </c>
      <c r="C260" s="156" t="s">
        <v>626</v>
      </c>
      <c r="D260" s="156" t="s">
        <v>541</v>
      </c>
      <c r="E260" s="179">
        <v>18251000</v>
      </c>
      <c r="F260" s="179">
        <v>16835836</v>
      </c>
      <c r="G260" s="179">
        <v>16835836</v>
      </c>
      <c r="H260" s="179">
        <v>0</v>
      </c>
      <c r="I260" s="179">
        <v>2332112.89</v>
      </c>
      <c r="J260" s="179">
        <v>0</v>
      </c>
      <c r="K260" s="179">
        <v>14503723.109999999</v>
      </c>
      <c r="L260" s="179">
        <v>14503723.109999999</v>
      </c>
      <c r="M260" s="179">
        <v>0</v>
      </c>
      <c r="N260" s="179">
        <v>0</v>
      </c>
    </row>
    <row r="261" spans="1:14" s="156" customFormat="1" x14ac:dyDescent="0.25">
      <c r="A261" s="156" t="s">
        <v>545</v>
      </c>
      <c r="B261" s="156" t="s">
        <v>263</v>
      </c>
      <c r="C261" s="156" t="s">
        <v>264</v>
      </c>
      <c r="D261" s="156" t="s">
        <v>541</v>
      </c>
      <c r="E261" s="179">
        <v>118500000</v>
      </c>
      <c r="F261" s="179">
        <v>129635400</v>
      </c>
      <c r="G261" s="179">
        <v>129635400</v>
      </c>
      <c r="H261" s="179">
        <v>0</v>
      </c>
      <c r="I261" s="179">
        <v>0</v>
      </c>
      <c r="J261" s="179">
        <v>0</v>
      </c>
      <c r="K261" s="179">
        <v>66964063.590000004</v>
      </c>
      <c r="L261" s="179">
        <v>66964063.590000004</v>
      </c>
      <c r="M261" s="179">
        <v>62671336.409999996</v>
      </c>
      <c r="N261" s="179">
        <v>62671336.409999996</v>
      </c>
    </row>
    <row r="262" spans="1:14" s="156" customFormat="1" x14ac:dyDescent="0.25">
      <c r="A262" s="156" t="s">
        <v>545</v>
      </c>
      <c r="B262" s="156" t="s">
        <v>265</v>
      </c>
      <c r="C262" s="156" t="s">
        <v>266</v>
      </c>
      <c r="D262" s="156" t="s">
        <v>541</v>
      </c>
      <c r="E262" s="179">
        <v>30000000</v>
      </c>
      <c r="F262" s="179">
        <v>30000000</v>
      </c>
      <c r="G262" s="179">
        <v>30000000</v>
      </c>
      <c r="H262" s="179">
        <v>0</v>
      </c>
      <c r="I262" s="179">
        <v>0</v>
      </c>
      <c r="J262" s="179">
        <v>0</v>
      </c>
      <c r="K262" s="179">
        <v>19629417</v>
      </c>
      <c r="L262" s="179">
        <v>19629417</v>
      </c>
      <c r="M262" s="179">
        <v>10370583</v>
      </c>
      <c r="N262" s="179">
        <v>10370583</v>
      </c>
    </row>
    <row r="263" spans="1:14" s="156" customFormat="1" x14ac:dyDescent="0.25">
      <c r="A263" s="156" t="s">
        <v>545</v>
      </c>
      <c r="B263" s="156" t="s">
        <v>269</v>
      </c>
      <c r="C263" s="156" t="s">
        <v>270</v>
      </c>
      <c r="D263" s="156" t="s">
        <v>541</v>
      </c>
      <c r="E263" s="179">
        <v>3000000</v>
      </c>
      <c r="F263" s="179">
        <v>3000000</v>
      </c>
      <c r="G263" s="179">
        <v>3000000</v>
      </c>
      <c r="H263" s="179">
        <v>0</v>
      </c>
      <c r="I263" s="179">
        <v>661659.81999999995</v>
      </c>
      <c r="J263" s="179">
        <v>0</v>
      </c>
      <c r="K263" s="179">
        <v>0</v>
      </c>
      <c r="L263" s="179">
        <v>0</v>
      </c>
      <c r="M263" s="179">
        <v>2338340.1800000002</v>
      </c>
      <c r="N263" s="179">
        <v>2338340.1800000002</v>
      </c>
    </row>
    <row r="264" spans="1:14" s="156" customFormat="1" x14ac:dyDescent="0.25">
      <c r="A264" s="156" t="s">
        <v>545</v>
      </c>
      <c r="B264" s="156" t="s">
        <v>572</v>
      </c>
      <c r="C264" s="156" t="s">
        <v>573</v>
      </c>
      <c r="D264" s="156" t="s">
        <v>541</v>
      </c>
      <c r="E264" s="179">
        <v>0</v>
      </c>
      <c r="F264" s="179">
        <v>0</v>
      </c>
      <c r="G264" s="179">
        <v>0</v>
      </c>
      <c r="H264" s="179">
        <v>0</v>
      </c>
      <c r="I264" s="179">
        <v>0</v>
      </c>
      <c r="J264" s="179">
        <v>0</v>
      </c>
      <c r="K264" s="179">
        <v>0</v>
      </c>
      <c r="L264" s="179">
        <v>0</v>
      </c>
      <c r="M264" s="179">
        <v>0</v>
      </c>
      <c r="N264" s="179">
        <v>0</v>
      </c>
    </row>
    <row r="265" spans="1:14" s="156" customFormat="1" x14ac:dyDescent="0.25">
      <c r="A265" s="156" t="s">
        <v>545</v>
      </c>
      <c r="B265" s="156" t="s">
        <v>572</v>
      </c>
      <c r="C265" s="156" t="s">
        <v>573</v>
      </c>
      <c r="D265" s="156" t="s">
        <v>543</v>
      </c>
      <c r="E265" s="179">
        <v>0</v>
      </c>
      <c r="F265" s="179">
        <v>0</v>
      </c>
      <c r="G265" s="179">
        <v>0</v>
      </c>
      <c r="H265" s="179">
        <v>0</v>
      </c>
      <c r="I265" s="179">
        <v>0</v>
      </c>
      <c r="J265" s="179">
        <v>0</v>
      </c>
      <c r="K265" s="179">
        <v>0</v>
      </c>
      <c r="L265" s="179">
        <v>0</v>
      </c>
      <c r="M265" s="179">
        <v>0</v>
      </c>
      <c r="N265" s="179">
        <v>0</v>
      </c>
    </row>
    <row r="266" spans="1:14" s="156" customFormat="1" x14ac:dyDescent="0.25">
      <c r="A266" s="156" t="s">
        <v>545</v>
      </c>
      <c r="B266" s="156" t="s">
        <v>283</v>
      </c>
      <c r="C266" s="156" t="s">
        <v>284</v>
      </c>
      <c r="D266" s="156" t="s">
        <v>543</v>
      </c>
      <c r="E266" s="179">
        <v>75000</v>
      </c>
      <c r="F266" s="179">
        <v>75000</v>
      </c>
      <c r="G266" s="179">
        <v>75000</v>
      </c>
      <c r="H266" s="179">
        <v>0</v>
      </c>
      <c r="I266" s="179">
        <v>0</v>
      </c>
      <c r="J266" s="179">
        <v>0</v>
      </c>
      <c r="K266" s="179">
        <v>0</v>
      </c>
      <c r="L266" s="179">
        <v>0</v>
      </c>
      <c r="M266" s="179">
        <v>75000</v>
      </c>
      <c r="N266" s="179">
        <v>75000</v>
      </c>
    </row>
    <row r="267" spans="1:14" s="156" customFormat="1" x14ac:dyDescent="0.25">
      <c r="A267" s="156" t="s">
        <v>545</v>
      </c>
      <c r="B267" s="156" t="s">
        <v>398</v>
      </c>
      <c r="C267" s="156" t="s">
        <v>501</v>
      </c>
      <c r="D267" s="156" t="s">
        <v>543</v>
      </c>
      <c r="E267" s="179">
        <v>29000000</v>
      </c>
      <c r="F267" s="179">
        <v>29000000</v>
      </c>
      <c r="G267" s="179">
        <v>29000000</v>
      </c>
      <c r="H267" s="179">
        <v>14000000</v>
      </c>
      <c r="I267" s="179">
        <v>14949107.58</v>
      </c>
      <c r="J267" s="179">
        <v>0</v>
      </c>
      <c r="K267" s="179">
        <v>0</v>
      </c>
      <c r="L267" s="179">
        <v>0</v>
      </c>
      <c r="M267" s="179">
        <v>50892.42</v>
      </c>
      <c r="N267" s="179">
        <v>50892.42</v>
      </c>
    </row>
    <row r="268" spans="1:14" s="156" customFormat="1" x14ac:dyDescent="0.25">
      <c r="A268" s="156" t="s">
        <v>545</v>
      </c>
      <c r="B268" s="156" t="s">
        <v>285</v>
      </c>
      <c r="C268" s="156" t="s">
        <v>286</v>
      </c>
      <c r="D268" s="156" t="s">
        <v>543</v>
      </c>
      <c r="E268" s="179">
        <v>9900000</v>
      </c>
      <c r="F268" s="179">
        <v>9900000</v>
      </c>
      <c r="G268" s="179">
        <v>9900000</v>
      </c>
      <c r="H268" s="179">
        <v>0</v>
      </c>
      <c r="I268" s="179">
        <v>0</v>
      </c>
      <c r="J268" s="179">
        <v>1119529.6200000001</v>
      </c>
      <c r="K268" s="179">
        <v>7598666.1100000003</v>
      </c>
      <c r="L268" s="179">
        <v>5363720.3099999996</v>
      </c>
      <c r="M268" s="179">
        <v>1181804.27</v>
      </c>
      <c r="N268" s="179">
        <v>1181804.27</v>
      </c>
    </row>
    <row r="269" spans="1:14" s="156" customFormat="1" x14ac:dyDescent="0.25">
      <c r="A269" s="156" t="s">
        <v>545</v>
      </c>
      <c r="B269" s="156" t="s">
        <v>287</v>
      </c>
      <c r="C269" s="156" t="s">
        <v>288</v>
      </c>
      <c r="D269" s="156" t="s">
        <v>543</v>
      </c>
      <c r="E269" s="179">
        <v>22140000</v>
      </c>
      <c r="F269" s="179">
        <v>22140000</v>
      </c>
      <c r="G269" s="179">
        <v>22140000</v>
      </c>
      <c r="H269" s="179">
        <v>0</v>
      </c>
      <c r="I269" s="179">
        <v>10027242.720000001</v>
      </c>
      <c r="J269" s="179">
        <v>421928.76</v>
      </c>
      <c r="K269" s="179">
        <v>10160460.880000001</v>
      </c>
      <c r="L269" s="179">
        <v>9541890</v>
      </c>
      <c r="M269" s="179">
        <v>1530367.64</v>
      </c>
      <c r="N269" s="179">
        <v>1530367.64</v>
      </c>
    </row>
    <row r="270" spans="1:14" s="156" customFormat="1" x14ac:dyDescent="0.25">
      <c r="A270" s="156" t="s">
        <v>545</v>
      </c>
      <c r="B270" s="156" t="s">
        <v>289</v>
      </c>
      <c r="C270" s="156" t="s">
        <v>290</v>
      </c>
      <c r="D270" s="156" t="s">
        <v>543</v>
      </c>
      <c r="E270" s="179">
        <v>142070000</v>
      </c>
      <c r="F270" s="179">
        <v>142070000</v>
      </c>
      <c r="G270" s="179">
        <v>142070000</v>
      </c>
      <c r="H270" s="179">
        <v>0</v>
      </c>
      <c r="I270" s="179">
        <v>14246302.449999999</v>
      </c>
      <c r="J270" s="179">
        <v>0</v>
      </c>
      <c r="K270" s="179">
        <v>121580417.16</v>
      </c>
      <c r="L270" s="179">
        <v>118303700.08</v>
      </c>
      <c r="M270" s="179">
        <v>6243280.3899999997</v>
      </c>
      <c r="N270" s="179">
        <v>6243280.3899999997</v>
      </c>
    </row>
    <row r="271" spans="1:14" s="156" customFormat="1" x14ac:dyDescent="0.25">
      <c r="A271" s="156" t="s">
        <v>545</v>
      </c>
      <c r="B271" s="156" t="s">
        <v>291</v>
      </c>
      <c r="C271" s="156" t="s">
        <v>292</v>
      </c>
      <c r="D271" s="156" t="s">
        <v>543</v>
      </c>
      <c r="E271" s="179">
        <v>400000</v>
      </c>
      <c r="F271" s="179">
        <v>400000</v>
      </c>
      <c r="G271" s="179">
        <v>400000</v>
      </c>
      <c r="H271" s="179">
        <v>100000</v>
      </c>
      <c r="I271" s="179">
        <v>0</v>
      </c>
      <c r="J271" s="179">
        <v>0</v>
      </c>
      <c r="K271" s="179">
        <v>278200</v>
      </c>
      <c r="L271" s="179">
        <v>278200</v>
      </c>
      <c r="M271" s="179">
        <v>21800</v>
      </c>
      <c r="N271" s="179">
        <v>21800</v>
      </c>
    </row>
    <row r="272" spans="1:14" s="156" customFormat="1" x14ac:dyDescent="0.25">
      <c r="A272" s="156" t="s">
        <v>545</v>
      </c>
      <c r="B272" s="156" t="s">
        <v>295</v>
      </c>
      <c r="C272" s="156" t="s">
        <v>296</v>
      </c>
      <c r="D272" s="156" t="s">
        <v>543</v>
      </c>
      <c r="E272" s="179">
        <v>5600000</v>
      </c>
      <c r="F272" s="179">
        <v>5600000</v>
      </c>
      <c r="G272" s="179">
        <v>5600000</v>
      </c>
      <c r="H272" s="179">
        <v>0</v>
      </c>
      <c r="I272" s="179">
        <v>0</v>
      </c>
      <c r="J272" s="179">
        <v>0</v>
      </c>
      <c r="K272" s="179">
        <v>5083182.16</v>
      </c>
      <c r="L272" s="179">
        <v>5083182.16</v>
      </c>
      <c r="M272" s="179">
        <v>516817.84</v>
      </c>
      <c r="N272" s="179">
        <v>516817.84</v>
      </c>
    </row>
    <row r="273" spans="1:14" s="156" customFormat="1" x14ac:dyDescent="0.25">
      <c r="A273" s="156" t="s">
        <v>545</v>
      </c>
      <c r="B273" s="156" t="s">
        <v>299</v>
      </c>
      <c r="C273" s="156" t="s">
        <v>300</v>
      </c>
      <c r="D273" s="156" t="s">
        <v>543</v>
      </c>
      <c r="E273" s="179">
        <v>180000000</v>
      </c>
      <c r="F273" s="179">
        <v>165000000</v>
      </c>
      <c r="G273" s="179">
        <v>165000000</v>
      </c>
      <c r="H273" s="179">
        <v>2500000</v>
      </c>
      <c r="I273" s="179">
        <v>42022010.280000001</v>
      </c>
      <c r="J273" s="179">
        <v>11097353.720000001</v>
      </c>
      <c r="K273" s="179">
        <v>34934014.909999996</v>
      </c>
      <c r="L273" s="179">
        <v>34934014.909999996</v>
      </c>
      <c r="M273" s="179">
        <v>74446621.090000004</v>
      </c>
      <c r="N273" s="179">
        <v>74446621.090000004</v>
      </c>
    </row>
    <row r="274" spans="1:14" s="156" customFormat="1" x14ac:dyDescent="0.25">
      <c r="A274" s="156" t="s">
        <v>545</v>
      </c>
      <c r="B274" s="156" t="s">
        <v>342</v>
      </c>
      <c r="C274" s="156" t="s">
        <v>343</v>
      </c>
      <c r="D274" s="156" t="s">
        <v>543</v>
      </c>
      <c r="E274" s="179">
        <v>52250000</v>
      </c>
      <c r="F274" s="179">
        <v>52250000</v>
      </c>
      <c r="G274" s="179">
        <v>52250000</v>
      </c>
      <c r="H274" s="179">
        <v>13145628.630000001</v>
      </c>
      <c r="I274" s="179">
        <v>731244.15</v>
      </c>
      <c r="J274" s="179">
        <v>1862349.58</v>
      </c>
      <c r="K274" s="179">
        <v>33968050.840000004</v>
      </c>
      <c r="L274" s="179">
        <v>30599752.34</v>
      </c>
      <c r="M274" s="179">
        <v>2542726.7999999998</v>
      </c>
      <c r="N274" s="179">
        <v>2542726.7999999998</v>
      </c>
    </row>
    <row r="275" spans="1:14" s="156" customFormat="1" x14ac:dyDescent="0.25">
      <c r="A275" s="156" t="s">
        <v>545</v>
      </c>
      <c r="B275" s="156" t="s">
        <v>94</v>
      </c>
      <c r="C275" s="156" t="s">
        <v>95</v>
      </c>
      <c r="D275" s="156" t="s">
        <v>541</v>
      </c>
      <c r="E275" s="179">
        <v>3269433000</v>
      </c>
      <c r="F275" s="179">
        <v>2952648960</v>
      </c>
      <c r="G275" s="179">
        <v>2952648960</v>
      </c>
      <c r="H275" s="179">
        <v>0</v>
      </c>
      <c r="I275" s="179">
        <v>0</v>
      </c>
      <c r="J275" s="179">
        <v>0</v>
      </c>
      <c r="K275" s="179">
        <v>2551959085.29</v>
      </c>
      <c r="L275" s="179">
        <v>2551959085.29</v>
      </c>
      <c r="M275" s="179">
        <v>400689874.70999998</v>
      </c>
      <c r="N275" s="179">
        <v>400689874.70999998</v>
      </c>
    </row>
    <row r="276" spans="1:14" s="156" customFormat="1" x14ac:dyDescent="0.25">
      <c r="A276" s="156" t="s">
        <v>545</v>
      </c>
      <c r="B276" s="156" t="s">
        <v>98</v>
      </c>
      <c r="C276" s="156" t="s">
        <v>99</v>
      </c>
      <c r="D276" s="156" t="s">
        <v>541</v>
      </c>
      <c r="E276" s="179">
        <v>14000000</v>
      </c>
      <c r="F276" s="179">
        <v>11084920</v>
      </c>
      <c r="G276" s="179">
        <v>11084920</v>
      </c>
      <c r="H276" s="179">
        <v>0</v>
      </c>
      <c r="I276" s="179">
        <v>0</v>
      </c>
      <c r="J276" s="179">
        <v>0</v>
      </c>
      <c r="K276" s="179">
        <v>8332416.8700000001</v>
      </c>
      <c r="L276" s="179">
        <v>8332416.8700000001</v>
      </c>
      <c r="M276" s="179">
        <v>2752503.13</v>
      </c>
      <c r="N276" s="179">
        <v>2752503.13</v>
      </c>
    </row>
    <row r="277" spans="1:14" s="156" customFormat="1" x14ac:dyDescent="0.25">
      <c r="A277" s="156" t="s">
        <v>545</v>
      </c>
      <c r="B277" s="156" t="s">
        <v>102</v>
      </c>
      <c r="C277" s="156" t="s">
        <v>103</v>
      </c>
      <c r="D277" s="156" t="s">
        <v>541</v>
      </c>
      <c r="E277" s="179">
        <v>4603320000</v>
      </c>
      <c r="F277" s="179">
        <v>4303943922</v>
      </c>
      <c r="G277" s="179">
        <v>4303943922</v>
      </c>
      <c r="H277" s="179">
        <v>0</v>
      </c>
      <c r="I277" s="179">
        <v>0</v>
      </c>
      <c r="J277" s="179">
        <v>0</v>
      </c>
      <c r="K277" s="179">
        <v>3280380563.8899999</v>
      </c>
      <c r="L277" s="179">
        <v>3280380563.8899999</v>
      </c>
      <c r="M277" s="179">
        <v>1023563358.11</v>
      </c>
      <c r="N277" s="179">
        <v>1023563358.11</v>
      </c>
    </row>
    <row r="278" spans="1:14" s="156" customFormat="1" x14ac:dyDescent="0.25">
      <c r="A278" s="156" t="s">
        <v>545</v>
      </c>
      <c r="B278" s="156" t="s">
        <v>114</v>
      </c>
      <c r="C278" s="156" t="s">
        <v>115</v>
      </c>
      <c r="D278" s="156" t="s">
        <v>541</v>
      </c>
      <c r="E278" s="179">
        <v>711764000</v>
      </c>
      <c r="F278" s="179">
        <v>666572146</v>
      </c>
      <c r="G278" s="179">
        <v>666572146</v>
      </c>
      <c r="H278" s="179">
        <v>0</v>
      </c>
      <c r="I278" s="179">
        <v>100919262</v>
      </c>
      <c r="J278" s="179">
        <v>0</v>
      </c>
      <c r="K278" s="179">
        <v>565652884</v>
      </c>
      <c r="L278" s="179">
        <v>565652884</v>
      </c>
      <c r="M278" s="179">
        <v>0</v>
      </c>
      <c r="N278" s="179">
        <v>0</v>
      </c>
    </row>
    <row r="279" spans="1:14" s="156" customFormat="1" x14ac:dyDescent="0.25">
      <c r="A279" s="156" t="s">
        <v>545</v>
      </c>
      <c r="B279" s="156" t="s">
        <v>118</v>
      </c>
      <c r="C279" s="156" t="s">
        <v>119</v>
      </c>
      <c r="D279" s="156" t="s">
        <v>541</v>
      </c>
      <c r="E279" s="179">
        <v>699355000</v>
      </c>
      <c r="F279" s="179">
        <v>645125463</v>
      </c>
      <c r="G279" s="179">
        <v>645125463</v>
      </c>
      <c r="H279" s="179">
        <v>0</v>
      </c>
      <c r="I279" s="179">
        <v>103926566</v>
      </c>
      <c r="J279" s="179">
        <v>0</v>
      </c>
      <c r="K279" s="179">
        <v>541198897</v>
      </c>
      <c r="L279" s="179">
        <v>541198897</v>
      </c>
      <c r="M279" s="179">
        <v>0</v>
      </c>
      <c r="N279" s="179">
        <v>0</v>
      </c>
    </row>
    <row r="280" spans="1:14" s="156" customFormat="1" x14ac:dyDescent="0.25">
      <c r="A280" s="156" t="s">
        <v>545</v>
      </c>
      <c r="B280" s="156" t="s">
        <v>125</v>
      </c>
      <c r="C280" s="156" t="s">
        <v>126</v>
      </c>
      <c r="D280" s="156" t="s">
        <v>541</v>
      </c>
      <c r="E280" s="179">
        <v>451324000</v>
      </c>
      <c r="F280" s="179">
        <v>318174000</v>
      </c>
      <c r="G280" s="179">
        <v>318174000</v>
      </c>
      <c r="H280" s="179">
        <v>0</v>
      </c>
      <c r="I280" s="179">
        <v>32871817.5</v>
      </c>
      <c r="J280" s="179">
        <v>0</v>
      </c>
      <c r="K280" s="179">
        <v>231107467.13999999</v>
      </c>
      <c r="L280" s="179">
        <v>201268262.59</v>
      </c>
      <c r="M280" s="179">
        <v>54194715.359999999</v>
      </c>
      <c r="N280" s="179">
        <v>54194715.359999999</v>
      </c>
    </row>
    <row r="281" spans="1:14" s="156" customFormat="1" x14ac:dyDescent="0.25">
      <c r="A281" s="156" t="s">
        <v>545</v>
      </c>
      <c r="B281" s="156" t="s">
        <v>131</v>
      </c>
      <c r="C281" s="156" t="s">
        <v>132</v>
      </c>
      <c r="D281" s="156" t="s">
        <v>541</v>
      </c>
      <c r="E281" s="179">
        <v>152420000</v>
      </c>
      <c r="F281" s="179">
        <v>131420000</v>
      </c>
      <c r="G281" s="179">
        <v>131420000</v>
      </c>
      <c r="H281" s="179">
        <v>0</v>
      </c>
      <c r="I281" s="179">
        <v>27806653.48</v>
      </c>
      <c r="J281" s="179">
        <v>0</v>
      </c>
      <c r="K281" s="179">
        <v>88146036.939999998</v>
      </c>
      <c r="L281" s="179">
        <v>74269158.120000005</v>
      </c>
      <c r="M281" s="179">
        <v>15467309.58</v>
      </c>
      <c r="N281" s="179">
        <v>15467309.58</v>
      </c>
    </row>
    <row r="282" spans="1:14" s="156" customFormat="1" x14ac:dyDescent="0.25">
      <c r="A282" s="156" t="s">
        <v>545</v>
      </c>
      <c r="B282" s="156" t="s">
        <v>143</v>
      </c>
      <c r="C282" s="156" t="s">
        <v>144</v>
      </c>
      <c r="D282" s="156" t="s">
        <v>541</v>
      </c>
      <c r="E282" s="179">
        <v>49449000</v>
      </c>
      <c r="F282" s="179">
        <v>9449000</v>
      </c>
      <c r="G282" s="179">
        <v>9449000</v>
      </c>
      <c r="H282" s="179">
        <v>0</v>
      </c>
      <c r="I282" s="179">
        <v>4250690.92</v>
      </c>
      <c r="J282" s="179">
        <v>0</v>
      </c>
      <c r="K282" s="179">
        <v>1313402.3799999999</v>
      </c>
      <c r="L282" s="179">
        <v>1296121.28</v>
      </c>
      <c r="M282" s="179">
        <v>3884906.7</v>
      </c>
      <c r="N282" s="179">
        <v>3884906.7</v>
      </c>
    </row>
    <row r="283" spans="1:14" s="156" customFormat="1" x14ac:dyDescent="0.25">
      <c r="A283" s="156" t="s">
        <v>545</v>
      </c>
      <c r="B283" s="156" t="s">
        <v>151</v>
      </c>
      <c r="C283" s="156" t="s">
        <v>152</v>
      </c>
      <c r="D283" s="156" t="s">
        <v>541</v>
      </c>
      <c r="E283" s="179">
        <v>508035000</v>
      </c>
      <c r="F283" s="179">
        <v>747035000</v>
      </c>
      <c r="G283" s="179">
        <v>747035000</v>
      </c>
      <c r="H283" s="179">
        <v>0</v>
      </c>
      <c r="I283" s="179">
        <v>69143986.359999999</v>
      </c>
      <c r="J283" s="179">
        <v>7355430.0499999998</v>
      </c>
      <c r="K283" s="179">
        <v>323493029.25999999</v>
      </c>
      <c r="L283" s="179">
        <v>242418484.71000001</v>
      </c>
      <c r="M283" s="179">
        <v>347042554.32999998</v>
      </c>
      <c r="N283" s="179">
        <v>347042554.32999998</v>
      </c>
    </row>
    <row r="284" spans="1:14" s="156" customFormat="1" x14ac:dyDescent="0.25">
      <c r="A284" s="156" t="s">
        <v>545</v>
      </c>
      <c r="B284" s="156" t="s">
        <v>158</v>
      </c>
      <c r="C284" s="156" t="s">
        <v>159</v>
      </c>
      <c r="D284" s="156" t="s">
        <v>541</v>
      </c>
      <c r="E284" s="179">
        <v>44950000</v>
      </c>
      <c r="F284" s="179">
        <v>44271205</v>
      </c>
      <c r="G284" s="179">
        <v>44271205</v>
      </c>
      <c r="H284" s="179">
        <v>0</v>
      </c>
      <c r="I284" s="179">
        <v>8733199.4600000009</v>
      </c>
      <c r="J284" s="179">
        <v>0</v>
      </c>
      <c r="K284" s="179">
        <v>31206639.559999999</v>
      </c>
      <c r="L284" s="179">
        <v>30980539.559999999</v>
      </c>
      <c r="M284" s="179">
        <v>4331365.9800000004</v>
      </c>
      <c r="N284" s="179">
        <v>4331365.9800000004</v>
      </c>
    </row>
    <row r="285" spans="1:14" s="156" customFormat="1" x14ac:dyDescent="0.25">
      <c r="A285" s="156" t="s">
        <v>545</v>
      </c>
      <c r="B285" s="156" t="s">
        <v>168</v>
      </c>
      <c r="C285" s="156" t="s">
        <v>169</v>
      </c>
      <c r="D285" s="156" t="s">
        <v>541</v>
      </c>
      <c r="E285" s="179">
        <v>91000000</v>
      </c>
      <c r="F285" s="179">
        <v>91000000</v>
      </c>
      <c r="G285" s="179">
        <v>91000000</v>
      </c>
      <c r="H285" s="179">
        <v>0</v>
      </c>
      <c r="I285" s="179">
        <v>627083</v>
      </c>
      <c r="J285" s="179">
        <v>0</v>
      </c>
      <c r="K285" s="179">
        <v>49119446</v>
      </c>
      <c r="L285" s="179">
        <v>26866432</v>
      </c>
      <c r="M285" s="179">
        <v>41253471</v>
      </c>
      <c r="N285" s="179">
        <v>41253471</v>
      </c>
    </row>
    <row r="286" spans="1:14" s="156" customFormat="1" x14ac:dyDescent="0.25">
      <c r="A286" s="156" t="s">
        <v>545</v>
      </c>
      <c r="B286" s="156" t="s">
        <v>172</v>
      </c>
      <c r="C286" s="156" t="s">
        <v>173</v>
      </c>
      <c r="D286" s="156" t="s">
        <v>541</v>
      </c>
      <c r="E286" s="179">
        <v>6000000</v>
      </c>
      <c r="F286" s="179">
        <v>6000000</v>
      </c>
      <c r="G286" s="179">
        <v>6000000</v>
      </c>
      <c r="H286" s="179">
        <v>0</v>
      </c>
      <c r="I286" s="179">
        <v>3775000</v>
      </c>
      <c r="J286" s="179">
        <v>0</v>
      </c>
      <c r="K286" s="179">
        <v>2224561</v>
      </c>
      <c r="L286" s="179">
        <v>954561</v>
      </c>
      <c r="M286" s="179">
        <v>439</v>
      </c>
      <c r="N286" s="179">
        <v>439</v>
      </c>
    </row>
    <row r="287" spans="1:14" s="156" customFormat="1" x14ac:dyDescent="0.25">
      <c r="A287" s="156" t="s">
        <v>545</v>
      </c>
      <c r="B287" s="156" t="s">
        <v>178</v>
      </c>
      <c r="C287" s="156" t="s">
        <v>179</v>
      </c>
      <c r="D287" s="156" t="s">
        <v>541</v>
      </c>
      <c r="E287" s="179">
        <v>113272000</v>
      </c>
      <c r="F287" s="179">
        <v>98272000</v>
      </c>
      <c r="G287" s="179">
        <v>98272000</v>
      </c>
      <c r="H287" s="179">
        <v>8000000</v>
      </c>
      <c r="I287" s="179">
        <v>20018445.82</v>
      </c>
      <c r="J287" s="179">
        <v>1998870.95</v>
      </c>
      <c r="K287" s="179">
        <v>34574345.880000003</v>
      </c>
      <c r="L287" s="179">
        <v>30639376.940000001</v>
      </c>
      <c r="M287" s="179">
        <v>33680337.350000001</v>
      </c>
      <c r="N287" s="179">
        <v>33680337.350000001</v>
      </c>
    </row>
    <row r="288" spans="1:14" s="156" customFormat="1" x14ac:dyDescent="0.25">
      <c r="A288" s="156" t="s">
        <v>545</v>
      </c>
      <c r="B288" s="156" t="s">
        <v>192</v>
      </c>
      <c r="C288" s="156" t="s">
        <v>193</v>
      </c>
      <c r="D288" s="156" t="s">
        <v>541</v>
      </c>
      <c r="E288" s="179">
        <v>1550000</v>
      </c>
      <c r="F288" s="179">
        <v>1550000</v>
      </c>
      <c r="G288" s="179">
        <v>1550000</v>
      </c>
      <c r="H288" s="179">
        <v>0</v>
      </c>
      <c r="I288" s="179">
        <v>24400</v>
      </c>
      <c r="J288" s="179">
        <v>0</v>
      </c>
      <c r="K288" s="179">
        <v>600</v>
      </c>
      <c r="L288" s="179">
        <v>600</v>
      </c>
      <c r="M288" s="179">
        <v>1525000</v>
      </c>
      <c r="N288" s="179">
        <v>1525000</v>
      </c>
    </row>
    <row r="289" spans="1:14" s="156" customFormat="1" x14ac:dyDescent="0.25">
      <c r="A289" s="156" t="s">
        <v>545</v>
      </c>
      <c r="B289" s="156" t="s">
        <v>196</v>
      </c>
      <c r="C289" s="156" t="s">
        <v>197</v>
      </c>
      <c r="D289" s="156" t="s">
        <v>541</v>
      </c>
      <c r="E289" s="179">
        <v>2150000</v>
      </c>
      <c r="F289" s="179">
        <v>2150000</v>
      </c>
      <c r="G289" s="179">
        <v>2150000</v>
      </c>
      <c r="H289" s="179">
        <v>0</v>
      </c>
      <c r="I289" s="179">
        <v>33857.78</v>
      </c>
      <c r="J289" s="179">
        <v>0</v>
      </c>
      <c r="K289" s="179">
        <v>150000</v>
      </c>
      <c r="L289" s="179">
        <v>150000</v>
      </c>
      <c r="M289" s="179">
        <v>1966142.22</v>
      </c>
      <c r="N289" s="179">
        <v>1966142.22</v>
      </c>
    </row>
    <row r="290" spans="1:14" s="156" customFormat="1" x14ac:dyDescent="0.25">
      <c r="A290" s="156" t="s">
        <v>545</v>
      </c>
      <c r="B290" s="156" t="s">
        <v>202</v>
      </c>
      <c r="C290" s="156" t="s">
        <v>203</v>
      </c>
      <c r="D290" s="156" t="s">
        <v>541</v>
      </c>
      <c r="E290" s="179">
        <v>55950000</v>
      </c>
      <c r="F290" s="179">
        <v>33743000</v>
      </c>
      <c r="G290" s="179">
        <v>33743000</v>
      </c>
      <c r="H290" s="179">
        <v>0</v>
      </c>
      <c r="I290" s="179">
        <v>2535174.75</v>
      </c>
      <c r="J290" s="179">
        <v>0</v>
      </c>
      <c r="K290" s="179">
        <v>17786465.07</v>
      </c>
      <c r="L290" s="179">
        <v>17786465.07</v>
      </c>
      <c r="M290" s="179">
        <v>13421360.18</v>
      </c>
      <c r="N290" s="179">
        <v>13421360.18</v>
      </c>
    </row>
    <row r="291" spans="1:14" s="156" customFormat="1" x14ac:dyDescent="0.25">
      <c r="A291" s="156" t="s">
        <v>545</v>
      </c>
      <c r="B291" s="156" t="s">
        <v>216</v>
      </c>
      <c r="C291" s="156" t="s">
        <v>217</v>
      </c>
      <c r="D291" s="156" t="s">
        <v>541</v>
      </c>
      <c r="E291" s="179">
        <v>3275000</v>
      </c>
      <c r="F291" s="179">
        <v>3275000</v>
      </c>
      <c r="G291" s="179">
        <v>3275000</v>
      </c>
      <c r="H291" s="179">
        <v>270875</v>
      </c>
      <c r="I291" s="179">
        <v>1597927</v>
      </c>
      <c r="J291" s="179">
        <v>75487</v>
      </c>
      <c r="K291" s="179">
        <v>25950</v>
      </c>
      <c r="L291" s="179">
        <v>25950</v>
      </c>
      <c r="M291" s="179">
        <v>1304761</v>
      </c>
      <c r="N291" s="179">
        <v>1304761</v>
      </c>
    </row>
    <row r="292" spans="1:14" s="156" customFormat="1" x14ac:dyDescent="0.25">
      <c r="A292" s="156" t="s">
        <v>545</v>
      </c>
      <c r="B292" s="156" t="s">
        <v>228</v>
      </c>
      <c r="C292" s="156" t="s">
        <v>229</v>
      </c>
      <c r="D292" s="156" t="s">
        <v>541</v>
      </c>
      <c r="E292" s="179">
        <v>956000</v>
      </c>
      <c r="F292" s="179">
        <v>1956000</v>
      </c>
      <c r="G292" s="179">
        <v>1956000</v>
      </c>
      <c r="H292" s="179">
        <v>15005</v>
      </c>
      <c r="I292" s="179">
        <v>700560.96</v>
      </c>
      <c r="J292" s="179">
        <v>0</v>
      </c>
      <c r="K292" s="179">
        <v>787930.24</v>
      </c>
      <c r="L292" s="179">
        <v>582830.24</v>
      </c>
      <c r="M292" s="179">
        <v>452503.8</v>
      </c>
      <c r="N292" s="179">
        <v>452503.8</v>
      </c>
    </row>
    <row r="293" spans="1:14" s="156" customFormat="1" x14ac:dyDescent="0.25">
      <c r="A293" s="156" t="s">
        <v>545</v>
      </c>
      <c r="B293" s="156" t="s">
        <v>234</v>
      </c>
      <c r="C293" s="156" t="s">
        <v>624</v>
      </c>
      <c r="D293" s="156" t="s">
        <v>541</v>
      </c>
      <c r="E293" s="179">
        <v>40151000</v>
      </c>
      <c r="F293" s="179">
        <v>25051000</v>
      </c>
      <c r="G293" s="179">
        <v>25051000</v>
      </c>
      <c r="H293" s="179">
        <v>3025746</v>
      </c>
      <c r="I293" s="179">
        <v>3714940</v>
      </c>
      <c r="J293" s="179">
        <v>55687.5</v>
      </c>
      <c r="K293" s="179">
        <v>15704952.65</v>
      </c>
      <c r="L293" s="179">
        <v>11741346.65</v>
      </c>
      <c r="M293" s="179">
        <v>2549673.85</v>
      </c>
      <c r="N293" s="179">
        <v>2549673.85</v>
      </c>
    </row>
    <row r="294" spans="1:14" s="156" customFormat="1" x14ac:dyDescent="0.25">
      <c r="A294" s="156" t="s">
        <v>545</v>
      </c>
      <c r="B294" s="156" t="s">
        <v>253</v>
      </c>
      <c r="C294" s="156" t="s">
        <v>254</v>
      </c>
      <c r="D294" s="156" t="s">
        <v>541</v>
      </c>
      <c r="E294" s="179">
        <v>60592000</v>
      </c>
      <c r="F294" s="179">
        <v>59176836</v>
      </c>
      <c r="G294" s="179">
        <v>59176836</v>
      </c>
      <c r="H294" s="179">
        <v>0</v>
      </c>
      <c r="I294" s="179">
        <v>2332112.89</v>
      </c>
      <c r="J294" s="179">
        <v>0</v>
      </c>
      <c r="K294" s="179">
        <v>56844723.109999999</v>
      </c>
      <c r="L294" s="179">
        <v>56844723.109999999</v>
      </c>
      <c r="M294" s="179">
        <v>0</v>
      </c>
      <c r="N294" s="179">
        <v>0</v>
      </c>
    </row>
    <row r="295" spans="1:14" s="156" customFormat="1" x14ac:dyDescent="0.25">
      <c r="A295" s="156" t="s">
        <v>545</v>
      </c>
      <c r="B295" s="156" t="s">
        <v>261</v>
      </c>
      <c r="C295" s="156" t="s">
        <v>262</v>
      </c>
      <c r="D295" s="156" t="s">
        <v>541</v>
      </c>
      <c r="E295" s="179">
        <v>148500000</v>
      </c>
      <c r="F295" s="179">
        <v>159635400</v>
      </c>
      <c r="G295" s="179">
        <v>159635400</v>
      </c>
      <c r="H295" s="179">
        <v>0</v>
      </c>
      <c r="I295" s="179">
        <v>0</v>
      </c>
      <c r="J295" s="179">
        <v>0</v>
      </c>
      <c r="K295" s="179">
        <v>86593480.590000004</v>
      </c>
      <c r="L295" s="179">
        <v>86593480.590000004</v>
      </c>
      <c r="M295" s="179">
        <v>73041919.409999996</v>
      </c>
      <c r="N295" s="179">
        <v>73041919.409999996</v>
      </c>
    </row>
    <row r="296" spans="1:14" s="156" customFormat="1" x14ac:dyDescent="0.25">
      <c r="A296" s="156" t="s">
        <v>545</v>
      </c>
      <c r="B296" s="156" t="s">
        <v>267</v>
      </c>
      <c r="C296" s="156" t="s">
        <v>268</v>
      </c>
      <c r="D296" s="156" t="s">
        <v>541</v>
      </c>
      <c r="E296" s="179">
        <v>3000000</v>
      </c>
      <c r="F296" s="179">
        <v>3000000</v>
      </c>
      <c r="G296" s="179">
        <v>3000000</v>
      </c>
      <c r="H296" s="179">
        <v>0</v>
      </c>
      <c r="I296" s="179">
        <v>661659.81999999995</v>
      </c>
      <c r="J296" s="179">
        <v>0</v>
      </c>
      <c r="K296" s="179">
        <v>0</v>
      </c>
      <c r="L296" s="179">
        <v>0</v>
      </c>
      <c r="M296" s="179">
        <v>2338340.1800000002</v>
      </c>
      <c r="N296" s="179">
        <v>2338340.1800000002</v>
      </c>
    </row>
    <row r="297" spans="1:14" s="156" customFormat="1" x14ac:dyDescent="0.25">
      <c r="A297" s="156" t="s">
        <v>545</v>
      </c>
      <c r="B297" s="156" t="s">
        <v>574</v>
      </c>
      <c r="C297" s="156" t="s">
        <v>575</v>
      </c>
      <c r="D297" s="156" t="s">
        <v>541</v>
      </c>
      <c r="E297" s="179">
        <v>0</v>
      </c>
      <c r="F297" s="179">
        <v>0</v>
      </c>
      <c r="G297" s="179">
        <v>0</v>
      </c>
      <c r="H297" s="179">
        <v>0</v>
      </c>
      <c r="I297" s="179">
        <v>0</v>
      </c>
      <c r="J297" s="179">
        <v>0</v>
      </c>
      <c r="K297" s="179">
        <v>0</v>
      </c>
      <c r="L297" s="179">
        <v>0</v>
      </c>
      <c r="M297" s="179">
        <v>0</v>
      </c>
      <c r="N297" s="179">
        <v>0</v>
      </c>
    </row>
    <row r="298" spans="1:14" s="156" customFormat="1" x14ac:dyDescent="0.25">
      <c r="A298" s="156" t="s">
        <v>545</v>
      </c>
      <c r="B298" s="156" t="s">
        <v>281</v>
      </c>
      <c r="C298" s="156" t="s">
        <v>282</v>
      </c>
      <c r="D298" s="156" t="s">
        <v>543</v>
      </c>
      <c r="E298" s="179">
        <v>209185000</v>
      </c>
      <c r="F298" s="179">
        <v>209185000</v>
      </c>
      <c r="G298" s="179">
        <v>209185000</v>
      </c>
      <c r="H298" s="179">
        <v>14100000</v>
      </c>
      <c r="I298" s="179">
        <v>39222652.75</v>
      </c>
      <c r="J298" s="179">
        <v>1541458.38</v>
      </c>
      <c r="K298" s="179">
        <v>144700926.31</v>
      </c>
      <c r="L298" s="179">
        <v>138570692.55000001</v>
      </c>
      <c r="M298" s="179">
        <v>9619962.5600000005</v>
      </c>
      <c r="N298" s="179">
        <v>9619962.5600000005</v>
      </c>
    </row>
    <row r="299" spans="1:14" s="156" customFormat="1" x14ac:dyDescent="0.25">
      <c r="A299" s="156" t="s">
        <v>545</v>
      </c>
      <c r="B299" s="156" t="s">
        <v>297</v>
      </c>
      <c r="C299" s="156" t="s">
        <v>298</v>
      </c>
      <c r="D299" s="156" t="s">
        <v>543</v>
      </c>
      <c r="E299" s="179">
        <v>180000000</v>
      </c>
      <c r="F299" s="179">
        <v>165000000</v>
      </c>
      <c r="G299" s="179">
        <v>165000000</v>
      </c>
      <c r="H299" s="179">
        <v>2500000</v>
      </c>
      <c r="I299" s="179">
        <v>42022010.280000001</v>
      </c>
      <c r="J299" s="179">
        <v>11097353.720000001</v>
      </c>
      <c r="K299" s="179">
        <v>34934014.909999996</v>
      </c>
      <c r="L299" s="179">
        <v>34934014.909999996</v>
      </c>
      <c r="M299" s="179">
        <v>74446621.090000004</v>
      </c>
      <c r="N299" s="179">
        <v>74446621.090000004</v>
      </c>
    </row>
    <row r="300" spans="1:14" s="156" customFormat="1" x14ac:dyDescent="0.25">
      <c r="A300" s="156" t="s">
        <v>545</v>
      </c>
      <c r="B300" s="156" t="s">
        <v>340</v>
      </c>
      <c r="C300" s="156" t="s">
        <v>341</v>
      </c>
      <c r="D300" s="156" t="s">
        <v>543</v>
      </c>
      <c r="E300" s="179">
        <v>52250000</v>
      </c>
      <c r="F300" s="179">
        <v>52250000</v>
      </c>
      <c r="G300" s="179">
        <v>52250000</v>
      </c>
      <c r="H300" s="179">
        <v>13145628.630000001</v>
      </c>
      <c r="I300" s="179">
        <v>731244.15</v>
      </c>
      <c r="J300" s="179">
        <v>1862349.58</v>
      </c>
      <c r="K300" s="179">
        <v>33968050.840000004</v>
      </c>
      <c r="L300" s="179">
        <v>30599752.34</v>
      </c>
      <c r="M300" s="179">
        <v>2542726.7999999998</v>
      </c>
      <c r="N300" s="179">
        <v>2542726.7999999998</v>
      </c>
    </row>
    <row r="301" spans="1:14" s="156" customFormat="1" x14ac:dyDescent="0.25">
      <c r="A301" s="156" t="s">
        <v>545</v>
      </c>
      <c r="B301" s="156" t="s">
        <v>92</v>
      </c>
      <c r="C301" s="156" t="s">
        <v>93</v>
      </c>
      <c r="D301" s="156" t="s">
        <v>541</v>
      </c>
      <c r="E301" s="179">
        <v>9297872000</v>
      </c>
      <c r="F301" s="179">
        <v>8579375411</v>
      </c>
      <c r="G301" s="179">
        <v>8579375411</v>
      </c>
      <c r="H301" s="179">
        <v>0</v>
      </c>
      <c r="I301" s="179">
        <v>204845828</v>
      </c>
      <c r="J301" s="179">
        <v>0</v>
      </c>
      <c r="K301" s="179">
        <v>6947523847.0500002</v>
      </c>
      <c r="L301" s="179">
        <v>6947523847.0500002</v>
      </c>
      <c r="M301" s="179">
        <v>1427005735.95</v>
      </c>
      <c r="N301" s="179">
        <v>1427005735.95</v>
      </c>
    </row>
    <row r="302" spans="1:14" s="156" customFormat="1" x14ac:dyDescent="0.25">
      <c r="A302" s="156" t="s">
        <v>545</v>
      </c>
      <c r="B302" s="156" t="s">
        <v>123</v>
      </c>
      <c r="C302" s="156" t="s">
        <v>124</v>
      </c>
      <c r="D302" s="156" t="s">
        <v>541</v>
      </c>
      <c r="E302" s="179">
        <v>1420150000</v>
      </c>
      <c r="F302" s="179">
        <v>1449321205</v>
      </c>
      <c r="G302" s="179">
        <v>1449321205</v>
      </c>
      <c r="H302" s="179">
        <v>8000000</v>
      </c>
      <c r="I302" s="179">
        <v>167285134.31999999</v>
      </c>
      <c r="J302" s="179">
        <v>9354301</v>
      </c>
      <c r="K302" s="179">
        <v>761335528.15999997</v>
      </c>
      <c r="L302" s="179">
        <v>608843536.20000005</v>
      </c>
      <c r="M302" s="179">
        <v>503346241.51999998</v>
      </c>
      <c r="N302" s="179">
        <v>503346241.51999998</v>
      </c>
    </row>
    <row r="303" spans="1:14" s="156" customFormat="1" x14ac:dyDescent="0.25">
      <c r="A303" s="156" t="s">
        <v>545</v>
      </c>
      <c r="B303" s="156" t="s">
        <v>200</v>
      </c>
      <c r="C303" s="156" t="s">
        <v>201</v>
      </c>
      <c r="D303" s="156" t="s">
        <v>541</v>
      </c>
      <c r="E303" s="179">
        <v>100332000</v>
      </c>
      <c r="F303" s="179">
        <v>64025000</v>
      </c>
      <c r="G303" s="179">
        <v>64025000</v>
      </c>
      <c r="H303" s="179">
        <v>3311626</v>
      </c>
      <c r="I303" s="179">
        <v>8548602.7100000009</v>
      </c>
      <c r="J303" s="179">
        <v>131174.5</v>
      </c>
      <c r="K303" s="179">
        <v>34305297.960000001</v>
      </c>
      <c r="L303" s="179">
        <v>30136591.960000001</v>
      </c>
      <c r="M303" s="179">
        <v>17728298.829999998</v>
      </c>
      <c r="N303" s="179">
        <v>17728298.829999998</v>
      </c>
    </row>
    <row r="304" spans="1:14" s="156" customFormat="1" x14ac:dyDescent="0.25">
      <c r="A304" s="156" t="s">
        <v>545</v>
      </c>
      <c r="B304" s="156" t="s">
        <v>251</v>
      </c>
      <c r="C304" s="156" t="s">
        <v>252</v>
      </c>
      <c r="D304" s="156" t="s">
        <v>541</v>
      </c>
      <c r="E304" s="179">
        <v>212092000</v>
      </c>
      <c r="F304" s="179">
        <v>221812236</v>
      </c>
      <c r="G304" s="179">
        <v>221812236</v>
      </c>
      <c r="H304" s="179">
        <v>0</v>
      </c>
      <c r="I304" s="179">
        <v>2993772.71</v>
      </c>
      <c r="J304" s="179">
        <v>0</v>
      </c>
      <c r="K304" s="179">
        <v>143438203.69999999</v>
      </c>
      <c r="L304" s="179">
        <v>143438203.69999999</v>
      </c>
      <c r="M304" s="179">
        <v>75380259.590000004</v>
      </c>
      <c r="N304" s="179">
        <v>75380259.590000004</v>
      </c>
    </row>
    <row r="305" spans="1:14" s="156" customFormat="1" x14ac:dyDescent="0.25">
      <c r="A305" s="156" t="s">
        <v>545</v>
      </c>
      <c r="B305" s="156" t="s">
        <v>576</v>
      </c>
      <c r="C305" s="156" t="s">
        <v>577</v>
      </c>
      <c r="D305" s="156" t="s">
        <v>541</v>
      </c>
      <c r="E305" s="179">
        <v>0</v>
      </c>
      <c r="F305" s="179">
        <v>0</v>
      </c>
      <c r="G305" s="179">
        <v>0</v>
      </c>
      <c r="H305" s="179">
        <v>0</v>
      </c>
      <c r="I305" s="179">
        <v>0</v>
      </c>
      <c r="J305" s="179">
        <v>0</v>
      </c>
      <c r="K305" s="179">
        <v>0</v>
      </c>
      <c r="L305" s="179">
        <v>0</v>
      </c>
      <c r="M305" s="179">
        <v>0</v>
      </c>
      <c r="N305" s="179">
        <v>0</v>
      </c>
    </row>
    <row r="306" spans="1:14" s="156" customFormat="1" x14ac:dyDescent="0.25">
      <c r="A306" s="156" t="s">
        <v>545</v>
      </c>
      <c r="B306" s="156" t="s">
        <v>279</v>
      </c>
      <c r="C306" s="156" t="s">
        <v>280</v>
      </c>
      <c r="D306" s="156" t="s">
        <v>543</v>
      </c>
      <c r="E306" s="179">
        <v>441435000</v>
      </c>
      <c r="F306" s="179">
        <v>426435000</v>
      </c>
      <c r="G306" s="179">
        <v>426435000</v>
      </c>
      <c r="H306" s="179">
        <v>29745628.629999999</v>
      </c>
      <c r="I306" s="179">
        <v>81975907.180000007</v>
      </c>
      <c r="J306" s="179">
        <v>14501161.68</v>
      </c>
      <c r="K306" s="179">
        <v>213602992.06</v>
      </c>
      <c r="L306" s="179">
        <v>204104459.80000001</v>
      </c>
      <c r="M306" s="179">
        <v>86609310.450000003</v>
      </c>
      <c r="N306" s="179">
        <v>86609310.450000003</v>
      </c>
    </row>
    <row r="307" spans="1:14" s="156" customFormat="1" x14ac:dyDescent="0.25">
      <c r="A307" s="156">
        <v>214781</v>
      </c>
      <c r="B307" s="156" t="s">
        <v>587</v>
      </c>
      <c r="C307" s="156" t="s">
        <v>587</v>
      </c>
      <c r="D307" s="156" t="s">
        <v>541</v>
      </c>
      <c r="E307" s="179">
        <v>11471881000</v>
      </c>
      <c r="F307" s="179">
        <v>10740968852</v>
      </c>
      <c r="G307" s="179">
        <v>10740968852</v>
      </c>
      <c r="H307" s="179">
        <v>41057254.630000003</v>
      </c>
      <c r="I307" s="179">
        <v>465649244.92000002</v>
      </c>
      <c r="J307" s="179">
        <v>23986637.18</v>
      </c>
      <c r="K307" s="179">
        <v>8100205868.9300003</v>
      </c>
      <c r="L307" s="179">
        <v>7934046638.71</v>
      </c>
      <c r="M307" s="179">
        <v>2110069846.3399999</v>
      </c>
      <c r="N307" s="179">
        <v>2110069846.3399999</v>
      </c>
    </row>
    <row r="308" spans="1:14" s="156" customFormat="1" x14ac:dyDescent="0.25">
      <c r="A308" s="156" t="s">
        <v>546</v>
      </c>
      <c r="B308" s="156" t="s">
        <v>96</v>
      </c>
      <c r="C308" s="156" t="s">
        <v>97</v>
      </c>
      <c r="D308" s="156" t="s">
        <v>541</v>
      </c>
      <c r="E308" s="179">
        <v>24786984000</v>
      </c>
      <c r="F308" s="179">
        <v>23966347328</v>
      </c>
      <c r="G308" s="179">
        <v>23966347328</v>
      </c>
      <c r="H308" s="179">
        <v>0</v>
      </c>
      <c r="I308" s="179">
        <v>0</v>
      </c>
      <c r="J308" s="179">
        <v>0</v>
      </c>
      <c r="K308" s="179">
        <v>20682944404.900002</v>
      </c>
      <c r="L308" s="179">
        <v>20682944404.900002</v>
      </c>
      <c r="M308" s="179">
        <v>3283402923.0999999</v>
      </c>
      <c r="N308" s="179">
        <v>3283402923.0999999</v>
      </c>
    </row>
    <row r="309" spans="1:14" s="156" customFormat="1" x14ac:dyDescent="0.25">
      <c r="A309" s="156" t="s">
        <v>546</v>
      </c>
      <c r="B309" s="156" t="s">
        <v>346</v>
      </c>
      <c r="C309" s="156" t="s">
        <v>347</v>
      </c>
      <c r="D309" s="156" t="s">
        <v>541</v>
      </c>
      <c r="E309" s="179">
        <v>161642000</v>
      </c>
      <c r="F309" s="179">
        <v>213161210</v>
      </c>
      <c r="G309" s="179">
        <v>213161210</v>
      </c>
      <c r="H309" s="179">
        <v>0</v>
      </c>
      <c r="I309" s="179">
        <v>0</v>
      </c>
      <c r="J309" s="179">
        <v>0</v>
      </c>
      <c r="K309" s="179">
        <v>156767071.66999999</v>
      </c>
      <c r="L309" s="179">
        <v>156767071.66999999</v>
      </c>
      <c r="M309" s="179">
        <v>56394138.329999998</v>
      </c>
      <c r="N309" s="179">
        <v>56394138.329999998</v>
      </c>
    </row>
    <row r="310" spans="1:14" s="156" customFormat="1" x14ac:dyDescent="0.25">
      <c r="A310" s="156" t="s">
        <v>546</v>
      </c>
      <c r="B310" s="156" t="s">
        <v>100</v>
      </c>
      <c r="C310" s="156" t="s">
        <v>101</v>
      </c>
      <c r="D310" s="156" t="s">
        <v>541</v>
      </c>
      <c r="E310" s="179">
        <v>10000000</v>
      </c>
      <c r="F310" s="179">
        <v>7868747</v>
      </c>
      <c r="G310" s="179">
        <v>7868747</v>
      </c>
      <c r="H310" s="179">
        <v>0</v>
      </c>
      <c r="I310" s="179">
        <v>0</v>
      </c>
      <c r="J310" s="179">
        <v>0</v>
      </c>
      <c r="K310" s="179">
        <v>7868623</v>
      </c>
      <c r="L310" s="179">
        <v>7868623</v>
      </c>
      <c r="M310" s="179">
        <v>124</v>
      </c>
      <c r="N310" s="179">
        <v>124</v>
      </c>
    </row>
    <row r="311" spans="1:14" s="156" customFormat="1" x14ac:dyDescent="0.25">
      <c r="A311" s="156" t="s">
        <v>546</v>
      </c>
      <c r="B311" s="156" t="s">
        <v>348</v>
      </c>
      <c r="C311" s="156" t="s">
        <v>349</v>
      </c>
      <c r="D311" s="156" t="s">
        <v>541</v>
      </c>
      <c r="E311" s="179">
        <v>25000000</v>
      </c>
      <c r="F311" s="179">
        <v>15000000</v>
      </c>
      <c r="G311" s="179">
        <v>15000000</v>
      </c>
      <c r="H311" s="179">
        <v>0</v>
      </c>
      <c r="I311" s="179">
        <v>0</v>
      </c>
      <c r="J311" s="179">
        <v>0</v>
      </c>
      <c r="K311" s="179">
        <v>12032690.5</v>
      </c>
      <c r="L311" s="179">
        <v>12032690.5</v>
      </c>
      <c r="M311" s="179">
        <v>2967309.5</v>
      </c>
      <c r="N311" s="179">
        <v>2967309.5</v>
      </c>
    </row>
    <row r="312" spans="1:14" s="156" customFormat="1" x14ac:dyDescent="0.25">
      <c r="A312" s="156" t="s">
        <v>546</v>
      </c>
      <c r="B312" s="156" t="s">
        <v>350</v>
      </c>
      <c r="C312" s="156" t="s">
        <v>351</v>
      </c>
      <c r="D312" s="156" t="s">
        <v>541</v>
      </c>
      <c r="E312" s="179">
        <v>3781434000</v>
      </c>
      <c r="F312" s="179">
        <v>3611434000</v>
      </c>
      <c r="G312" s="179">
        <v>3611434000</v>
      </c>
      <c r="H312" s="179">
        <v>0</v>
      </c>
      <c r="I312" s="179">
        <v>0</v>
      </c>
      <c r="J312" s="179">
        <v>0</v>
      </c>
      <c r="K312" s="179">
        <v>3235754189.02</v>
      </c>
      <c r="L312" s="179">
        <v>3235754189.02</v>
      </c>
      <c r="M312" s="179">
        <v>375679810.98000002</v>
      </c>
      <c r="N312" s="179">
        <v>375679810.98000002</v>
      </c>
    </row>
    <row r="313" spans="1:14" s="156" customFormat="1" x14ac:dyDescent="0.25">
      <c r="A313" s="156" t="s">
        <v>546</v>
      </c>
      <c r="B313" s="156" t="s">
        <v>104</v>
      </c>
      <c r="C313" s="156" t="s">
        <v>105</v>
      </c>
      <c r="D313" s="156" t="s">
        <v>541</v>
      </c>
      <c r="E313" s="179">
        <v>9975766000</v>
      </c>
      <c r="F313" s="179">
        <v>9366425097</v>
      </c>
      <c r="G313" s="179">
        <v>9366425097</v>
      </c>
      <c r="H313" s="179">
        <v>0</v>
      </c>
      <c r="I313" s="179">
        <v>0</v>
      </c>
      <c r="J313" s="179">
        <v>0</v>
      </c>
      <c r="K313" s="179">
        <v>8262370082.1499996</v>
      </c>
      <c r="L313" s="179">
        <v>8262370082.1499996</v>
      </c>
      <c r="M313" s="179">
        <v>1104055014.8499999</v>
      </c>
      <c r="N313" s="179">
        <v>1104055014.8499999</v>
      </c>
    </row>
    <row r="314" spans="1:14" s="156" customFormat="1" x14ac:dyDescent="0.25">
      <c r="A314" s="156" t="s">
        <v>546</v>
      </c>
      <c r="B314" s="156" t="s">
        <v>106</v>
      </c>
      <c r="C314" s="156" t="s">
        <v>107</v>
      </c>
      <c r="D314" s="156" t="s">
        <v>541</v>
      </c>
      <c r="E314" s="179">
        <v>3798397000</v>
      </c>
      <c r="F314" s="179">
        <v>3316397000</v>
      </c>
      <c r="G314" s="179">
        <v>3316397000</v>
      </c>
      <c r="H314" s="179">
        <v>0</v>
      </c>
      <c r="I314" s="179">
        <v>0</v>
      </c>
      <c r="J314" s="179">
        <v>0</v>
      </c>
      <c r="K314" s="179">
        <v>2914356423.8499999</v>
      </c>
      <c r="L314" s="179">
        <v>2914356423.8499999</v>
      </c>
      <c r="M314" s="179">
        <v>402040576.14999998</v>
      </c>
      <c r="N314" s="179">
        <v>402040576.14999998</v>
      </c>
    </row>
    <row r="315" spans="1:14" s="156" customFormat="1" x14ac:dyDescent="0.25">
      <c r="A315" s="156" t="s">
        <v>546</v>
      </c>
      <c r="B315" s="156" t="s">
        <v>108</v>
      </c>
      <c r="C315" s="156" t="s">
        <v>109</v>
      </c>
      <c r="D315" s="156" t="s">
        <v>541</v>
      </c>
      <c r="E315" s="179">
        <v>3597134000</v>
      </c>
      <c r="F315" s="179">
        <v>3637134000</v>
      </c>
      <c r="G315" s="179">
        <v>3637134000</v>
      </c>
      <c r="H315" s="179">
        <v>0</v>
      </c>
      <c r="I315" s="179">
        <v>0</v>
      </c>
      <c r="J315" s="179">
        <v>0</v>
      </c>
      <c r="K315" s="179">
        <v>3633912022.5700002</v>
      </c>
      <c r="L315" s="179">
        <v>3633912022.5700002</v>
      </c>
      <c r="M315" s="179">
        <v>3221977.43</v>
      </c>
      <c r="N315" s="179">
        <v>3221977.43</v>
      </c>
    </row>
    <row r="316" spans="1:14" s="156" customFormat="1" x14ac:dyDescent="0.25">
      <c r="A316" s="156" t="s">
        <v>546</v>
      </c>
      <c r="B316" s="156" t="s">
        <v>110</v>
      </c>
      <c r="C316" s="156" t="s">
        <v>111</v>
      </c>
      <c r="D316" s="156" t="s">
        <v>541</v>
      </c>
      <c r="E316" s="179">
        <v>8205917000</v>
      </c>
      <c r="F316" s="179">
        <v>7762917000</v>
      </c>
      <c r="G316" s="179">
        <v>7762917000</v>
      </c>
      <c r="H316" s="179">
        <v>0</v>
      </c>
      <c r="I316" s="179">
        <v>0</v>
      </c>
      <c r="J316" s="179">
        <v>0</v>
      </c>
      <c r="K316" s="179">
        <v>6865665186.3900003</v>
      </c>
      <c r="L316" s="179">
        <v>6865665186.3900003</v>
      </c>
      <c r="M316" s="179">
        <v>897251813.61000001</v>
      </c>
      <c r="N316" s="179">
        <v>897251813.61000001</v>
      </c>
    </row>
    <row r="317" spans="1:14" s="156" customFormat="1" x14ac:dyDescent="0.25">
      <c r="A317" s="156" t="s">
        <v>546</v>
      </c>
      <c r="B317" s="156" t="s">
        <v>112</v>
      </c>
      <c r="C317" s="156" t="s">
        <v>113</v>
      </c>
      <c r="D317" s="156" t="s">
        <v>543</v>
      </c>
      <c r="E317" s="179">
        <v>4433988000</v>
      </c>
      <c r="F317" s="179">
        <v>4225988000</v>
      </c>
      <c r="G317" s="179">
        <v>4225988000</v>
      </c>
      <c r="H317" s="179">
        <v>0</v>
      </c>
      <c r="I317" s="179">
        <v>0</v>
      </c>
      <c r="J317" s="179">
        <v>0</v>
      </c>
      <c r="K317" s="179">
        <v>2514387.31</v>
      </c>
      <c r="L317" s="179">
        <v>2514387.31</v>
      </c>
      <c r="M317" s="179">
        <v>4223473612.6900001</v>
      </c>
      <c r="N317" s="179">
        <v>4223473612.6900001</v>
      </c>
    </row>
    <row r="318" spans="1:14" s="156" customFormat="1" x14ac:dyDescent="0.25">
      <c r="A318" s="156" t="s">
        <v>546</v>
      </c>
      <c r="B318" s="156" t="s">
        <v>352</v>
      </c>
      <c r="C318" s="156" t="s">
        <v>620</v>
      </c>
      <c r="D318" s="156" t="s">
        <v>541</v>
      </c>
      <c r="E318" s="179">
        <v>5026689000</v>
      </c>
      <c r="F318" s="179">
        <v>4820585887</v>
      </c>
      <c r="G318" s="179">
        <v>4820585887</v>
      </c>
      <c r="H318" s="179">
        <v>0</v>
      </c>
      <c r="I318" s="179">
        <v>606453090</v>
      </c>
      <c r="J318" s="179">
        <v>0</v>
      </c>
      <c r="K318" s="179">
        <v>4214132797</v>
      </c>
      <c r="L318" s="179">
        <v>4214132797</v>
      </c>
      <c r="M318" s="179">
        <v>0</v>
      </c>
      <c r="N318" s="179">
        <v>0</v>
      </c>
    </row>
    <row r="319" spans="1:14" s="156" customFormat="1" x14ac:dyDescent="0.25">
      <c r="A319" s="156" t="s">
        <v>546</v>
      </c>
      <c r="B319" s="156" t="s">
        <v>353</v>
      </c>
      <c r="C319" s="156" t="s">
        <v>583</v>
      </c>
      <c r="D319" s="156" t="s">
        <v>541</v>
      </c>
      <c r="E319" s="179">
        <v>271714000</v>
      </c>
      <c r="F319" s="179">
        <v>260594913</v>
      </c>
      <c r="G319" s="179">
        <v>260594913</v>
      </c>
      <c r="H319" s="179">
        <v>0</v>
      </c>
      <c r="I319" s="179">
        <v>32833239</v>
      </c>
      <c r="J319" s="179">
        <v>0</v>
      </c>
      <c r="K319" s="179">
        <v>227761674</v>
      </c>
      <c r="L319" s="179">
        <v>227761674</v>
      </c>
      <c r="M319" s="179">
        <v>0</v>
      </c>
      <c r="N319" s="179">
        <v>0</v>
      </c>
    </row>
    <row r="320" spans="1:14" s="156" customFormat="1" x14ac:dyDescent="0.25">
      <c r="A320" s="156" t="s">
        <v>546</v>
      </c>
      <c r="B320" s="156" t="s">
        <v>354</v>
      </c>
      <c r="C320" s="156" t="s">
        <v>621</v>
      </c>
      <c r="D320" s="156" t="s">
        <v>541</v>
      </c>
      <c r="E320" s="179">
        <v>2760603000</v>
      </c>
      <c r="F320" s="179">
        <v>2646889074</v>
      </c>
      <c r="G320" s="179">
        <v>2646889074</v>
      </c>
      <c r="H320" s="179">
        <v>0</v>
      </c>
      <c r="I320" s="179">
        <v>337242908</v>
      </c>
      <c r="J320" s="179">
        <v>0</v>
      </c>
      <c r="K320" s="179">
        <v>2309646166</v>
      </c>
      <c r="L320" s="179">
        <v>2309646166</v>
      </c>
      <c r="M320" s="179">
        <v>0</v>
      </c>
      <c r="N320" s="179">
        <v>0</v>
      </c>
    </row>
    <row r="321" spans="1:14" s="156" customFormat="1" x14ac:dyDescent="0.25">
      <c r="A321" s="156" t="s">
        <v>546</v>
      </c>
      <c r="B321" s="156" t="s">
        <v>355</v>
      </c>
      <c r="C321" s="156" t="s">
        <v>622</v>
      </c>
      <c r="D321" s="156" t="s">
        <v>541</v>
      </c>
      <c r="E321" s="179">
        <v>815139000</v>
      </c>
      <c r="F321" s="179">
        <v>781381738</v>
      </c>
      <c r="G321" s="179">
        <v>781381738</v>
      </c>
      <c r="H321" s="179">
        <v>0</v>
      </c>
      <c r="I321" s="179">
        <v>98097374</v>
      </c>
      <c r="J321" s="179">
        <v>0</v>
      </c>
      <c r="K321" s="179">
        <v>683284364</v>
      </c>
      <c r="L321" s="179">
        <v>683284364</v>
      </c>
      <c r="M321" s="179">
        <v>0</v>
      </c>
      <c r="N321" s="179">
        <v>0</v>
      </c>
    </row>
    <row r="322" spans="1:14" s="156" customFormat="1" x14ac:dyDescent="0.25">
      <c r="A322" s="156" t="s">
        <v>546</v>
      </c>
      <c r="B322" s="156" t="s">
        <v>356</v>
      </c>
      <c r="C322" s="156" t="s">
        <v>623</v>
      </c>
      <c r="D322" s="156" t="s">
        <v>541</v>
      </c>
      <c r="E322" s="179">
        <v>1630278000</v>
      </c>
      <c r="F322" s="179">
        <v>1562663477</v>
      </c>
      <c r="G322" s="179">
        <v>1562663477</v>
      </c>
      <c r="H322" s="179">
        <v>0</v>
      </c>
      <c r="I322" s="179">
        <v>196093339</v>
      </c>
      <c r="J322" s="179">
        <v>0</v>
      </c>
      <c r="K322" s="179">
        <v>1366570138</v>
      </c>
      <c r="L322" s="179">
        <v>1366570138</v>
      </c>
      <c r="M322" s="179">
        <v>0</v>
      </c>
      <c r="N322" s="179">
        <v>0</v>
      </c>
    </row>
    <row r="323" spans="1:14" s="156" customFormat="1" x14ac:dyDescent="0.25">
      <c r="A323" s="156" t="s">
        <v>546</v>
      </c>
      <c r="B323" s="156" t="s">
        <v>358</v>
      </c>
      <c r="C323" s="156" t="s">
        <v>631</v>
      </c>
      <c r="D323" s="156" t="s">
        <v>541</v>
      </c>
      <c r="E323" s="179">
        <v>300000</v>
      </c>
      <c r="F323" s="179">
        <v>0</v>
      </c>
      <c r="G323" s="179">
        <v>0</v>
      </c>
      <c r="H323" s="179">
        <v>0</v>
      </c>
      <c r="I323" s="179">
        <v>0</v>
      </c>
      <c r="J323" s="179">
        <v>0</v>
      </c>
      <c r="K323" s="179">
        <v>0</v>
      </c>
      <c r="L323" s="179">
        <v>0</v>
      </c>
      <c r="M323" s="179">
        <v>0</v>
      </c>
      <c r="N323" s="179">
        <v>0</v>
      </c>
    </row>
    <row r="324" spans="1:14" s="156" customFormat="1" x14ac:dyDescent="0.25">
      <c r="A324" s="156" t="s">
        <v>546</v>
      </c>
      <c r="B324" s="156" t="s">
        <v>306</v>
      </c>
      <c r="C324" s="156" t="s">
        <v>307</v>
      </c>
      <c r="D324" s="156" t="s">
        <v>541</v>
      </c>
      <c r="E324" s="179">
        <v>447714000</v>
      </c>
      <c r="F324" s="179">
        <v>447714000</v>
      </c>
      <c r="G324" s="179">
        <v>447714000</v>
      </c>
      <c r="H324" s="179">
        <v>0</v>
      </c>
      <c r="I324" s="179">
        <v>71799179.75</v>
      </c>
      <c r="J324" s="179">
        <v>0</v>
      </c>
      <c r="K324" s="179">
        <v>358178523.27999997</v>
      </c>
      <c r="L324" s="179">
        <v>357930660.88</v>
      </c>
      <c r="M324" s="179">
        <v>17736296.969999999</v>
      </c>
      <c r="N324" s="179">
        <v>17736296.969999999</v>
      </c>
    </row>
    <row r="325" spans="1:14" s="156" customFormat="1" x14ac:dyDescent="0.25">
      <c r="A325" s="156" t="s">
        <v>546</v>
      </c>
      <c r="B325" s="156" t="s">
        <v>320</v>
      </c>
      <c r="C325" s="156" t="s">
        <v>321</v>
      </c>
      <c r="D325" s="156" t="s">
        <v>541</v>
      </c>
      <c r="E325" s="179">
        <v>1150000</v>
      </c>
      <c r="F325" s="179">
        <v>1150000</v>
      </c>
      <c r="G325" s="179">
        <v>1150000</v>
      </c>
      <c r="H325" s="179">
        <v>0</v>
      </c>
      <c r="I325" s="179">
        <v>0</v>
      </c>
      <c r="J325" s="179">
        <v>0</v>
      </c>
      <c r="K325" s="179">
        <v>0</v>
      </c>
      <c r="L325" s="179">
        <v>0</v>
      </c>
      <c r="M325" s="179">
        <v>1150000</v>
      </c>
      <c r="N325" s="179">
        <v>1150000</v>
      </c>
    </row>
    <row r="326" spans="1:14" s="156" customFormat="1" x14ac:dyDescent="0.25">
      <c r="A326" s="156" t="s">
        <v>546</v>
      </c>
      <c r="B326" s="156" t="s">
        <v>127</v>
      </c>
      <c r="C326" s="156" t="s">
        <v>128</v>
      </c>
      <c r="D326" s="156" t="s">
        <v>541</v>
      </c>
      <c r="E326" s="179">
        <v>897159000</v>
      </c>
      <c r="F326" s="179">
        <v>897159000</v>
      </c>
      <c r="G326" s="179">
        <v>897159000</v>
      </c>
      <c r="H326" s="179">
        <v>0</v>
      </c>
      <c r="I326" s="179">
        <v>235349758.13</v>
      </c>
      <c r="J326" s="179">
        <v>0</v>
      </c>
      <c r="K326" s="179">
        <v>555286559.25</v>
      </c>
      <c r="L326" s="179">
        <v>491534581.64999998</v>
      </c>
      <c r="M326" s="179">
        <v>106522682.62</v>
      </c>
      <c r="N326" s="179">
        <v>106522682.62</v>
      </c>
    </row>
    <row r="327" spans="1:14" s="156" customFormat="1" x14ac:dyDescent="0.25">
      <c r="A327" s="156" t="s">
        <v>546</v>
      </c>
      <c r="B327" s="156" t="s">
        <v>322</v>
      </c>
      <c r="C327" s="156" t="s">
        <v>323</v>
      </c>
      <c r="D327" s="156" t="s">
        <v>541</v>
      </c>
      <c r="E327" s="179">
        <v>42253000</v>
      </c>
      <c r="F327" s="179">
        <v>19062488</v>
      </c>
      <c r="G327" s="179">
        <v>19062488</v>
      </c>
      <c r="H327" s="179">
        <v>0</v>
      </c>
      <c r="I327" s="179">
        <v>6869514.0099999998</v>
      </c>
      <c r="J327" s="179">
        <v>0</v>
      </c>
      <c r="K327" s="179">
        <v>12192973.99</v>
      </c>
      <c r="L327" s="179">
        <v>10568648.210000001</v>
      </c>
      <c r="M327" s="179">
        <v>0</v>
      </c>
      <c r="N327" s="179">
        <v>0</v>
      </c>
    </row>
    <row r="328" spans="1:14" s="156" customFormat="1" x14ac:dyDescent="0.25">
      <c r="A328" s="156" t="s">
        <v>546</v>
      </c>
      <c r="B328" s="156" t="s">
        <v>129</v>
      </c>
      <c r="C328" s="156" t="s">
        <v>130</v>
      </c>
      <c r="D328" s="156" t="s">
        <v>541</v>
      </c>
      <c r="E328" s="179">
        <v>6000000000</v>
      </c>
      <c r="F328" s="179">
        <v>4576782128</v>
      </c>
      <c r="G328" s="179">
        <v>4576782128</v>
      </c>
      <c r="H328" s="179">
        <v>0</v>
      </c>
      <c r="I328" s="179">
        <v>556206226.83000004</v>
      </c>
      <c r="J328" s="179">
        <v>0</v>
      </c>
      <c r="K328" s="179">
        <v>2835448423.8299999</v>
      </c>
      <c r="L328" s="179">
        <v>1669058160.21</v>
      </c>
      <c r="M328" s="179">
        <v>1185127477.3399999</v>
      </c>
      <c r="N328" s="179">
        <v>1185127477.3399999</v>
      </c>
    </row>
    <row r="329" spans="1:14" s="156" customFormat="1" x14ac:dyDescent="0.25">
      <c r="A329" s="156" t="s">
        <v>546</v>
      </c>
      <c r="B329" s="156" t="s">
        <v>133</v>
      </c>
      <c r="C329" s="156" t="s">
        <v>134</v>
      </c>
      <c r="D329" s="156" t="s">
        <v>541</v>
      </c>
      <c r="E329" s="179">
        <v>2372291000</v>
      </c>
      <c r="F329" s="179">
        <v>3072291000</v>
      </c>
      <c r="G329" s="179">
        <v>3072291000</v>
      </c>
      <c r="H329" s="179">
        <v>0</v>
      </c>
      <c r="I329" s="179">
        <v>674382631</v>
      </c>
      <c r="J329" s="179">
        <v>0</v>
      </c>
      <c r="K329" s="179">
        <v>2397908369</v>
      </c>
      <c r="L329" s="179">
        <v>1986555083</v>
      </c>
      <c r="M329" s="179">
        <v>0</v>
      </c>
      <c r="N329" s="179">
        <v>0</v>
      </c>
    </row>
    <row r="330" spans="1:14" s="156" customFormat="1" x14ac:dyDescent="0.25">
      <c r="A330" s="156" t="s">
        <v>546</v>
      </c>
      <c r="B330" s="156" t="s">
        <v>135</v>
      </c>
      <c r="C330" s="156" t="s">
        <v>136</v>
      </c>
      <c r="D330" s="156" t="s">
        <v>541</v>
      </c>
      <c r="E330" s="179">
        <v>1100946000</v>
      </c>
      <c r="F330" s="179">
        <v>1423946000</v>
      </c>
      <c r="G330" s="179">
        <v>1423946000</v>
      </c>
      <c r="H330" s="179">
        <v>0</v>
      </c>
      <c r="I330" s="179">
        <v>207356602.56</v>
      </c>
      <c r="J330" s="179">
        <v>0</v>
      </c>
      <c r="K330" s="179">
        <v>1216589397.4400001</v>
      </c>
      <c r="L330" s="179">
        <v>1052159812.89</v>
      </c>
      <c r="M330" s="179">
        <v>0</v>
      </c>
      <c r="N330" s="179">
        <v>0</v>
      </c>
    </row>
    <row r="331" spans="1:14" s="156" customFormat="1" x14ac:dyDescent="0.25">
      <c r="A331" s="156" t="s">
        <v>546</v>
      </c>
      <c r="B331" s="156" t="s">
        <v>137</v>
      </c>
      <c r="C331" s="156" t="s">
        <v>138</v>
      </c>
      <c r="D331" s="156" t="s">
        <v>541</v>
      </c>
      <c r="E331" s="179">
        <v>6000000</v>
      </c>
      <c r="F331" s="179">
        <v>6000000</v>
      </c>
      <c r="G331" s="179">
        <v>6000000</v>
      </c>
      <c r="H331" s="179">
        <v>0</v>
      </c>
      <c r="I331" s="179">
        <v>854485</v>
      </c>
      <c r="J331" s="179">
        <v>0</v>
      </c>
      <c r="K331" s="179">
        <v>2352630</v>
      </c>
      <c r="L331" s="179">
        <v>1979660</v>
      </c>
      <c r="M331" s="179">
        <v>2792885</v>
      </c>
      <c r="N331" s="179">
        <v>2792885</v>
      </c>
    </row>
    <row r="332" spans="1:14" s="156" customFormat="1" x14ac:dyDescent="0.25">
      <c r="A332" s="156" t="s">
        <v>546</v>
      </c>
      <c r="B332" s="156" t="s">
        <v>139</v>
      </c>
      <c r="C332" s="156" t="s">
        <v>140</v>
      </c>
      <c r="D332" s="156" t="s">
        <v>541</v>
      </c>
      <c r="E332" s="179">
        <v>1381495000</v>
      </c>
      <c r="F332" s="179">
        <v>765215316</v>
      </c>
      <c r="G332" s="179">
        <v>765215316</v>
      </c>
      <c r="H332" s="179">
        <v>0</v>
      </c>
      <c r="I332" s="179">
        <v>149557008.31999999</v>
      </c>
      <c r="J332" s="179">
        <v>0</v>
      </c>
      <c r="K332" s="179">
        <v>423604019.20999998</v>
      </c>
      <c r="L332" s="179">
        <v>351204103.79000002</v>
      </c>
      <c r="M332" s="179">
        <v>192054288.47</v>
      </c>
      <c r="N332" s="179">
        <v>192054288.47</v>
      </c>
    </row>
    <row r="333" spans="1:14" s="156" customFormat="1" x14ac:dyDescent="0.25">
      <c r="A333" s="156" t="s">
        <v>546</v>
      </c>
      <c r="B333" s="156" t="s">
        <v>141</v>
      </c>
      <c r="C333" s="156" t="s">
        <v>142</v>
      </c>
      <c r="D333" s="156" t="s">
        <v>541</v>
      </c>
      <c r="E333" s="179">
        <v>93642000</v>
      </c>
      <c r="F333" s="179">
        <v>156791998</v>
      </c>
      <c r="G333" s="179">
        <v>156791998</v>
      </c>
      <c r="H333" s="179">
        <v>0</v>
      </c>
      <c r="I333" s="179">
        <v>23280913.43</v>
      </c>
      <c r="J333" s="179">
        <v>0</v>
      </c>
      <c r="K333" s="179">
        <v>69691430.799999997</v>
      </c>
      <c r="L333" s="179">
        <v>68685573.530000001</v>
      </c>
      <c r="M333" s="179">
        <v>63819653.770000003</v>
      </c>
      <c r="N333" s="179">
        <v>63819653.770000003</v>
      </c>
    </row>
    <row r="334" spans="1:14" s="156" customFormat="1" x14ac:dyDescent="0.25">
      <c r="A334" s="156" t="s">
        <v>546</v>
      </c>
      <c r="B334" s="156" t="s">
        <v>145</v>
      </c>
      <c r="C334" s="156" t="s">
        <v>146</v>
      </c>
      <c r="D334" s="156" t="s">
        <v>541</v>
      </c>
      <c r="E334" s="179">
        <v>1149000</v>
      </c>
      <c r="F334" s="179">
        <v>4257560</v>
      </c>
      <c r="G334" s="179">
        <v>4257560</v>
      </c>
      <c r="H334" s="179">
        <v>0</v>
      </c>
      <c r="I334" s="179">
        <v>3795220</v>
      </c>
      <c r="J334" s="179">
        <v>0</v>
      </c>
      <c r="K334" s="179">
        <v>462340</v>
      </c>
      <c r="L334" s="179">
        <v>462340</v>
      </c>
      <c r="M334" s="179">
        <v>0</v>
      </c>
      <c r="N334" s="179">
        <v>0</v>
      </c>
    </row>
    <row r="335" spans="1:14" s="156" customFormat="1" x14ac:dyDescent="0.25">
      <c r="A335" s="156" t="s">
        <v>546</v>
      </c>
      <c r="B335" s="156" t="s">
        <v>147</v>
      </c>
      <c r="C335" s="156" t="s">
        <v>148</v>
      </c>
      <c r="D335" s="156" t="s">
        <v>541</v>
      </c>
      <c r="E335" s="179">
        <v>4300000</v>
      </c>
      <c r="F335" s="179">
        <v>4300000</v>
      </c>
      <c r="G335" s="179">
        <v>4300000</v>
      </c>
      <c r="H335" s="179">
        <v>0</v>
      </c>
      <c r="I335" s="179">
        <v>1111000</v>
      </c>
      <c r="J335" s="179">
        <v>0</v>
      </c>
      <c r="K335" s="179">
        <v>2914000</v>
      </c>
      <c r="L335" s="179">
        <v>2914000</v>
      </c>
      <c r="M335" s="179">
        <v>275000</v>
      </c>
      <c r="N335" s="179">
        <v>275000</v>
      </c>
    </row>
    <row r="336" spans="1:14" s="156" customFormat="1" x14ac:dyDescent="0.25">
      <c r="A336" s="156" t="s">
        <v>546</v>
      </c>
      <c r="B336" s="156" t="s">
        <v>359</v>
      </c>
      <c r="C336" s="156" t="s">
        <v>632</v>
      </c>
      <c r="D336" s="156" t="s">
        <v>541</v>
      </c>
      <c r="E336" s="179">
        <v>24045000</v>
      </c>
      <c r="F336" s="179">
        <v>24045000</v>
      </c>
      <c r="G336" s="179">
        <v>24045000</v>
      </c>
      <c r="H336" s="179">
        <v>0</v>
      </c>
      <c r="I336" s="179">
        <v>21150056</v>
      </c>
      <c r="J336" s="179">
        <v>0</v>
      </c>
      <c r="K336" s="179">
        <v>1811000</v>
      </c>
      <c r="L336" s="179">
        <v>610000</v>
      </c>
      <c r="M336" s="179">
        <v>1083944</v>
      </c>
      <c r="N336" s="179">
        <v>1083944</v>
      </c>
    </row>
    <row r="337" spans="1:14" s="156" customFormat="1" x14ac:dyDescent="0.25">
      <c r="A337" s="156" t="s">
        <v>546</v>
      </c>
      <c r="B337" s="156" t="s">
        <v>330</v>
      </c>
      <c r="C337" s="156" t="s">
        <v>628</v>
      </c>
      <c r="D337" s="156" t="s">
        <v>541</v>
      </c>
      <c r="E337" s="179">
        <v>36500000</v>
      </c>
      <c r="F337" s="179">
        <v>86966885</v>
      </c>
      <c r="G337" s="179">
        <v>86966885</v>
      </c>
      <c r="H337" s="179">
        <v>0</v>
      </c>
      <c r="I337" s="179">
        <v>50698666.229999997</v>
      </c>
      <c r="J337" s="179">
        <v>0</v>
      </c>
      <c r="K337" s="179">
        <v>31635628.34</v>
      </c>
      <c r="L337" s="179">
        <v>29909128.34</v>
      </c>
      <c r="M337" s="179">
        <v>4632590.43</v>
      </c>
      <c r="N337" s="179">
        <v>4632590.43</v>
      </c>
    </row>
    <row r="338" spans="1:14" s="156" customFormat="1" x14ac:dyDescent="0.25">
      <c r="A338" s="156" t="s">
        <v>546</v>
      </c>
      <c r="B338" s="156" t="s">
        <v>154</v>
      </c>
      <c r="C338" s="156" t="s">
        <v>155</v>
      </c>
      <c r="D338" s="156" t="s">
        <v>541</v>
      </c>
      <c r="E338" s="179">
        <v>142000000</v>
      </c>
      <c r="F338" s="179">
        <v>133851875</v>
      </c>
      <c r="G338" s="179">
        <v>133851875</v>
      </c>
      <c r="H338" s="179">
        <v>0</v>
      </c>
      <c r="I338" s="179">
        <v>24397590.100000001</v>
      </c>
      <c r="J338" s="179">
        <v>0</v>
      </c>
      <c r="K338" s="179">
        <v>72534912.079999998</v>
      </c>
      <c r="L338" s="179">
        <v>67488240.379999995</v>
      </c>
      <c r="M338" s="179">
        <v>36919372.82</v>
      </c>
      <c r="N338" s="179">
        <v>36919372.82</v>
      </c>
    </row>
    <row r="339" spans="1:14" s="156" customFormat="1" x14ac:dyDescent="0.25">
      <c r="A339" s="156" t="s">
        <v>546</v>
      </c>
      <c r="B339" s="156" t="s">
        <v>156</v>
      </c>
      <c r="C339" s="156" t="s">
        <v>157</v>
      </c>
      <c r="D339" s="156" t="s">
        <v>541</v>
      </c>
      <c r="E339" s="179">
        <v>29638000</v>
      </c>
      <c r="F339" s="179">
        <v>83245333</v>
      </c>
      <c r="G339" s="179">
        <v>83245333</v>
      </c>
      <c r="H339" s="179">
        <v>0</v>
      </c>
      <c r="I339" s="179">
        <v>44040698.020000003</v>
      </c>
      <c r="J339" s="179">
        <v>0</v>
      </c>
      <c r="K339" s="179">
        <v>22184785.030000001</v>
      </c>
      <c r="L339" s="179">
        <v>22015930.030000001</v>
      </c>
      <c r="M339" s="179">
        <v>17019849.949999999</v>
      </c>
      <c r="N339" s="179">
        <v>17019849.949999999</v>
      </c>
    </row>
    <row r="340" spans="1:14" s="156" customFormat="1" x14ac:dyDescent="0.25">
      <c r="A340" s="156" t="s">
        <v>546</v>
      </c>
      <c r="B340" s="156" t="s">
        <v>160</v>
      </c>
      <c r="C340" s="156" t="s">
        <v>161</v>
      </c>
      <c r="D340" s="156" t="s">
        <v>541</v>
      </c>
      <c r="E340" s="179">
        <v>8364000</v>
      </c>
      <c r="F340" s="179">
        <v>8364000</v>
      </c>
      <c r="G340" s="179">
        <v>8364000</v>
      </c>
      <c r="H340" s="179">
        <v>8200</v>
      </c>
      <c r="I340" s="179">
        <v>2005255</v>
      </c>
      <c r="J340" s="179">
        <v>0</v>
      </c>
      <c r="K340" s="179">
        <v>5012480</v>
      </c>
      <c r="L340" s="179">
        <v>5008650</v>
      </c>
      <c r="M340" s="179">
        <v>1338065</v>
      </c>
      <c r="N340" s="179">
        <v>1338065</v>
      </c>
    </row>
    <row r="341" spans="1:14" s="156" customFormat="1" x14ac:dyDescent="0.25">
      <c r="A341" s="156" t="s">
        <v>546</v>
      </c>
      <c r="B341" s="156" t="s">
        <v>162</v>
      </c>
      <c r="C341" s="156" t="s">
        <v>163</v>
      </c>
      <c r="D341" s="156" t="s">
        <v>541</v>
      </c>
      <c r="E341" s="179">
        <v>150000000</v>
      </c>
      <c r="F341" s="179">
        <v>150000000</v>
      </c>
      <c r="G341" s="179">
        <v>150000000</v>
      </c>
      <c r="H341" s="179">
        <v>262250</v>
      </c>
      <c r="I341" s="179">
        <v>26526020</v>
      </c>
      <c r="J341" s="179">
        <v>0</v>
      </c>
      <c r="K341" s="179">
        <v>91417570</v>
      </c>
      <c r="L341" s="179">
        <v>91382220</v>
      </c>
      <c r="M341" s="179">
        <v>31794160</v>
      </c>
      <c r="N341" s="179">
        <v>31794160</v>
      </c>
    </row>
    <row r="342" spans="1:14" s="156" customFormat="1" x14ac:dyDescent="0.25">
      <c r="A342" s="156" t="s">
        <v>546</v>
      </c>
      <c r="B342" s="156" t="s">
        <v>164</v>
      </c>
      <c r="C342" s="156" t="s">
        <v>165</v>
      </c>
      <c r="D342" s="156" t="s">
        <v>541</v>
      </c>
      <c r="E342" s="179">
        <v>0</v>
      </c>
      <c r="F342" s="179">
        <v>271810.02</v>
      </c>
      <c r="G342" s="179">
        <v>271810.02</v>
      </c>
      <c r="H342" s="179">
        <v>0</v>
      </c>
      <c r="I342" s="179">
        <v>0</v>
      </c>
      <c r="J342" s="179">
        <v>0</v>
      </c>
      <c r="K342" s="179">
        <v>0</v>
      </c>
      <c r="L342" s="179">
        <v>0</v>
      </c>
      <c r="M342" s="179">
        <v>271810.02</v>
      </c>
      <c r="N342" s="179">
        <v>271810.02</v>
      </c>
    </row>
    <row r="343" spans="1:14" s="156" customFormat="1" x14ac:dyDescent="0.25">
      <c r="A343" s="156" t="s">
        <v>546</v>
      </c>
      <c r="B343" s="156" t="s">
        <v>166</v>
      </c>
      <c r="C343" s="156" t="s">
        <v>167</v>
      </c>
      <c r="D343" s="156" t="s">
        <v>541</v>
      </c>
      <c r="E343" s="179">
        <v>0</v>
      </c>
      <c r="F343" s="179">
        <v>534638.30000000005</v>
      </c>
      <c r="G343" s="179">
        <v>534638.30000000005</v>
      </c>
      <c r="H343" s="179">
        <v>0</v>
      </c>
      <c r="I343" s="179">
        <v>0</v>
      </c>
      <c r="J343" s="179">
        <v>0</v>
      </c>
      <c r="K343" s="179">
        <v>0</v>
      </c>
      <c r="L343" s="179">
        <v>0</v>
      </c>
      <c r="M343" s="179">
        <v>534638.30000000005</v>
      </c>
      <c r="N343" s="179">
        <v>534638.30000000005</v>
      </c>
    </row>
    <row r="344" spans="1:14" s="156" customFormat="1" x14ac:dyDescent="0.25">
      <c r="A344" s="156" t="s">
        <v>546</v>
      </c>
      <c r="B344" s="156" t="s">
        <v>170</v>
      </c>
      <c r="C344" s="156" t="s">
        <v>171</v>
      </c>
      <c r="D344" s="156" t="s">
        <v>541</v>
      </c>
      <c r="E344" s="179">
        <v>1404477000</v>
      </c>
      <c r="F344" s="179">
        <v>1404477000</v>
      </c>
      <c r="G344" s="179">
        <v>1404477000</v>
      </c>
      <c r="H344" s="179">
        <v>0</v>
      </c>
      <c r="I344" s="179">
        <v>189950402</v>
      </c>
      <c r="J344" s="179">
        <v>0</v>
      </c>
      <c r="K344" s="179">
        <v>995524760</v>
      </c>
      <c r="L344" s="179">
        <v>799749790</v>
      </c>
      <c r="M344" s="179">
        <v>219001838</v>
      </c>
      <c r="N344" s="179">
        <v>219001838</v>
      </c>
    </row>
    <row r="345" spans="1:14" s="156" customFormat="1" x14ac:dyDescent="0.25">
      <c r="A345" s="156" t="s">
        <v>546</v>
      </c>
      <c r="B345" s="156" t="s">
        <v>309</v>
      </c>
      <c r="C345" s="156" t="s">
        <v>310</v>
      </c>
      <c r="D345" s="156" t="s">
        <v>541</v>
      </c>
      <c r="E345" s="179">
        <v>1000000</v>
      </c>
      <c r="F345" s="179">
        <v>860000</v>
      </c>
      <c r="G345" s="179">
        <v>860000</v>
      </c>
      <c r="H345" s="179">
        <v>0</v>
      </c>
      <c r="I345" s="179">
        <v>860000</v>
      </c>
      <c r="J345" s="179">
        <v>0</v>
      </c>
      <c r="K345" s="179">
        <v>0</v>
      </c>
      <c r="L345" s="179">
        <v>0</v>
      </c>
      <c r="M345" s="179">
        <v>0</v>
      </c>
      <c r="N345" s="179">
        <v>0</v>
      </c>
    </row>
    <row r="346" spans="1:14" s="156" customFormat="1" x14ac:dyDescent="0.25">
      <c r="A346" s="156" t="s">
        <v>546</v>
      </c>
      <c r="B346" s="156" t="s">
        <v>180</v>
      </c>
      <c r="C346" s="156" t="s">
        <v>181</v>
      </c>
      <c r="D346" s="156" t="s">
        <v>541</v>
      </c>
      <c r="E346" s="179">
        <v>40000000</v>
      </c>
      <c r="F346" s="179">
        <v>108187087</v>
      </c>
      <c r="G346" s="179">
        <v>108187087</v>
      </c>
      <c r="H346" s="179">
        <v>0</v>
      </c>
      <c r="I346" s="179">
        <v>23008.85</v>
      </c>
      <c r="J346" s="179">
        <v>0</v>
      </c>
      <c r="K346" s="179">
        <v>76991.149999999994</v>
      </c>
      <c r="L346" s="179">
        <v>76991.149999999994</v>
      </c>
      <c r="M346" s="179">
        <v>108087087</v>
      </c>
      <c r="N346" s="179">
        <v>108087087</v>
      </c>
    </row>
    <row r="347" spans="1:14" s="156" customFormat="1" x14ac:dyDescent="0.25">
      <c r="A347" s="156" t="s">
        <v>546</v>
      </c>
      <c r="B347" s="156" t="s">
        <v>332</v>
      </c>
      <c r="C347" s="156" t="s">
        <v>333</v>
      </c>
      <c r="D347" s="156" t="s">
        <v>541</v>
      </c>
      <c r="E347" s="179">
        <v>550000000</v>
      </c>
      <c r="F347" s="179">
        <v>327160642</v>
      </c>
      <c r="G347" s="179">
        <v>327160642</v>
      </c>
      <c r="H347" s="179">
        <v>0</v>
      </c>
      <c r="I347" s="179">
        <v>193904050.41</v>
      </c>
      <c r="J347" s="179">
        <v>14461200</v>
      </c>
      <c r="K347" s="179">
        <v>118795389.88</v>
      </c>
      <c r="L347" s="179">
        <v>115053696.51000001</v>
      </c>
      <c r="M347" s="179">
        <v>1.71</v>
      </c>
      <c r="N347" s="179">
        <v>1.71</v>
      </c>
    </row>
    <row r="348" spans="1:14" s="156" customFormat="1" x14ac:dyDescent="0.25">
      <c r="A348" s="156" t="s">
        <v>546</v>
      </c>
      <c r="B348" s="156" t="s">
        <v>182</v>
      </c>
      <c r="C348" s="156" t="s">
        <v>183</v>
      </c>
      <c r="D348" s="156" t="s">
        <v>541</v>
      </c>
      <c r="E348" s="179">
        <v>165180000</v>
      </c>
      <c r="F348" s="179">
        <v>165180000</v>
      </c>
      <c r="G348" s="179">
        <v>165180000</v>
      </c>
      <c r="H348" s="179">
        <v>0</v>
      </c>
      <c r="I348" s="179">
        <v>85646212.129999995</v>
      </c>
      <c r="J348" s="179">
        <v>0</v>
      </c>
      <c r="K348" s="179">
        <v>69056207.159999996</v>
      </c>
      <c r="L348" s="179">
        <v>66303047.810000002</v>
      </c>
      <c r="M348" s="179">
        <v>10477580.710000001</v>
      </c>
      <c r="N348" s="179">
        <v>10477580.710000001</v>
      </c>
    </row>
    <row r="349" spans="1:14" s="156" customFormat="1" x14ac:dyDescent="0.25">
      <c r="A349" s="156" t="s">
        <v>546</v>
      </c>
      <c r="B349" s="156" t="s">
        <v>184</v>
      </c>
      <c r="C349" s="156" t="s">
        <v>185</v>
      </c>
      <c r="D349" s="156" t="s">
        <v>541</v>
      </c>
      <c r="E349" s="179">
        <v>6623000</v>
      </c>
      <c r="F349" s="179">
        <v>413000</v>
      </c>
      <c r="G349" s="179">
        <v>413000</v>
      </c>
      <c r="H349" s="179">
        <v>0</v>
      </c>
      <c r="I349" s="179">
        <v>0</v>
      </c>
      <c r="J349" s="179">
        <v>0</v>
      </c>
      <c r="K349" s="179">
        <v>380855</v>
      </c>
      <c r="L349" s="179">
        <v>380855</v>
      </c>
      <c r="M349" s="179">
        <v>32145</v>
      </c>
      <c r="N349" s="179">
        <v>32145</v>
      </c>
    </row>
    <row r="350" spans="1:14" s="156" customFormat="1" x14ac:dyDescent="0.25">
      <c r="A350" s="156" t="s">
        <v>546</v>
      </c>
      <c r="B350" s="156" t="s">
        <v>186</v>
      </c>
      <c r="C350" s="156" t="s">
        <v>187</v>
      </c>
      <c r="D350" s="156" t="s">
        <v>541</v>
      </c>
      <c r="E350" s="179">
        <v>24424000</v>
      </c>
      <c r="F350" s="179">
        <v>20018759</v>
      </c>
      <c r="G350" s="179">
        <v>20018759</v>
      </c>
      <c r="H350" s="179">
        <v>0</v>
      </c>
      <c r="I350" s="179">
        <v>12910000</v>
      </c>
      <c r="J350" s="179">
        <v>0</v>
      </c>
      <c r="K350" s="179">
        <v>5629092</v>
      </c>
      <c r="L350" s="179">
        <v>5629092</v>
      </c>
      <c r="M350" s="179">
        <v>1479667</v>
      </c>
      <c r="N350" s="179">
        <v>1479667</v>
      </c>
    </row>
    <row r="351" spans="1:14" s="156" customFormat="1" x14ac:dyDescent="0.25">
      <c r="A351" s="156" t="s">
        <v>546</v>
      </c>
      <c r="B351" s="156" t="s">
        <v>188</v>
      </c>
      <c r="C351" s="156" t="s">
        <v>189</v>
      </c>
      <c r="D351" s="156" t="s">
        <v>541</v>
      </c>
      <c r="E351" s="179">
        <v>80000000</v>
      </c>
      <c r="F351" s="179">
        <v>37495119</v>
      </c>
      <c r="G351" s="179">
        <v>37495119</v>
      </c>
      <c r="H351" s="179">
        <v>0</v>
      </c>
      <c r="I351" s="179">
        <v>12323417.68</v>
      </c>
      <c r="J351" s="179">
        <v>5701572.1100000003</v>
      </c>
      <c r="K351" s="179">
        <v>3887688.86</v>
      </c>
      <c r="L351" s="179">
        <v>3887688.86</v>
      </c>
      <c r="M351" s="179">
        <v>15582440.35</v>
      </c>
      <c r="N351" s="179">
        <v>15582440.35</v>
      </c>
    </row>
    <row r="352" spans="1:14" s="156" customFormat="1" x14ac:dyDescent="0.25">
      <c r="A352" s="156" t="s">
        <v>546</v>
      </c>
      <c r="B352" s="156" t="s">
        <v>190</v>
      </c>
      <c r="C352" s="156" t="s">
        <v>191</v>
      </c>
      <c r="D352" s="156" t="s">
        <v>541</v>
      </c>
      <c r="E352" s="179">
        <v>225785000</v>
      </c>
      <c r="F352" s="179">
        <v>159236968</v>
      </c>
      <c r="G352" s="179">
        <v>159236968</v>
      </c>
      <c r="H352" s="179">
        <v>0</v>
      </c>
      <c r="I352" s="179">
        <v>72337644.099999994</v>
      </c>
      <c r="J352" s="179">
        <v>243136.6</v>
      </c>
      <c r="K352" s="179">
        <v>73573872.560000002</v>
      </c>
      <c r="L352" s="179">
        <v>60133504.950000003</v>
      </c>
      <c r="M352" s="179">
        <v>13082314.74</v>
      </c>
      <c r="N352" s="179">
        <v>13082314.74</v>
      </c>
    </row>
    <row r="353" spans="1:14" s="156" customFormat="1" x14ac:dyDescent="0.25">
      <c r="A353" s="156" t="s">
        <v>546</v>
      </c>
      <c r="B353" s="156" t="s">
        <v>194</v>
      </c>
      <c r="C353" s="156" t="s">
        <v>195</v>
      </c>
      <c r="D353" s="156" t="s">
        <v>541</v>
      </c>
      <c r="E353" s="179">
        <v>16000000</v>
      </c>
      <c r="F353" s="179">
        <v>16000000</v>
      </c>
      <c r="G353" s="179">
        <v>16000000</v>
      </c>
      <c r="H353" s="179">
        <v>0</v>
      </c>
      <c r="I353" s="179">
        <v>13870025</v>
      </c>
      <c r="J353" s="179">
        <v>0</v>
      </c>
      <c r="K353" s="179">
        <v>135141</v>
      </c>
      <c r="L353" s="179">
        <v>135141</v>
      </c>
      <c r="M353" s="179">
        <v>1994834</v>
      </c>
      <c r="N353" s="179">
        <v>1994834</v>
      </c>
    </row>
    <row r="354" spans="1:14" s="156" customFormat="1" x14ac:dyDescent="0.25">
      <c r="A354" s="156" t="s">
        <v>546</v>
      </c>
      <c r="B354" s="156" t="s">
        <v>360</v>
      </c>
      <c r="C354" s="156" t="s">
        <v>361</v>
      </c>
      <c r="D354" s="156" t="s">
        <v>541</v>
      </c>
      <c r="E354" s="179">
        <v>4000000</v>
      </c>
      <c r="F354" s="179">
        <v>2268515</v>
      </c>
      <c r="G354" s="179">
        <v>2268515</v>
      </c>
      <c r="H354" s="179">
        <v>0</v>
      </c>
      <c r="I354" s="179">
        <v>1643471.98</v>
      </c>
      <c r="J354" s="179">
        <v>0</v>
      </c>
      <c r="K354" s="179">
        <v>624543.59</v>
      </c>
      <c r="L354" s="179">
        <v>442297.59999999998</v>
      </c>
      <c r="M354" s="179">
        <v>499.43</v>
      </c>
      <c r="N354" s="179">
        <v>499.43</v>
      </c>
    </row>
    <row r="355" spans="1:14" s="156" customFormat="1" x14ac:dyDescent="0.25">
      <c r="A355" s="156" t="s">
        <v>546</v>
      </c>
      <c r="B355" s="156" t="s">
        <v>334</v>
      </c>
      <c r="C355" s="156" t="s">
        <v>335</v>
      </c>
      <c r="D355" s="156" t="s">
        <v>541</v>
      </c>
      <c r="E355" s="179">
        <v>3925000</v>
      </c>
      <c r="F355" s="179">
        <v>53925000</v>
      </c>
      <c r="G355" s="179">
        <v>53925000</v>
      </c>
      <c r="H355" s="179">
        <v>0</v>
      </c>
      <c r="I355" s="179">
        <v>676740.45</v>
      </c>
      <c r="J355" s="179">
        <v>0</v>
      </c>
      <c r="K355" s="179">
        <v>2360663.81</v>
      </c>
      <c r="L355" s="179">
        <v>2151433.75</v>
      </c>
      <c r="M355" s="179">
        <v>50887595.740000002</v>
      </c>
      <c r="N355" s="179">
        <v>50887595.740000002</v>
      </c>
    </row>
    <row r="356" spans="1:14" s="156" customFormat="1" x14ac:dyDescent="0.25">
      <c r="A356" s="156" t="s">
        <v>546</v>
      </c>
      <c r="B356" s="156" t="s">
        <v>198</v>
      </c>
      <c r="C356" s="156" t="s">
        <v>199</v>
      </c>
      <c r="D356" s="156" t="s">
        <v>541</v>
      </c>
      <c r="E356" s="179">
        <v>30000000</v>
      </c>
      <c r="F356" s="179">
        <v>30000000</v>
      </c>
      <c r="G356" s="179">
        <v>30000000</v>
      </c>
      <c r="H356" s="179">
        <v>0</v>
      </c>
      <c r="I356" s="179">
        <v>17334582</v>
      </c>
      <c r="J356" s="179">
        <v>0</v>
      </c>
      <c r="K356" s="179">
        <v>1410000</v>
      </c>
      <c r="L356" s="179">
        <v>1410000</v>
      </c>
      <c r="M356" s="179">
        <v>11255418</v>
      </c>
      <c r="N356" s="179">
        <v>11255418</v>
      </c>
    </row>
    <row r="357" spans="1:14" s="156" customFormat="1" x14ac:dyDescent="0.25">
      <c r="A357" s="156" t="s">
        <v>546</v>
      </c>
      <c r="B357" s="156" t="s">
        <v>204</v>
      </c>
      <c r="C357" s="156" t="s">
        <v>205</v>
      </c>
      <c r="D357" s="156" t="s">
        <v>541</v>
      </c>
      <c r="E357" s="179">
        <v>633445000</v>
      </c>
      <c r="F357" s="179">
        <v>623445000</v>
      </c>
      <c r="G357" s="179">
        <v>623445000</v>
      </c>
      <c r="H357" s="179">
        <v>0</v>
      </c>
      <c r="I357" s="179">
        <v>122287549.8</v>
      </c>
      <c r="J357" s="179">
        <v>0</v>
      </c>
      <c r="K357" s="179">
        <v>485443494.04000002</v>
      </c>
      <c r="L357" s="179">
        <v>463670926.31999999</v>
      </c>
      <c r="M357" s="179">
        <v>15713956.16</v>
      </c>
      <c r="N357" s="179">
        <v>15713956.16</v>
      </c>
    </row>
    <row r="358" spans="1:14" s="156" customFormat="1" x14ac:dyDescent="0.25">
      <c r="A358" s="156" t="s">
        <v>546</v>
      </c>
      <c r="B358" s="156" t="s">
        <v>206</v>
      </c>
      <c r="C358" s="156" t="s">
        <v>207</v>
      </c>
      <c r="D358" s="156" t="s">
        <v>541</v>
      </c>
      <c r="E358" s="179">
        <v>216657000</v>
      </c>
      <c r="F358" s="179">
        <v>204939180</v>
      </c>
      <c r="G358" s="179">
        <v>204939180</v>
      </c>
      <c r="H358" s="179">
        <v>1008000</v>
      </c>
      <c r="I358" s="179">
        <v>136468200</v>
      </c>
      <c r="J358" s="179">
        <v>0</v>
      </c>
      <c r="K358" s="179">
        <v>67203150</v>
      </c>
      <c r="L358" s="179">
        <v>66441050</v>
      </c>
      <c r="M358" s="179">
        <v>259830</v>
      </c>
      <c r="N358" s="179">
        <v>259830</v>
      </c>
    </row>
    <row r="359" spans="1:14" s="156" customFormat="1" x14ac:dyDescent="0.25">
      <c r="A359" s="156" t="s">
        <v>546</v>
      </c>
      <c r="B359" s="156" t="s">
        <v>362</v>
      </c>
      <c r="C359" s="156" t="s">
        <v>363</v>
      </c>
      <c r="D359" s="156" t="s">
        <v>541</v>
      </c>
      <c r="E359" s="179">
        <v>5824000</v>
      </c>
      <c r="F359" s="179">
        <v>5824000</v>
      </c>
      <c r="G359" s="179">
        <v>5824000</v>
      </c>
      <c r="H359" s="179">
        <v>0</v>
      </c>
      <c r="I359" s="179">
        <v>0</v>
      </c>
      <c r="J359" s="179">
        <v>0</v>
      </c>
      <c r="K359" s="179">
        <v>0</v>
      </c>
      <c r="L359" s="179">
        <v>0</v>
      </c>
      <c r="M359" s="179">
        <v>5824000</v>
      </c>
      <c r="N359" s="179">
        <v>5824000</v>
      </c>
    </row>
    <row r="360" spans="1:14" s="156" customFormat="1" x14ac:dyDescent="0.25">
      <c r="A360" s="156" t="s">
        <v>546</v>
      </c>
      <c r="B360" s="156" t="s">
        <v>208</v>
      </c>
      <c r="C360" s="156" t="s">
        <v>209</v>
      </c>
      <c r="D360" s="156" t="s">
        <v>541</v>
      </c>
      <c r="E360" s="179">
        <v>53735000</v>
      </c>
      <c r="F360" s="179">
        <v>45909400</v>
      </c>
      <c r="G360" s="179">
        <v>45909400</v>
      </c>
      <c r="H360" s="179">
        <v>0</v>
      </c>
      <c r="I360" s="179">
        <v>0</v>
      </c>
      <c r="J360" s="179">
        <v>127368</v>
      </c>
      <c r="K360" s="179">
        <v>45398751</v>
      </c>
      <c r="L360" s="179">
        <v>45160677</v>
      </c>
      <c r="M360" s="179">
        <v>383281</v>
      </c>
      <c r="N360" s="179">
        <v>383281</v>
      </c>
    </row>
    <row r="361" spans="1:14" s="156" customFormat="1" x14ac:dyDescent="0.25">
      <c r="A361" s="156" t="s">
        <v>546</v>
      </c>
      <c r="B361" s="156" t="s">
        <v>210</v>
      </c>
      <c r="C361" s="156" t="s">
        <v>211</v>
      </c>
      <c r="D361" s="156" t="s">
        <v>541</v>
      </c>
      <c r="E361" s="179">
        <v>7404000</v>
      </c>
      <c r="F361" s="179">
        <v>13041895</v>
      </c>
      <c r="G361" s="179">
        <v>13041895</v>
      </c>
      <c r="H361" s="179">
        <v>0</v>
      </c>
      <c r="I361" s="179">
        <v>2544500</v>
      </c>
      <c r="J361" s="179">
        <v>0</v>
      </c>
      <c r="K361" s="179">
        <v>8965240</v>
      </c>
      <c r="L361" s="179">
        <v>8048240</v>
      </c>
      <c r="M361" s="179">
        <v>1532155</v>
      </c>
      <c r="N361" s="179">
        <v>1532155</v>
      </c>
    </row>
    <row r="362" spans="1:14" s="156" customFormat="1" x14ac:dyDescent="0.25">
      <c r="A362" s="156" t="s">
        <v>546</v>
      </c>
      <c r="B362" s="156" t="s">
        <v>214</v>
      </c>
      <c r="C362" s="156" t="s">
        <v>215</v>
      </c>
      <c r="D362" s="156" t="s">
        <v>541</v>
      </c>
      <c r="E362" s="179">
        <v>10999103690</v>
      </c>
      <c r="F362" s="179">
        <v>10505884481.51</v>
      </c>
      <c r="G362" s="179">
        <v>10505884481.51</v>
      </c>
      <c r="H362" s="179">
        <v>0</v>
      </c>
      <c r="I362" s="179">
        <v>1975557873.1800001</v>
      </c>
      <c r="J362" s="179">
        <v>204724977.43000001</v>
      </c>
      <c r="K362" s="179">
        <v>8087046627.3400002</v>
      </c>
      <c r="L362" s="179">
        <v>7119444711.79</v>
      </c>
      <c r="M362" s="179">
        <v>238555003.56</v>
      </c>
      <c r="N362" s="179">
        <v>238555003.56</v>
      </c>
    </row>
    <row r="363" spans="1:14" s="156" customFormat="1" x14ac:dyDescent="0.25">
      <c r="A363" s="156" t="s">
        <v>546</v>
      </c>
      <c r="B363" s="156" t="s">
        <v>364</v>
      </c>
      <c r="C363" s="156" t="s">
        <v>365</v>
      </c>
      <c r="D363" s="156" t="s">
        <v>541</v>
      </c>
      <c r="E363" s="179">
        <v>12000000</v>
      </c>
      <c r="F363" s="179">
        <v>12000000</v>
      </c>
      <c r="G363" s="179">
        <v>12000000</v>
      </c>
      <c r="H363" s="179">
        <v>0</v>
      </c>
      <c r="I363" s="179">
        <v>5067820</v>
      </c>
      <c r="J363" s="179">
        <v>0</v>
      </c>
      <c r="K363" s="179">
        <v>6919155</v>
      </c>
      <c r="L363" s="179">
        <v>3987675</v>
      </c>
      <c r="M363" s="179">
        <v>13025</v>
      </c>
      <c r="N363" s="179">
        <v>13025</v>
      </c>
    </row>
    <row r="364" spans="1:14" s="156" customFormat="1" x14ac:dyDescent="0.25">
      <c r="A364" s="156" t="s">
        <v>546</v>
      </c>
      <c r="B364" s="156" t="s">
        <v>218</v>
      </c>
      <c r="C364" s="156" t="s">
        <v>219</v>
      </c>
      <c r="D364" s="156" t="s">
        <v>541</v>
      </c>
      <c r="E364" s="179">
        <v>433000000</v>
      </c>
      <c r="F364" s="179">
        <v>294279374</v>
      </c>
      <c r="G364" s="179">
        <v>294279374</v>
      </c>
      <c r="H364" s="179">
        <v>0</v>
      </c>
      <c r="I364" s="179">
        <v>93825270.480000004</v>
      </c>
      <c r="J364" s="179">
        <v>4993527.26</v>
      </c>
      <c r="K364" s="179">
        <v>159802548.78</v>
      </c>
      <c r="L364" s="179">
        <v>61031632.979999997</v>
      </c>
      <c r="M364" s="179">
        <v>35658027.479999997</v>
      </c>
      <c r="N364" s="179">
        <v>35658027.479999997</v>
      </c>
    </row>
    <row r="365" spans="1:14" s="156" customFormat="1" x14ac:dyDescent="0.25">
      <c r="A365" s="156" t="s">
        <v>546</v>
      </c>
      <c r="B365" s="156" t="s">
        <v>336</v>
      </c>
      <c r="C365" s="156" t="s">
        <v>337</v>
      </c>
      <c r="D365" s="156" t="s">
        <v>541</v>
      </c>
      <c r="E365" s="179">
        <v>69048000</v>
      </c>
      <c r="F365" s="179">
        <v>69048000</v>
      </c>
      <c r="G365" s="179">
        <v>69048000</v>
      </c>
      <c r="H365" s="179">
        <v>0</v>
      </c>
      <c r="I365" s="179">
        <v>34430810</v>
      </c>
      <c r="J365" s="179">
        <v>0</v>
      </c>
      <c r="K365" s="179">
        <v>34614699.920000002</v>
      </c>
      <c r="L365" s="179">
        <v>34381659.920000002</v>
      </c>
      <c r="M365" s="179">
        <v>2490.08</v>
      </c>
      <c r="N365" s="179">
        <v>2490.08</v>
      </c>
    </row>
    <row r="366" spans="1:14" s="156" customFormat="1" x14ac:dyDescent="0.25">
      <c r="A366" s="156" t="s">
        <v>546</v>
      </c>
      <c r="B366" s="156" t="s">
        <v>338</v>
      </c>
      <c r="C366" s="156" t="s">
        <v>339</v>
      </c>
      <c r="D366" s="156" t="s">
        <v>541</v>
      </c>
      <c r="E366" s="179">
        <v>116458000</v>
      </c>
      <c r="F366" s="179">
        <v>97606469</v>
      </c>
      <c r="G366" s="179">
        <v>97606469</v>
      </c>
      <c r="H366" s="179">
        <v>0</v>
      </c>
      <c r="I366" s="179">
        <v>62895678</v>
      </c>
      <c r="J366" s="179">
        <v>0</v>
      </c>
      <c r="K366" s="179">
        <v>34681337.5</v>
      </c>
      <c r="L366" s="179">
        <v>34681337.5</v>
      </c>
      <c r="M366" s="179">
        <v>29453.5</v>
      </c>
      <c r="N366" s="179">
        <v>29453.5</v>
      </c>
    </row>
    <row r="367" spans="1:14" s="156" customFormat="1" x14ac:dyDescent="0.25">
      <c r="A367" s="156" t="s">
        <v>546</v>
      </c>
      <c r="B367" s="156" t="s">
        <v>220</v>
      </c>
      <c r="C367" s="156" t="s">
        <v>221</v>
      </c>
      <c r="D367" s="156" t="s">
        <v>541</v>
      </c>
      <c r="E367" s="179">
        <v>330000000</v>
      </c>
      <c r="F367" s="179">
        <v>148640637</v>
      </c>
      <c r="G367" s="179">
        <v>148640637</v>
      </c>
      <c r="H367" s="179">
        <v>0</v>
      </c>
      <c r="I367" s="179">
        <v>15688876.67</v>
      </c>
      <c r="J367" s="179">
        <v>0</v>
      </c>
      <c r="K367" s="179">
        <v>33516563.27</v>
      </c>
      <c r="L367" s="179">
        <v>33516563.27</v>
      </c>
      <c r="M367" s="179">
        <v>99435197.060000002</v>
      </c>
      <c r="N367" s="179">
        <v>99435197.060000002</v>
      </c>
    </row>
    <row r="368" spans="1:14" s="156" customFormat="1" x14ac:dyDescent="0.25">
      <c r="A368" s="156" t="s">
        <v>546</v>
      </c>
      <c r="B368" s="156" t="s">
        <v>222</v>
      </c>
      <c r="C368" s="156" t="s">
        <v>223</v>
      </c>
      <c r="D368" s="156" t="s">
        <v>541</v>
      </c>
      <c r="E368" s="179">
        <v>7059000</v>
      </c>
      <c r="F368" s="179">
        <v>7059000</v>
      </c>
      <c r="G368" s="179">
        <v>7059000</v>
      </c>
      <c r="H368" s="179">
        <v>0</v>
      </c>
      <c r="I368" s="179">
        <v>0</v>
      </c>
      <c r="J368" s="179">
        <v>0</v>
      </c>
      <c r="K368" s="179">
        <v>7043000</v>
      </c>
      <c r="L368" s="179">
        <v>0</v>
      </c>
      <c r="M368" s="179">
        <v>16000</v>
      </c>
      <c r="N368" s="179">
        <v>16000</v>
      </c>
    </row>
    <row r="369" spans="1:14" s="156" customFormat="1" x14ac:dyDescent="0.25">
      <c r="A369" s="156" t="s">
        <v>546</v>
      </c>
      <c r="B369" s="156" t="s">
        <v>224</v>
      </c>
      <c r="C369" s="156" t="s">
        <v>225</v>
      </c>
      <c r="D369" s="156" t="s">
        <v>541</v>
      </c>
      <c r="E369" s="179">
        <v>151074000</v>
      </c>
      <c r="F369" s="179">
        <v>85190514</v>
      </c>
      <c r="G369" s="179">
        <v>85190514</v>
      </c>
      <c r="H369" s="179">
        <v>0</v>
      </c>
      <c r="I369" s="179">
        <v>24733578.75</v>
      </c>
      <c r="J369" s="179">
        <v>28114217.41</v>
      </c>
      <c r="K369" s="179">
        <v>12868819.199999999</v>
      </c>
      <c r="L369" s="179">
        <v>12868819.199999999</v>
      </c>
      <c r="M369" s="179">
        <v>19473898.640000001</v>
      </c>
      <c r="N369" s="179">
        <v>19473898.640000001</v>
      </c>
    </row>
    <row r="370" spans="1:14" s="156" customFormat="1" x14ac:dyDescent="0.25">
      <c r="A370" s="156" t="s">
        <v>546</v>
      </c>
      <c r="B370" s="156" t="s">
        <v>226</v>
      </c>
      <c r="C370" s="156" t="s">
        <v>227</v>
      </c>
      <c r="D370" s="156" t="s">
        <v>541</v>
      </c>
      <c r="E370" s="179">
        <v>35134000</v>
      </c>
      <c r="F370" s="179">
        <v>25564660</v>
      </c>
      <c r="G370" s="179">
        <v>25564660</v>
      </c>
      <c r="H370" s="179">
        <v>0</v>
      </c>
      <c r="I370" s="179">
        <v>11575086</v>
      </c>
      <c r="J370" s="179">
        <v>4096810</v>
      </c>
      <c r="K370" s="179">
        <v>6921160</v>
      </c>
      <c r="L370" s="179">
        <v>5346000</v>
      </c>
      <c r="M370" s="179">
        <v>2971604</v>
      </c>
      <c r="N370" s="179">
        <v>2971604</v>
      </c>
    </row>
    <row r="371" spans="1:14" s="156" customFormat="1" x14ac:dyDescent="0.25">
      <c r="A371" s="156" t="s">
        <v>546</v>
      </c>
      <c r="B371" s="156" t="s">
        <v>230</v>
      </c>
      <c r="C371" s="156" t="s">
        <v>231</v>
      </c>
      <c r="D371" s="156" t="s">
        <v>541</v>
      </c>
      <c r="E371" s="179">
        <v>74595000</v>
      </c>
      <c r="F371" s="179">
        <v>48605013</v>
      </c>
      <c r="G371" s="179">
        <v>48605013</v>
      </c>
      <c r="H371" s="179">
        <v>0</v>
      </c>
      <c r="I371" s="179">
        <v>28697891.129999999</v>
      </c>
      <c r="J371" s="179">
        <v>639687.47</v>
      </c>
      <c r="K371" s="179">
        <v>10722161.800000001</v>
      </c>
      <c r="L371" s="179">
        <v>9822161.8000000007</v>
      </c>
      <c r="M371" s="179">
        <v>8545272.5999999996</v>
      </c>
      <c r="N371" s="179">
        <v>8545272.5999999996</v>
      </c>
    </row>
    <row r="372" spans="1:14" s="156" customFormat="1" x14ac:dyDescent="0.25">
      <c r="A372" s="156" t="s">
        <v>546</v>
      </c>
      <c r="B372" s="156" t="s">
        <v>232</v>
      </c>
      <c r="C372" s="156" t="s">
        <v>233</v>
      </c>
      <c r="D372" s="156" t="s">
        <v>541</v>
      </c>
      <c r="E372" s="179">
        <v>214449000</v>
      </c>
      <c r="F372" s="179">
        <v>192615501</v>
      </c>
      <c r="G372" s="179">
        <v>192615501</v>
      </c>
      <c r="H372" s="179">
        <v>0</v>
      </c>
      <c r="I372" s="179">
        <v>19520175.780000001</v>
      </c>
      <c r="J372" s="179">
        <v>4286525.13</v>
      </c>
      <c r="K372" s="179">
        <v>63474265.100000001</v>
      </c>
      <c r="L372" s="179">
        <v>47652720.030000001</v>
      </c>
      <c r="M372" s="179">
        <v>105334534.98999999</v>
      </c>
      <c r="N372" s="179">
        <v>105334534.98999999</v>
      </c>
    </row>
    <row r="373" spans="1:14" s="156" customFormat="1" x14ac:dyDescent="0.25">
      <c r="A373" s="156" t="s">
        <v>546</v>
      </c>
      <c r="B373" s="156" t="s">
        <v>235</v>
      </c>
      <c r="C373" s="156" t="s">
        <v>236</v>
      </c>
      <c r="D373" s="156" t="s">
        <v>541</v>
      </c>
      <c r="E373" s="179">
        <v>39631000</v>
      </c>
      <c r="F373" s="179">
        <v>11406366</v>
      </c>
      <c r="G373" s="179">
        <v>11406366</v>
      </c>
      <c r="H373" s="179">
        <v>473021.5</v>
      </c>
      <c r="I373" s="179">
        <v>0</v>
      </c>
      <c r="J373" s="179">
        <v>1193654</v>
      </c>
      <c r="K373" s="179">
        <v>3224278.06</v>
      </c>
      <c r="L373" s="179">
        <v>2733631.26</v>
      </c>
      <c r="M373" s="179">
        <v>6515412.4400000004</v>
      </c>
      <c r="N373" s="179">
        <v>6515412.4400000004</v>
      </c>
    </row>
    <row r="374" spans="1:14" s="156" customFormat="1" x14ac:dyDescent="0.25">
      <c r="A374" s="156" t="s">
        <v>546</v>
      </c>
      <c r="B374" s="156" t="s">
        <v>237</v>
      </c>
      <c r="C374" s="156" t="s">
        <v>238</v>
      </c>
      <c r="D374" s="156" t="s">
        <v>541</v>
      </c>
      <c r="E374" s="179">
        <v>24278000</v>
      </c>
      <c r="F374" s="179">
        <v>23924268</v>
      </c>
      <c r="G374" s="179">
        <v>23924268</v>
      </c>
      <c r="H374" s="179">
        <v>8354367.1600000001</v>
      </c>
      <c r="I374" s="179">
        <v>1343020</v>
      </c>
      <c r="J374" s="179">
        <v>1282500</v>
      </c>
      <c r="K374" s="179">
        <v>10866943.52</v>
      </c>
      <c r="L374" s="179">
        <v>10866943.52</v>
      </c>
      <c r="M374" s="179">
        <v>2077437.32</v>
      </c>
      <c r="N374" s="179">
        <v>2077437.32</v>
      </c>
    </row>
    <row r="375" spans="1:14" s="156" customFormat="1" x14ac:dyDescent="0.25">
      <c r="A375" s="156" t="s">
        <v>546</v>
      </c>
      <c r="B375" s="156" t="s">
        <v>239</v>
      </c>
      <c r="C375" s="156" t="s">
        <v>240</v>
      </c>
      <c r="D375" s="156" t="s">
        <v>541</v>
      </c>
      <c r="E375" s="179">
        <v>259995000</v>
      </c>
      <c r="F375" s="179">
        <v>221306747</v>
      </c>
      <c r="G375" s="179">
        <v>221306747</v>
      </c>
      <c r="H375" s="179">
        <v>1165188.2</v>
      </c>
      <c r="I375" s="179">
        <v>47614805.880000003</v>
      </c>
      <c r="J375" s="179">
        <v>2602200</v>
      </c>
      <c r="K375" s="179">
        <v>90077673.920000002</v>
      </c>
      <c r="L375" s="179">
        <v>55514873.920000002</v>
      </c>
      <c r="M375" s="179">
        <v>79846879</v>
      </c>
      <c r="N375" s="179">
        <v>79846879</v>
      </c>
    </row>
    <row r="376" spans="1:14" s="156" customFormat="1" x14ac:dyDescent="0.25">
      <c r="A376" s="156" t="s">
        <v>546</v>
      </c>
      <c r="B376" s="156" t="s">
        <v>241</v>
      </c>
      <c r="C376" s="156" t="s">
        <v>242</v>
      </c>
      <c r="D376" s="156" t="s">
        <v>541</v>
      </c>
      <c r="E376" s="179">
        <v>1200000000</v>
      </c>
      <c r="F376" s="179">
        <v>1198984641</v>
      </c>
      <c r="G376" s="179">
        <v>1198984641</v>
      </c>
      <c r="H376" s="179">
        <v>34817000</v>
      </c>
      <c r="I376" s="179">
        <v>902157553</v>
      </c>
      <c r="J376" s="179">
        <v>27139772</v>
      </c>
      <c r="K376" s="179">
        <v>189208123.88999999</v>
      </c>
      <c r="L376" s="179">
        <v>170581728.19999999</v>
      </c>
      <c r="M376" s="179">
        <v>45662192.109999999</v>
      </c>
      <c r="N376" s="179">
        <v>45662192.109999999</v>
      </c>
    </row>
    <row r="377" spans="1:14" s="156" customFormat="1" x14ac:dyDescent="0.25">
      <c r="A377" s="156" t="s">
        <v>546</v>
      </c>
      <c r="B377" s="156" t="s">
        <v>243</v>
      </c>
      <c r="C377" s="156" t="s">
        <v>244</v>
      </c>
      <c r="D377" s="156" t="s">
        <v>541</v>
      </c>
      <c r="E377" s="179">
        <v>381516000</v>
      </c>
      <c r="F377" s="179">
        <v>329376981</v>
      </c>
      <c r="G377" s="179">
        <v>329376981</v>
      </c>
      <c r="H377" s="179">
        <v>0</v>
      </c>
      <c r="I377" s="179">
        <v>54355363.100000001</v>
      </c>
      <c r="J377" s="179">
        <v>27325126.600000001</v>
      </c>
      <c r="K377" s="179">
        <v>230135730.53999999</v>
      </c>
      <c r="L377" s="179">
        <v>204566900.53999999</v>
      </c>
      <c r="M377" s="179">
        <v>17560760.760000002</v>
      </c>
      <c r="N377" s="179">
        <v>17560760.760000002</v>
      </c>
    </row>
    <row r="378" spans="1:14" s="156" customFormat="1" x14ac:dyDescent="0.25">
      <c r="A378" s="156" t="s">
        <v>546</v>
      </c>
      <c r="B378" s="156" t="s">
        <v>245</v>
      </c>
      <c r="C378" s="156" t="s">
        <v>246</v>
      </c>
      <c r="D378" s="156" t="s">
        <v>541</v>
      </c>
      <c r="E378" s="179">
        <v>800000000</v>
      </c>
      <c r="F378" s="179">
        <v>784512967</v>
      </c>
      <c r="G378" s="179">
        <v>784512967</v>
      </c>
      <c r="H378" s="179">
        <v>1636250</v>
      </c>
      <c r="I378" s="179">
        <v>10412519.140000001</v>
      </c>
      <c r="J378" s="179">
        <v>0</v>
      </c>
      <c r="K378" s="179">
        <v>767623820.99000001</v>
      </c>
      <c r="L378" s="179">
        <v>767623820.99000001</v>
      </c>
      <c r="M378" s="179">
        <v>4840376.87</v>
      </c>
      <c r="N378" s="179">
        <v>4840376.87</v>
      </c>
    </row>
    <row r="379" spans="1:14" s="156" customFormat="1" x14ac:dyDescent="0.25">
      <c r="A379" s="156" t="s">
        <v>546</v>
      </c>
      <c r="B379" s="156" t="s">
        <v>247</v>
      </c>
      <c r="C379" s="156" t="s">
        <v>248</v>
      </c>
      <c r="D379" s="156" t="s">
        <v>541</v>
      </c>
      <c r="E379" s="179">
        <v>112559000</v>
      </c>
      <c r="F379" s="179">
        <v>112559000</v>
      </c>
      <c r="G379" s="179">
        <v>112559000</v>
      </c>
      <c r="H379" s="179">
        <v>6172500</v>
      </c>
      <c r="I379" s="179">
        <v>51901097.810000002</v>
      </c>
      <c r="J379" s="179">
        <v>0</v>
      </c>
      <c r="K379" s="179">
        <v>45128284.840000004</v>
      </c>
      <c r="L379" s="179">
        <v>35007679.25</v>
      </c>
      <c r="M379" s="179">
        <v>9357117.3499999996</v>
      </c>
      <c r="N379" s="179">
        <v>9357117.3499999996</v>
      </c>
    </row>
    <row r="380" spans="1:14" s="156" customFormat="1" x14ac:dyDescent="0.25">
      <c r="A380" s="156" t="s">
        <v>546</v>
      </c>
      <c r="B380" s="156" t="s">
        <v>249</v>
      </c>
      <c r="C380" s="156" t="s">
        <v>250</v>
      </c>
      <c r="D380" s="156" t="s">
        <v>541</v>
      </c>
      <c r="E380" s="179">
        <v>228884000</v>
      </c>
      <c r="F380" s="179">
        <v>228789687</v>
      </c>
      <c r="G380" s="179">
        <v>228789687</v>
      </c>
      <c r="H380" s="179">
        <v>0</v>
      </c>
      <c r="I380" s="179">
        <v>69430751.659999996</v>
      </c>
      <c r="J380" s="179">
        <v>0</v>
      </c>
      <c r="K380" s="179">
        <v>115981320.90000001</v>
      </c>
      <c r="L380" s="179">
        <v>81540904.049999997</v>
      </c>
      <c r="M380" s="179">
        <v>43377614.439999998</v>
      </c>
      <c r="N380" s="179">
        <v>43377614.439999998</v>
      </c>
    </row>
    <row r="381" spans="1:14" s="156" customFormat="1" x14ac:dyDescent="0.25">
      <c r="A381" s="156" t="s">
        <v>546</v>
      </c>
      <c r="B381" s="156" t="s">
        <v>398</v>
      </c>
      <c r="C381" s="156" t="s">
        <v>501</v>
      </c>
      <c r="D381" s="156" t="s">
        <v>541</v>
      </c>
      <c r="E381" s="179">
        <v>0</v>
      </c>
      <c r="F381" s="179">
        <v>2815000</v>
      </c>
      <c r="G381" s="179">
        <v>2815000</v>
      </c>
      <c r="H381" s="179">
        <v>0</v>
      </c>
      <c r="I381" s="179">
        <v>0</v>
      </c>
      <c r="J381" s="179">
        <v>0</v>
      </c>
      <c r="K381" s="179">
        <v>0</v>
      </c>
      <c r="L381" s="179">
        <v>0</v>
      </c>
      <c r="M381" s="179">
        <v>2815000</v>
      </c>
      <c r="N381" s="179">
        <v>2815000</v>
      </c>
    </row>
    <row r="382" spans="1:14" s="156" customFormat="1" x14ac:dyDescent="0.25">
      <c r="A382" s="156" t="s">
        <v>546</v>
      </c>
      <c r="B382" s="156" t="s">
        <v>285</v>
      </c>
      <c r="C382" s="156" t="s">
        <v>286</v>
      </c>
      <c r="D382" s="156" t="s">
        <v>541</v>
      </c>
      <c r="E382" s="179">
        <v>0</v>
      </c>
      <c r="F382" s="179">
        <v>79288653</v>
      </c>
      <c r="G382" s="179">
        <v>79288653</v>
      </c>
      <c r="H382" s="179">
        <v>0</v>
      </c>
      <c r="I382" s="179">
        <v>71264447.879999995</v>
      </c>
      <c r="J382" s="179">
        <v>0</v>
      </c>
      <c r="K382" s="179">
        <v>0</v>
      </c>
      <c r="L382" s="179">
        <v>0</v>
      </c>
      <c r="M382" s="179">
        <v>8024205.1200000001</v>
      </c>
      <c r="N382" s="179">
        <v>8024205.1200000001</v>
      </c>
    </row>
    <row r="383" spans="1:14" s="156" customFormat="1" x14ac:dyDescent="0.25">
      <c r="A383" s="156" t="s">
        <v>546</v>
      </c>
      <c r="B383" s="156" t="s">
        <v>287</v>
      </c>
      <c r="C383" s="156" t="s">
        <v>288</v>
      </c>
      <c r="D383" s="156" t="s">
        <v>541</v>
      </c>
      <c r="E383" s="179">
        <v>0</v>
      </c>
      <c r="F383" s="179">
        <v>21473410</v>
      </c>
      <c r="G383" s="179">
        <v>21473410</v>
      </c>
      <c r="H383" s="179">
        <v>0</v>
      </c>
      <c r="I383" s="179">
        <v>21465774</v>
      </c>
      <c r="J383" s="179">
        <v>0</v>
      </c>
      <c r="K383" s="179">
        <v>0</v>
      </c>
      <c r="L383" s="179">
        <v>0</v>
      </c>
      <c r="M383" s="179">
        <v>7636</v>
      </c>
      <c r="N383" s="179">
        <v>7636</v>
      </c>
    </row>
    <row r="384" spans="1:14" s="156" customFormat="1" x14ac:dyDescent="0.25">
      <c r="A384" s="156" t="s">
        <v>546</v>
      </c>
      <c r="B384" s="156" t="s">
        <v>283</v>
      </c>
      <c r="C384" s="156" t="s">
        <v>284</v>
      </c>
      <c r="D384" s="156" t="s">
        <v>543</v>
      </c>
      <c r="E384" s="179">
        <v>70000000</v>
      </c>
      <c r="F384" s="179">
        <v>59380528</v>
      </c>
      <c r="G384" s="179">
        <v>59380528</v>
      </c>
      <c r="H384" s="179">
        <v>0</v>
      </c>
      <c r="I384" s="179">
        <v>4700000</v>
      </c>
      <c r="J384" s="179">
        <v>5999900</v>
      </c>
      <c r="K384" s="179">
        <v>44529845.359999999</v>
      </c>
      <c r="L384" s="179">
        <v>42976970.159999996</v>
      </c>
      <c r="M384" s="179">
        <v>4150782.64</v>
      </c>
      <c r="N384" s="179">
        <v>4150782.64</v>
      </c>
    </row>
    <row r="385" spans="1:14" s="156" customFormat="1" x14ac:dyDescent="0.25">
      <c r="A385" s="156" t="s">
        <v>546</v>
      </c>
      <c r="B385" s="156" t="s">
        <v>398</v>
      </c>
      <c r="C385" s="156" t="s">
        <v>501</v>
      </c>
      <c r="D385" s="156" t="s">
        <v>543</v>
      </c>
      <c r="E385" s="179">
        <v>100000000</v>
      </c>
      <c r="F385" s="179">
        <v>155300000</v>
      </c>
      <c r="G385" s="179">
        <v>155300000</v>
      </c>
      <c r="H385" s="179">
        <v>53906434</v>
      </c>
      <c r="I385" s="179">
        <v>0</v>
      </c>
      <c r="J385" s="179">
        <v>1400000</v>
      </c>
      <c r="K385" s="179">
        <v>97250000</v>
      </c>
      <c r="L385" s="179">
        <v>97250000</v>
      </c>
      <c r="M385" s="179">
        <v>2743566</v>
      </c>
      <c r="N385" s="179">
        <v>2743566</v>
      </c>
    </row>
    <row r="386" spans="1:14" s="156" customFormat="1" x14ac:dyDescent="0.25">
      <c r="A386" s="156" t="s">
        <v>546</v>
      </c>
      <c r="B386" s="156" t="s">
        <v>285</v>
      </c>
      <c r="C386" s="156" t="s">
        <v>286</v>
      </c>
      <c r="D386" s="156" t="s">
        <v>543</v>
      </c>
      <c r="E386" s="179">
        <v>200000000</v>
      </c>
      <c r="F386" s="179">
        <v>213856672</v>
      </c>
      <c r="G386" s="179">
        <v>213856672</v>
      </c>
      <c r="H386" s="179">
        <v>0</v>
      </c>
      <c r="I386" s="179">
        <v>175032343</v>
      </c>
      <c r="J386" s="179">
        <v>0</v>
      </c>
      <c r="K386" s="179">
        <v>33274975</v>
      </c>
      <c r="L386" s="179">
        <v>33274975</v>
      </c>
      <c r="M386" s="179">
        <v>5549354</v>
      </c>
      <c r="N386" s="179">
        <v>5549354</v>
      </c>
    </row>
    <row r="387" spans="1:14" s="156" customFormat="1" x14ac:dyDescent="0.25">
      <c r="A387" s="156" t="s">
        <v>546</v>
      </c>
      <c r="B387" s="156" t="s">
        <v>287</v>
      </c>
      <c r="C387" s="156" t="s">
        <v>288</v>
      </c>
      <c r="D387" s="156" t="s">
        <v>543</v>
      </c>
      <c r="E387" s="179">
        <v>90000000</v>
      </c>
      <c r="F387" s="179">
        <v>90000000</v>
      </c>
      <c r="G387" s="179">
        <v>90000000</v>
      </c>
      <c r="H387" s="179">
        <v>0</v>
      </c>
      <c r="I387" s="179">
        <v>7525190</v>
      </c>
      <c r="J387" s="179">
        <v>0</v>
      </c>
      <c r="K387" s="179">
        <v>58123838.5</v>
      </c>
      <c r="L387" s="179">
        <v>58123838.5</v>
      </c>
      <c r="M387" s="179">
        <v>24350971.5</v>
      </c>
      <c r="N387" s="179">
        <v>24350971.5</v>
      </c>
    </row>
    <row r="388" spans="1:14" s="156" customFormat="1" x14ac:dyDescent="0.25">
      <c r="A388" s="156" t="s">
        <v>546</v>
      </c>
      <c r="B388" s="156" t="s">
        <v>289</v>
      </c>
      <c r="C388" s="156" t="s">
        <v>290</v>
      </c>
      <c r="D388" s="156" t="s">
        <v>543</v>
      </c>
      <c r="E388" s="179">
        <v>86000000</v>
      </c>
      <c r="F388" s="179">
        <v>73460400</v>
      </c>
      <c r="G388" s="179">
        <v>73460400</v>
      </c>
      <c r="H388" s="179">
        <v>0</v>
      </c>
      <c r="I388" s="179">
        <v>36018531.670000002</v>
      </c>
      <c r="J388" s="179">
        <v>0</v>
      </c>
      <c r="K388" s="179">
        <v>34646648.640000001</v>
      </c>
      <c r="L388" s="179">
        <v>34646648.640000001</v>
      </c>
      <c r="M388" s="179">
        <v>2795219.69</v>
      </c>
      <c r="N388" s="179">
        <v>2795219.69</v>
      </c>
    </row>
    <row r="389" spans="1:14" s="156" customFormat="1" x14ac:dyDescent="0.25">
      <c r="A389" s="156" t="s">
        <v>546</v>
      </c>
      <c r="B389" s="156" t="s">
        <v>291</v>
      </c>
      <c r="C389" s="156" t="s">
        <v>292</v>
      </c>
      <c r="D389" s="156" t="s">
        <v>543</v>
      </c>
      <c r="E389" s="179">
        <v>57905000</v>
      </c>
      <c r="F389" s="179">
        <v>57905000</v>
      </c>
      <c r="G389" s="179">
        <v>57905000</v>
      </c>
      <c r="H389" s="179">
        <v>0</v>
      </c>
      <c r="I389" s="179">
        <v>37150878.270000003</v>
      </c>
      <c r="J389" s="179">
        <v>4097059.74</v>
      </c>
      <c r="K389" s="179">
        <v>16424327.51</v>
      </c>
      <c r="L389" s="179">
        <v>16424327.51</v>
      </c>
      <c r="M389" s="179">
        <v>232734.48</v>
      </c>
      <c r="N389" s="179">
        <v>232734.48</v>
      </c>
    </row>
    <row r="390" spans="1:14" s="156" customFormat="1" x14ac:dyDescent="0.25">
      <c r="A390" s="156" t="s">
        <v>546</v>
      </c>
      <c r="B390" s="156" t="s">
        <v>293</v>
      </c>
      <c r="C390" s="156" t="s">
        <v>294</v>
      </c>
      <c r="D390" s="156" t="s">
        <v>543</v>
      </c>
      <c r="E390" s="179">
        <v>7780000</v>
      </c>
      <c r="F390" s="179">
        <v>7780000</v>
      </c>
      <c r="G390" s="179">
        <v>7780000</v>
      </c>
      <c r="H390" s="179">
        <v>0</v>
      </c>
      <c r="I390" s="179">
        <v>7065620</v>
      </c>
      <c r="J390" s="179">
        <v>0</v>
      </c>
      <c r="K390" s="179">
        <v>0</v>
      </c>
      <c r="L390" s="179">
        <v>0</v>
      </c>
      <c r="M390" s="179">
        <v>714380</v>
      </c>
      <c r="N390" s="179">
        <v>714380</v>
      </c>
    </row>
    <row r="391" spans="1:14" s="156" customFormat="1" x14ac:dyDescent="0.25">
      <c r="A391" s="156" t="s">
        <v>546</v>
      </c>
      <c r="B391" s="156" t="s">
        <v>295</v>
      </c>
      <c r="C391" s="156" t="s">
        <v>296</v>
      </c>
      <c r="D391" s="156" t="s">
        <v>543</v>
      </c>
      <c r="E391" s="179">
        <v>731798000</v>
      </c>
      <c r="F391" s="179">
        <v>681798000</v>
      </c>
      <c r="G391" s="179">
        <v>681798000</v>
      </c>
      <c r="H391" s="179">
        <v>0</v>
      </c>
      <c r="I391" s="179">
        <v>143872918.02000001</v>
      </c>
      <c r="J391" s="179">
        <v>171100000</v>
      </c>
      <c r="K391" s="179">
        <v>330794736.20999998</v>
      </c>
      <c r="L391" s="179">
        <v>327516936.20999998</v>
      </c>
      <c r="M391" s="179">
        <v>36030345.770000003</v>
      </c>
      <c r="N391" s="179">
        <v>36030345.770000003</v>
      </c>
    </row>
    <row r="392" spans="1:14" s="156" customFormat="1" x14ac:dyDescent="0.25">
      <c r="A392" s="156" t="s">
        <v>546</v>
      </c>
      <c r="B392" s="156" t="s">
        <v>299</v>
      </c>
      <c r="C392" s="156" t="s">
        <v>300</v>
      </c>
      <c r="D392" s="156" t="s">
        <v>543</v>
      </c>
      <c r="E392" s="179">
        <v>1743750000</v>
      </c>
      <c r="F392" s="179">
        <v>1719669800</v>
      </c>
      <c r="G392" s="179">
        <v>1719669800</v>
      </c>
      <c r="H392" s="179">
        <v>0</v>
      </c>
      <c r="I392" s="179">
        <v>732934069.07000005</v>
      </c>
      <c r="J392" s="179">
        <v>0</v>
      </c>
      <c r="K392" s="179">
        <v>868239083.88</v>
      </c>
      <c r="L392" s="179">
        <v>832439207.30999994</v>
      </c>
      <c r="M392" s="179">
        <v>118496647.05</v>
      </c>
      <c r="N392" s="179">
        <v>118496647.05</v>
      </c>
    </row>
    <row r="393" spans="1:14" s="156" customFormat="1" x14ac:dyDescent="0.25">
      <c r="A393" s="156" t="s">
        <v>546</v>
      </c>
      <c r="B393" s="156" t="s">
        <v>366</v>
      </c>
      <c r="C393" s="156" t="s">
        <v>367</v>
      </c>
      <c r="D393" s="156" t="s">
        <v>543</v>
      </c>
      <c r="E393" s="179">
        <v>350088000</v>
      </c>
      <c r="F393" s="179">
        <v>8761999</v>
      </c>
      <c r="G393" s="179">
        <v>8761999</v>
      </c>
      <c r="H393" s="179">
        <v>0</v>
      </c>
      <c r="I393" s="179">
        <v>1347999</v>
      </c>
      <c r="J393" s="179">
        <v>674000</v>
      </c>
      <c r="K393" s="179">
        <v>6739999.96</v>
      </c>
      <c r="L393" s="179">
        <v>6065999.96</v>
      </c>
      <c r="M393" s="179">
        <v>0.04</v>
      </c>
      <c r="N393" s="179">
        <v>0.04</v>
      </c>
    </row>
    <row r="394" spans="1:14" s="156" customFormat="1" x14ac:dyDescent="0.25">
      <c r="A394" s="156" t="s">
        <v>546</v>
      </c>
      <c r="B394" s="156" t="s">
        <v>342</v>
      </c>
      <c r="C394" s="156" t="s">
        <v>343</v>
      </c>
      <c r="D394" s="156" t="s">
        <v>543</v>
      </c>
      <c r="E394" s="179">
        <v>339500000</v>
      </c>
      <c r="F394" s="179">
        <v>332588982</v>
      </c>
      <c r="G394" s="179">
        <v>332588982</v>
      </c>
      <c r="H394" s="179">
        <v>579763.80000000005</v>
      </c>
      <c r="I394" s="179">
        <v>223422354.53999999</v>
      </c>
      <c r="J394" s="179">
        <v>37617852.479999997</v>
      </c>
      <c r="K394" s="179">
        <v>20525942.280000001</v>
      </c>
      <c r="L394" s="179">
        <v>20525942.280000001</v>
      </c>
      <c r="M394" s="179">
        <v>50443068.899999999</v>
      </c>
      <c r="N394" s="179">
        <v>50443068.899999999</v>
      </c>
    </row>
    <row r="395" spans="1:14" s="156" customFormat="1" x14ac:dyDescent="0.25">
      <c r="A395" s="156" t="s">
        <v>546</v>
      </c>
      <c r="B395" s="156" t="s">
        <v>368</v>
      </c>
      <c r="C395" s="156" t="s">
        <v>369</v>
      </c>
      <c r="D395" s="156" t="s">
        <v>541</v>
      </c>
      <c r="E395" s="179">
        <v>179500000</v>
      </c>
      <c r="F395" s="179">
        <v>179500000</v>
      </c>
      <c r="G395" s="179">
        <v>179500000</v>
      </c>
      <c r="H395" s="179">
        <v>0</v>
      </c>
      <c r="I395" s="179">
        <v>0</v>
      </c>
      <c r="J395" s="179">
        <v>0</v>
      </c>
      <c r="K395" s="179">
        <v>131960000</v>
      </c>
      <c r="L395" s="179">
        <v>131960000</v>
      </c>
      <c r="M395" s="179">
        <v>47540000</v>
      </c>
      <c r="N395" s="179">
        <v>47540000</v>
      </c>
    </row>
    <row r="396" spans="1:14" s="156" customFormat="1" x14ac:dyDescent="0.25">
      <c r="A396" s="156" t="s">
        <v>546</v>
      </c>
      <c r="B396" s="156" t="s">
        <v>370</v>
      </c>
      <c r="C396" s="156" t="s">
        <v>625</v>
      </c>
      <c r="D396" s="156" t="s">
        <v>541</v>
      </c>
      <c r="E396" s="179">
        <v>315187000</v>
      </c>
      <c r="F396" s="179">
        <v>315187000</v>
      </c>
      <c r="G396" s="179">
        <v>315187000</v>
      </c>
      <c r="H396" s="179">
        <v>0</v>
      </c>
      <c r="I396" s="179">
        <v>1.5</v>
      </c>
      <c r="J396" s="179">
        <v>0</v>
      </c>
      <c r="K396" s="179">
        <v>315186998.5</v>
      </c>
      <c r="L396" s="179">
        <v>315186998.5</v>
      </c>
      <c r="M396" s="179">
        <v>0</v>
      </c>
      <c r="N396" s="179">
        <v>0</v>
      </c>
    </row>
    <row r="397" spans="1:14" s="156" customFormat="1" x14ac:dyDescent="0.25">
      <c r="A397" s="156" t="s">
        <v>546</v>
      </c>
      <c r="B397" s="156" t="s">
        <v>371</v>
      </c>
      <c r="C397" s="156" t="s">
        <v>626</v>
      </c>
      <c r="D397" s="156" t="s">
        <v>541</v>
      </c>
      <c r="E397" s="179">
        <v>135857000</v>
      </c>
      <c r="F397" s="179">
        <v>131097456</v>
      </c>
      <c r="G397" s="179">
        <v>131097456</v>
      </c>
      <c r="H397" s="179">
        <v>0</v>
      </c>
      <c r="I397" s="179">
        <v>17220196</v>
      </c>
      <c r="J397" s="179">
        <v>0</v>
      </c>
      <c r="K397" s="179">
        <v>113877260</v>
      </c>
      <c r="L397" s="179">
        <v>113877260</v>
      </c>
      <c r="M397" s="179">
        <v>0</v>
      </c>
      <c r="N397" s="179">
        <v>0</v>
      </c>
    </row>
    <row r="398" spans="1:14" s="156" customFormat="1" x14ac:dyDescent="0.25">
      <c r="A398" s="156" t="s">
        <v>546</v>
      </c>
      <c r="B398" s="156" t="s">
        <v>374</v>
      </c>
      <c r="C398" s="156" t="s">
        <v>375</v>
      </c>
      <c r="D398" s="156" t="s">
        <v>541</v>
      </c>
      <c r="E398" s="179">
        <v>450000000</v>
      </c>
      <c r="F398" s="179">
        <v>450000000</v>
      </c>
      <c r="G398" s="179">
        <v>450000000</v>
      </c>
      <c r="H398" s="179">
        <v>0</v>
      </c>
      <c r="I398" s="179">
        <v>72500000</v>
      </c>
      <c r="J398" s="179">
        <v>0</v>
      </c>
      <c r="K398" s="179">
        <v>377500000</v>
      </c>
      <c r="L398" s="179">
        <v>337500000</v>
      </c>
      <c r="M398" s="179">
        <v>0</v>
      </c>
      <c r="N398" s="179">
        <v>0</v>
      </c>
    </row>
    <row r="399" spans="1:14" s="156" customFormat="1" x14ac:dyDescent="0.25">
      <c r="A399" s="156" t="s">
        <v>546</v>
      </c>
      <c r="B399" s="156" t="s">
        <v>263</v>
      </c>
      <c r="C399" s="156" t="s">
        <v>264</v>
      </c>
      <c r="D399" s="156" t="s">
        <v>541</v>
      </c>
      <c r="E399" s="179">
        <v>350000000</v>
      </c>
      <c r="F399" s="179">
        <v>1060703414</v>
      </c>
      <c r="G399" s="179">
        <v>1060703414</v>
      </c>
      <c r="H399" s="179">
        <v>0</v>
      </c>
      <c r="I399" s="179">
        <v>104564411.01000001</v>
      </c>
      <c r="J399" s="179">
        <v>0</v>
      </c>
      <c r="K399" s="179">
        <v>956139002.99000001</v>
      </c>
      <c r="L399" s="179">
        <v>950968266.54999995</v>
      </c>
      <c r="M399" s="179">
        <v>0</v>
      </c>
      <c r="N399" s="179">
        <v>0</v>
      </c>
    </row>
    <row r="400" spans="1:14" s="156" customFormat="1" x14ac:dyDescent="0.25">
      <c r="A400" s="156" t="s">
        <v>546</v>
      </c>
      <c r="B400" s="156" t="s">
        <v>265</v>
      </c>
      <c r="C400" s="156" t="s">
        <v>266</v>
      </c>
      <c r="D400" s="156" t="s">
        <v>541</v>
      </c>
      <c r="E400" s="179">
        <v>347525000</v>
      </c>
      <c r="F400" s="179">
        <v>347525000</v>
      </c>
      <c r="G400" s="179">
        <v>347525000</v>
      </c>
      <c r="H400" s="179">
        <v>0</v>
      </c>
      <c r="I400" s="179">
        <v>0</v>
      </c>
      <c r="J400" s="179">
        <v>0</v>
      </c>
      <c r="K400" s="179">
        <v>319776261.13999999</v>
      </c>
      <c r="L400" s="179">
        <v>319776261.13999999</v>
      </c>
      <c r="M400" s="179">
        <v>27748738.859999999</v>
      </c>
      <c r="N400" s="179">
        <v>27748738.859999999</v>
      </c>
    </row>
    <row r="401" spans="1:14" s="156" customFormat="1" x14ac:dyDescent="0.25">
      <c r="A401" s="156" t="s">
        <v>546</v>
      </c>
      <c r="B401" s="156" t="s">
        <v>269</v>
      </c>
      <c r="C401" s="156" t="s">
        <v>270</v>
      </c>
      <c r="D401" s="156" t="s">
        <v>541</v>
      </c>
      <c r="E401" s="179">
        <v>98928000</v>
      </c>
      <c r="F401" s="179">
        <v>172708817.71000001</v>
      </c>
      <c r="G401" s="179">
        <v>172708817.71000001</v>
      </c>
      <c r="H401" s="179">
        <v>0</v>
      </c>
      <c r="I401" s="179">
        <v>32056873.050000001</v>
      </c>
      <c r="J401" s="179">
        <v>0</v>
      </c>
      <c r="K401" s="179">
        <v>19455126.949999999</v>
      </c>
      <c r="L401" s="179">
        <v>19455126.949999999</v>
      </c>
      <c r="M401" s="179">
        <v>121196817.70999999</v>
      </c>
      <c r="N401" s="179">
        <v>121196817.70999999</v>
      </c>
    </row>
    <row r="402" spans="1:14" s="156" customFormat="1" x14ac:dyDescent="0.25">
      <c r="A402" s="156" t="s">
        <v>546</v>
      </c>
      <c r="B402" s="156" t="s">
        <v>271</v>
      </c>
      <c r="C402" s="156" t="s">
        <v>272</v>
      </c>
      <c r="D402" s="156" t="s">
        <v>541</v>
      </c>
      <c r="E402" s="179">
        <v>5000000</v>
      </c>
      <c r="F402" s="179">
        <v>46841603.460000001</v>
      </c>
      <c r="G402" s="179">
        <v>46841603.460000001</v>
      </c>
      <c r="H402" s="179">
        <v>0</v>
      </c>
      <c r="I402" s="179">
        <v>27247687.579999998</v>
      </c>
      <c r="J402" s="179">
        <v>0</v>
      </c>
      <c r="K402" s="179">
        <v>19593915.879999999</v>
      </c>
      <c r="L402" s="179">
        <v>19593915.879999999</v>
      </c>
      <c r="M402" s="179">
        <v>0</v>
      </c>
      <c r="N402" s="179">
        <v>0</v>
      </c>
    </row>
    <row r="403" spans="1:14" s="156" customFormat="1" x14ac:dyDescent="0.25">
      <c r="A403" s="156" t="s">
        <v>546</v>
      </c>
      <c r="B403" s="156" t="s">
        <v>380</v>
      </c>
      <c r="C403" s="156" t="s">
        <v>381</v>
      </c>
      <c r="D403" s="156" t="s">
        <v>541</v>
      </c>
      <c r="E403" s="179">
        <v>0</v>
      </c>
      <c r="F403" s="179">
        <v>3200000000</v>
      </c>
      <c r="G403" s="179">
        <v>3200000000</v>
      </c>
      <c r="H403" s="179">
        <v>0</v>
      </c>
      <c r="I403" s="179">
        <v>0</v>
      </c>
      <c r="J403" s="179">
        <v>0</v>
      </c>
      <c r="K403" s="179">
        <v>0</v>
      </c>
      <c r="L403" s="179">
        <v>0</v>
      </c>
      <c r="M403" s="179">
        <v>3200000000</v>
      </c>
      <c r="N403" s="179">
        <v>3200000000</v>
      </c>
    </row>
    <row r="404" spans="1:14" s="156" customFormat="1" x14ac:dyDescent="0.25">
      <c r="A404" s="156" t="s">
        <v>546</v>
      </c>
      <c r="B404" s="156" t="s">
        <v>380</v>
      </c>
      <c r="C404" s="156" t="s">
        <v>381</v>
      </c>
      <c r="D404" s="156" t="s">
        <v>543</v>
      </c>
      <c r="E404" s="179">
        <v>1831900000</v>
      </c>
      <c r="F404" s="179">
        <v>1542400000</v>
      </c>
      <c r="G404" s="179">
        <v>1542400000</v>
      </c>
      <c r="H404" s="179">
        <v>0</v>
      </c>
      <c r="I404" s="179">
        <v>0</v>
      </c>
      <c r="J404" s="179">
        <v>0</v>
      </c>
      <c r="K404" s="179">
        <v>0</v>
      </c>
      <c r="L404" s="179">
        <v>0</v>
      </c>
      <c r="M404" s="179">
        <v>1542400000</v>
      </c>
      <c r="N404" s="179">
        <v>1542400000</v>
      </c>
    </row>
    <row r="405" spans="1:14" s="156" customFormat="1" x14ac:dyDescent="0.25">
      <c r="A405" s="156" t="s">
        <v>546</v>
      </c>
      <c r="B405" s="156" t="s">
        <v>572</v>
      </c>
      <c r="C405" s="156" t="s">
        <v>573</v>
      </c>
      <c r="D405" s="156" t="s">
        <v>541</v>
      </c>
      <c r="E405" s="179">
        <v>0</v>
      </c>
      <c r="F405" s="179">
        <v>150000000</v>
      </c>
      <c r="G405" s="179">
        <v>150000000</v>
      </c>
      <c r="H405" s="179">
        <v>0</v>
      </c>
      <c r="I405" s="179">
        <v>0</v>
      </c>
      <c r="J405" s="179">
        <v>0</v>
      </c>
      <c r="K405" s="179">
        <v>0</v>
      </c>
      <c r="L405" s="179">
        <v>0</v>
      </c>
      <c r="M405" s="179">
        <v>150000000</v>
      </c>
      <c r="N405" s="179">
        <v>150000000</v>
      </c>
    </row>
    <row r="406" spans="1:14" s="156" customFormat="1" x14ac:dyDescent="0.25">
      <c r="A406" s="156" t="s">
        <v>546</v>
      </c>
      <c r="B406" s="156" t="s">
        <v>94</v>
      </c>
      <c r="C406" s="156" t="s">
        <v>95</v>
      </c>
      <c r="D406" s="156" t="s">
        <v>541</v>
      </c>
      <c r="E406" s="179">
        <v>24948626000</v>
      </c>
      <c r="F406" s="179">
        <v>24179508538</v>
      </c>
      <c r="G406" s="179">
        <v>24179508538</v>
      </c>
      <c r="H406" s="179">
        <v>0</v>
      </c>
      <c r="I406" s="179">
        <v>0</v>
      </c>
      <c r="J406" s="179">
        <v>0</v>
      </c>
      <c r="K406" s="179">
        <v>20839711476.57</v>
      </c>
      <c r="L406" s="179">
        <v>20839711476.57</v>
      </c>
      <c r="M406" s="179">
        <v>3339797061.4299998</v>
      </c>
      <c r="N406" s="179">
        <v>3339797061.4299998</v>
      </c>
    </row>
    <row r="407" spans="1:14" s="156" customFormat="1" x14ac:dyDescent="0.25">
      <c r="A407" s="156" t="s">
        <v>546</v>
      </c>
      <c r="B407" s="156" t="s">
        <v>98</v>
      </c>
      <c r="C407" s="156" t="s">
        <v>99</v>
      </c>
      <c r="D407" s="156" t="s">
        <v>541</v>
      </c>
      <c r="E407" s="179">
        <v>3816434000</v>
      </c>
      <c r="F407" s="179">
        <v>3634302747</v>
      </c>
      <c r="G407" s="179">
        <v>3634302747</v>
      </c>
      <c r="H407" s="179">
        <v>0</v>
      </c>
      <c r="I407" s="179">
        <v>0</v>
      </c>
      <c r="J407" s="179">
        <v>0</v>
      </c>
      <c r="K407" s="179">
        <v>3255655502.52</v>
      </c>
      <c r="L407" s="179">
        <v>3255655502.52</v>
      </c>
      <c r="M407" s="179">
        <v>378647244.48000002</v>
      </c>
      <c r="N407" s="179">
        <v>378647244.48000002</v>
      </c>
    </row>
    <row r="408" spans="1:14" s="156" customFormat="1" x14ac:dyDescent="0.25">
      <c r="A408" s="156" t="s">
        <v>546</v>
      </c>
      <c r="B408" s="156" t="s">
        <v>102</v>
      </c>
      <c r="C408" s="156" t="s">
        <v>103</v>
      </c>
      <c r="D408" s="156" t="s">
        <v>541</v>
      </c>
      <c r="E408" s="179">
        <v>30011202000</v>
      </c>
      <c r="F408" s="179">
        <v>28308861097</v>
      </c>
      <c r="G408" s="179">
        <v>28308861097</v>
      </c>
      <c r="H408" s="179">
        <v>0</v>
      </c>
      <c r="I408" s="179">
        <v>0</v>
      </c>
      <c r="J408" s="179">
        <v>0</v>
      </c>
      <c r="K408" s="179">
        <v>21678818102.27</v>
      </c>
      <c r="L408" s="179">
        <v>21678818102.27</v>
      </c>
      <c r="M408" s="179">
        <v>6630042994.7299995</v>
      </c>
      <c r="N408" s="179">
        <v>6630042994.7299995</v>
      </c>
    </row>
    <row r="409" spans="1:14" s="156" customFormat="1" x14ac:dyDescent="0.25">
      <c r="A409" s="156" t="s">
        <v>546</v>
      </c>
      <c r="B409" s="156" t="s">
        <v>114</v>
      </c>
      <c r="C409" s="156" t="s">
        <v>115</v>
      </c>
      <c r="D409" s="156" t="s">
        <v>541</v>
      </c>
      <c r="E409" s="179">
        <v>5298403000</v>
      </c>
      <c r="F409" s="179">
        <v>5081180800</v>
      </c>
      <c r="G409" s="179">
        <v>5081180800</v>
      </c>
      <c r="H409" s="179">
        <v>0</v>
      </c>
      <c r="I409" s="179">
        <v>639286329</v>
      </c>
      <c r="J409" s="179">
        <v>0</v>
      </c>
      <c r="K409" s="179">
        <v>4441894471</v>
      </c>
      <c r="L409" s="179">
        <v>4441894471</v>
      </c>
      <c r="M409" s="179">
        <v>0</v>
      </c>
      <c r="N409" s="179">
        <v>0</v>
      </c>
    </row>
    <row r="410" spans="1:14" s="156" customFormat="1" x14ac:dyDescent="0.25">
      <c r="A410" s="156" t="s">
        <v>546</v>
      </c>
      <c r="B410" s="156" t="s">
        <v>118</v>
      </c>
      <c r="C410" s="156" t="s">
        <v>119</v>
      </c>
      <c r="D410" s="156" t="s">
        <v>541</v>
      </c>
      <c r="E410" s="179">
        <v>5206020000</v>
      </c>
      <c r="F410" s="179">
        <v>4990934289</v>
      </c>
      <c r="G410" s="179">
        <v>4990934289</v>
      </c>
      <c r="H410" s="179">
        <v>0</v>
      </c>
      <c r="I410" s="179">
        <v>631433621</v>
      </c>
      <c r="J410" s="179">
        <v>0</v>
      </c>
      <c r="K410" s="179">
        <v>4359500668</v>
      </c>
      <c r="L410" s="179">
        <v>4359500668</v>
      </c>
      <c r="M410" s="179">
        <v>0</v>
      </c>
      <c r="N410" s="179">
        <v>0</v>
      </c>
    </row>
    <row r="411" spans="1:14" s="156" customFormat="1" x14ac:dyDescent="0.25">
      <c r="A411" s="156" t="s">
        <v>546</v>
      </c>
      <c r="B411" s="156" t="s">
        <v>357</v>
      </c>
      <c r="C411" s="156" t="s">
        <v>630</v>
      </c>
      <c r="D411" s="156" t="s">
        <v>541</v>
      </c>
      <c r="E411" s="179">
        <v>300000</v>
      </c>
      <c r="F411" s="179">
        <v>0</v>
      </c>
      <c r="G411" s="179">
        <v>0</v>
      </c>
      <c r="H411" s="179">
        <v>0</v>
      </c>
      <c r="I411" s="179">
        <v>0</v>
      </c>
      <c r="J411" s="179">
        <v>0</v>
      </c>
      <c r="K411" s="179">
        <v>0</v>
      </c>
      <c r="L411" s="179">
        <v>0</v>
      </c>
      <c r="M411" s="179">
        <v>0</v>
      </c>
      <c r="N411" s="179">
        <v>0</v>
      </c>
    </row>
    <row r="412" spans="1:14" s="156" customFormat="1" x14ac:dyDescent="0.25">
      <c r="A412" s="156" t="s">
        <v>546</v>
      </c>
      <c r="B412" s="156" t="s">
        <v>125</v>
      </c>
      <c r="C412" s="156" t="s">
        <v>126</v>
      </c>
      <c r="D412" s="156" t="s">
        <v>541</v>
      </c>
      <c r="E412" s="179">
        <v>7388276000</v>
      </c>
      <c r="F412" s="179">
        <v>5941867616</v>
      </c>
      <c r="G412" s="179">
        <v>5941867616</v>
      </c>
      <c r="H412" s="179">
        <v>0</v>
      </c>
      <c r="I412" s="179">
        <v>870224678.72000003</v>
      </c>
      <c r="J412" s="179">
        <v>0</v>
      </c>
      <c r="K412" s="179">
        <v>3761106480.3499999</v>
      </c>
      <c r="L412" s="179">
        <v>2529092050.9499998</v>
      </c>
      <c r="M412" s="179">
        <v>1310536456.9300001</v>
      </c>
      <c r="N412" s="179">
        <v>1310536456.9300001</v>
      </c>
    </row>
    <row r="413" spans="1:14" s="156" customFormat="1" x14ac:dyDescent="0.25">
      <c r="A413" s="156" t="s">
        <v>546</v>
      </c>
      <c r="B413" s="156" t="s">
        <v>131</v>
      </c>
      <c r="C413" s="156" t="s">
        <v>132</v>
      </c>
      <c r="D413" s="156" t="s">
        <v>541</v>
      </c>
      <c r="E413" s="179">
        <v>4954374000</v>
      </c>
      <c r="F413" s="179">
        <v>5424244314</v>
      </c>
      <c r="G413" s="179">
        <v>5424244314</v>
      </c>
      <c r="H413" s="179">
        <v>0</v>
      </c>
      <c r="I413" s="179">
        <v>1055431640.3099999</v>
      </c>
      <c r="J413" s="179">
        <v>0</v>
      </c>
      <c r="K413" s="179">
        <v>4110145846.4499998</v>
      </c>
      <c r="L413" s="179">
        <v>3460584233.21</v>
      </c>
      <c r="M413" s="179">
        <v>258666827.24000001</v>
      </c>
      <c r="N413" s="179">
        <v>258666827.24000001</v>
      </c>
    </row>
    <row r="414" spans="1:14" s="156" customFormat="1" x14ac:dyDescent="0.25">
      <c r="A414" s="156" t="s">
        <v>546</v>
      </c>
      <c r="B414" s="156" t="s">
        <v>143</v>
      </c>
      <c r="C414" s="156" t="s">
        <v>144</v>
      </c>
      <c r="D414" s="156" t="s">
        <v>541</v>
      </c>
      <c r="E414" s="179">
        <v>5449000</v>
      </c>
      <c r="F414" s="179">
        <v>8557560</v>
      </c>
      <c r="G414" s="179">
        <v>8557560</v>
      </c>
      <c r="H414" s="179">
        <v>0</v>
      </c>
      <c r="I414" s="179">
        <v>4906220</v>
      </c>
      <c r="J414" s="179">
        <v>0</v>
      </c>
      <c r="K414" s="179">
        <v>3376340</v>
      </c>
      <c r="L414" s="179">
        <v>3376340</v>
      </c>
      <c r="M414" s="179">
        <v>275000</v>
      </c>
      <c r="N414" s="179">
        <v>275000</v>
      </c>
    </row>
    <row r="415" spans="1:14" s="156" customFormat="1" x14ac:dyDescent="0.25">
      <c r="A415" s="156" t="s">
        <v>546</v>
      </c>
      <c r="B415" s="156" t="s">
        <v>151</v>
      </c>
      <c r="C415" s="156" t="s">
        <v>152</v>
      </c>
      <c r="D415" s="156" t="s">
        <v>541</v>
      </c>
      <c r="E415" s="179">
        <v>232183000</v>
      </c>
      <c r="F415" s="179">
        <v>328109093</v>
      </c>
      <c r="G415" s="179">
        <v>328109093</v>
      </c>
      <c r="H415" s="179">
        <v>0</v>
      </c>
      <c r="I415" s="179">
        <v>140287010.34999999</v>
      </c>
      <c r="J415" s="179">
        <v>0</v>
      </c>
      <c r="K415" s="179">
        <v>128166325.45</v>
      </c>
      <c r="L415" s="179">
        <v>120023298.75</v>
      </c>
      <c r="M415" s="179">
        <v>59655757.200000003</v>
      </c>
      <c r="N415" s="179">
        <v>59655757.200000003</v>
      </c>
    </row>
    <row r="416" spans="1:14" s="156" customFormat="1" x14ac:dyDescent="0.25">
      <c r="A416" s="156" t="s">
        <v>546</v>
      </c>
      <c r="B416" s="156" t="s">
        <v>158</v>
      </c>
      <c r="C416" s="156" t="s">
        <v>159</v>
      </c>
      <c r="D416" s="156" t="s">
        <v>541</v>
      </c>
      <c r="E416" s="179">
        <v>158364000</v>
      </c>
      <c r="F416" s="179">
        <v>159170448.31999999</v>
      </c>
      <c r="G416" s="179">
        <v>159170448.31999999</v>
      </c>
      <c r="H416" s="179">
        <v>270450</v>
      </c>
      <c r="I416" s="179">
        <v>28531275</v>
      </c>
      <c r="J416" s="179">
        <v>0</v>
      </c>
      <c r="K416" s="179">
        <v>96430050</v>
      </c>
      <c r="L416" s="179">
        <v>96390870</v>
      </c>
      <c r="M416" s="179">
        <v>33938673.32</v>
      </c>
      <c r="N416" s="179">
        <v>33938673.32</v>
      </c>
    </row>
    <row r="417" spans="1:14" s="156" customFormat="1" x14ac:dyDescent="0.25">
      <c r="A417" s="156" t="s">
        <v>546</v>
      </c>
      <c r="B417" s="156" t="s">
        <v>168</v>
      </c>
      <c r="C417" s="156" t="s">
        <v>169</v>
      </c>
      <c r="D417" s="156" t="s">
        <v>541</v>
      </c>
      <c r="E417" s="179">
        <v>1404477000</v>
      </c>
      <c r="F417" s="179">
        <v>1404477000</v>
      </c>
      <c r="G417" s="179">
        <v>1404477000</v>
      </c>
      <c r="H417" s="179">
        <v>0</v>
      </c>
      <c r="I417" s="179">
        <v>189950402</v>
      </c>
      <c r="J417" s="179">
        <v>0</v>
      </c>
      <c r="K417" s="179">
        <v>995524760</v>
      </c>
      <c r="L417" s="179">
        <v>799749790</v>
      </c>
      <c r="M417" s="179">
        <v>219001838</v>
      </c>
      <c r="N417" s="179">
        <v>219001838</v>
      </c>
    </row>
    <row r="418" spans="1:14" s="156" customFormat="1" x14ac:dyDescent="0.25">
      <c r="A418" s="156" t="s">
        <v>546</v>
      </c>
      <c r="B418" s="156" t="s">
        <v>172</v>
      </c>
      <c r="C418" s="156" t="s">
        <v>173</v>
      </c>
      <c r="D418" s="156" t="s">
        <v>541</v>
      </c>
      <c r="E418" s="179">
        <v>1000000</v>
      </c>
      <c r="F418" s="179">
        <v>860000</v>
      </c>
      <c r="G418" s="179">
        <v>860000</v>
      </c>
      <c r="H418" s="179">
        <v>0</v>
      </c>
      <c r="I418" s="179">
        <v>860000</v>
      </c>
      <c r="J418" s="179">
        <v>0</v>
      </c>
      <c r="K418" s="179">
        <v>0</v>
      </c>
      <c r="L418" s="179">
        <v>0</v>
      </c>
      <c r="M418" s="179">
        <v>0</v>
      </c>
      <c r="N418" s="179">
        <v>0</v>
      </c>
    </row>
    <row r="419" spans="1:14" s="156" customFormat="1" x14ac:dyDescent="0.25">
      <c r="A419" s="156" t="s">
        <v>546</v>
      </c>
      <c r="B419" s="156" t="s">
        <v>178</v>
      </c>
      <c r="C419" s="156" t="s">
        <v>179</v>
      </c>
      <c r="D419" s="156" t="s">
        <v>541</v>
      </c>
      <c r="E419" s="179">
        <v>1092012000</v>
      </c>
      <c r="F419" s="179">
        <v>817691575</v>
      </c>
      <c r="G419" s="179">
        <v>817691575</v>
      </c>
      <c r="H419" s="179">
        <v>0</v>
      </c>
      <c r="I419" s="179">
        <v>377144333.17000002</v>
      </c>
      <c r="J419" s="179">
        <v>20405908.710000001</v>
      </c>
      <c r="K419" s="179">
        <v>271400096.61000001</v>
      </c>
      <c r="L419" s="179">
        <v>251464876.28</v>
      </c>
      <c r="M419" s="179">
        <v>148741236.50999999</v>
      </c>
      <c r="N419" s="179">
        <v>148741236.50999999</v>
      </c>
    </row>
    <row r="420" spans="1:14" s="156" customFormat="1" x14ac:dyDescent="0.25">
      <c r="A420" s="156" t="s">
        <v>546</v>
      </c>
      <c r="B420" s="156" t="s">
        <v>192</v>
      </c>
      <c r="C420" s="156" t="s">
        <v>193</v>
      </c>
      <c r="D420" s="156" t="s">
        <v>541</v>
      </c>
      <c r="E420" s="179">
        <v>16000000</v>
      </c>
      <c r="F420" s="179">
        <v>16000000</v>
      </c>
      <c r="G420" s="179">
        <v>16000000</v>
      </c>
      <c r="H420" s="179">
        <v>0</v>
      </c>
      <c r="I420" s="179">
        <v>13870025</v>
      </c>
      <c r="J420" s="179">
        <v>0</v>
      </c>
      <c r="K420" s="179">
        <v>135141</v>
      </c>
      <c r="L420" s="179">
        <v>135141</v>
      </c>
      <c r="M420" s="179">
        <v>1994834</v>
      </c>
      <c r="N420" s="179">
        <v>1994834</v>
      </c>
    </row>
    <row r="421" spans="1:14" s="156" customFormat="1" x14ac:dyDescent="0.25">
      <c r="A421" s="156" t="s">
        <v>546</v>
      </c>
      <c r="B421" s="156" t="s">
        <v>196</v>
      </c>
      <c r="C421" s="156" t="s">
        <v>197</v>
      </c>
      <c r="D421" s="156" t="s">
        <v>541</v>
      </c>
      <c r="E421" s="179">
        <v>37925000</v>
      </c>
      <c r="F421" s="179">
        <v>86193515</v>
      </c>
      <c r="G421" s="179">
        <v>86193515</v>
      </c>
      <c r="H421" s="179">
        <v>0</v>
      </c>
      <c r="I421" s="179">
        <v>19654794.43</v>
      </c>
      <c r="J421" s="179">
        <v>0</v>
      </c>
      <c r="K421" s="179">
        <v>4395207.4000000004</v>
      </c>
      <c r="L421" s="179">
        <v>4003731.35</v>
      </c>
      <c r="M421" s="179">
        <v>62143513.170000002</v>
      </c>
      <c r="N421" s="179">
        <v>62143513.170000002</v>
      </c>
    </row>
    <row r="422" spans="1:14" s="156" customFormat="1" x14ac:dyDescent="0.25">
      <c r="A422" s="156" t="s">
        <v>546</v>
      </c>
      <c r="B422" s="156" t="s">
        <v>202</v>
      </c>
      <c r="C422" s="156" t="s">
        <v>203</v>
      </c>
      <c r="D422" s="156" t="s">
        <v>541</v>
      </c>
      <c r="E422" s="179">
        <v>917065000</v>
      </c>
      <c r="F422" s="179">
        <v>893159475</v>
      </c>
      <c r="G422" s="179">
        <v>893159475</v>
      </c>
      <c r="H422" s="179">
        <v>1008000</v>
      </c>
      <c r="I422" s="179">
        <v>261300249.80000001</v>
      </c>
      <c r="J422" s="179">
        <v>127368</v>
      </c>
      <c r="K422" s="179">
        <v>607010635.03999996</v>
      </c>
      <c r="L422" s="179">
        <v>583320893.32000005</v>
      </c>
      <c r="M422" s="179">
        <v>23713222.16</v>
      </c>
      <c r="N422" s="179">
        <v>23713222.16</v>
      </c>
    </row>
    <row r="423" spans="1:14" s="156" customFormat="1" x14ac:dyDescent="0.25">
      <c r="A423" s="156" t="s">
        <v>546</v>
      </c>
      <c r="B423" s="156" t="s">
        <v>212</v>
      </c>
      <c r="C423" s="156" t="s">
        <v>213</v>
      </c>
      <c r="D423" s="156" t="s">
        <v>541</v>
      </c>
      <c r="E423" s="179">
        <v>11011103690</v>
      </c>
      <c r="F423" s="179">
        <v>10517884481.51</v>
      </c>
      <c r="G423" s="179">
        <v>10517884481.51</v>
      </c>
      <c r="H423" s="179">
        <v>0</v>
      </c>
      <c r="I423" s="179">
        <v>1980625693.1800001</v>
      </c>
      <c r="J423" s="179">
        <v>204724977.43000001</v>
      </c>
      <c r="K423" s="179">
        <v>8093965782.3400002</v>
      </c>
      <c r="L423" s="179">
        <v>7123432386.79</v>
      </c>
      <c r="M423" s="179">
        <v>238568028.56</v>
      </c>
      <c r="N423" s="179">
        <v>238568028.56</v>
      </c>
    </row>
    <row r="424" spans="1:14" s="156" customFormat="1" x14ac:dyDescent="0.25">
      <c r="A424" s="156" t="s">
        <v>546</v>
      </c>
      <c r="B424" s="156" t="s">
        <v>216</v>
      </c>
      <c r="C424" s="156" t="s">
        <v>217</v>
      </c>
      <c r="D424" s="156" t="s">
        <v>541</v>
      </c>
      <c r="E424" s="179">
        <v>1141773000</v>
      </c>
      <c r="F424" s="179">
        <v>727388654</v>
      </c>
      <c r="G424" s="179">
        <v>727388654</v>
      </c>
      <c r="H424" s="179">
        <v>0</v>
      </c>
      <c r="I424" s="179">
        <v>243149299.90000001</v>
      </c>
      <c r="J424" s="179">
        <v>37204554.670000002</v>
      </c>
      <c r="K424" s="179">
        <v>289448128.67000002</v>
      </c>
      <c r="L424" s="179">
        <v>181826012.87</v>
      </c>
      <c r="M424" s="179">
        <v>157586670.75999999</v>
      </c>
      <c r="N424" s="179">
        <v>157586670.75999999</v>
      </c>
    </row>
    <row r="425" spans="1:14" s="156" customFormat="1" x14ac:dyDescent="0.25">
      <c r="A425" s="156" t="s">
        <v>546</v>
      </c>
      <c r="B425" s="156" t="s">
        <v>228</v>
      </c>
      <c r="C425" s="156" t="s">
        <v>229</v>
      </c>
      <c r="D425" s="156" t="s">
        <v>541</v>
      </c>
      <c r="E425" s="179">
        <v>289044000</v>
      </c>
      <c r="F425" s="179">
        <v>241220514</v>
      </c>
      <c r="G425" s="179">
        <v>241220514</v>
      </c>
      <c r="H425" s="179">
        <v>0</v>
      </c>
      <c r="I425" s="179">
        <v>48218066.909999996</v>
      </c>
      <c r="J425" s="179">
        <v>4926212.5999999996</v>
      </c>
      <c r="K425" s="179">
        <v>74196426.900000006</v>
      </c>
      <c r="L425" s="179">
        <v>57474881.829999998</v>
      </c>
      <c r="M425" s="179">
        <v>113879807.59</v>
      </c>
      <c r="N425" s="179">
        <v>113879807.59</v>
      </c>
    </row>
    <row r="426" spans="1:14" s="156" customFormat="1" x14ac:dyDescent="0.25">
      <c r="A426" s="156" t="s">
        <v>546</v>
      </c>
      <c r="B426" s="156" t="s">
        <v>234</v>
      </c>
      <c r="C426" s="156" t="s">
        <v>624</v>
      </c>
      <c r="D426" s="156" t="s">
        <v>541</v>
      </c>
      <c r="E426" s="179">
        <v>3046863000</v>
      </c>
      <c r="F426" s="179">
        <v>2910860657</v>
      </c>
      <c r="G426" s="179">
        <v>2910860657</v>
      </c>
      <c r="H426" s="179">
        <v>52618326.859999999</v>
      </c>
      <c r="I426" s="179">
        <v>1137215110.5899999</v>
      </c>
      <c r="J426" s="179">
        <v>59543252.600000001</v>
      </c>
      <c r="K426" s="179">
        <v>1452246176.6600001</v>
      </c>
      <c r="L426" s="179">
        <v>1328436481.73</v>
      </c>
      <c r="M426" s="179">
        <v>209237790.28999999</v>
      </c>
      <c r="N426" s="179">
        <v>209237790.28999999</v>
      </c>
    </row>
    <row r="427" spans="1:14" s="156" customFormat="1" x14ac:dyDescent="0.25">
      <c r="A427" s="156" t="s">
        <v>546</v>
      </c>
      <c r="B427" s="156" t="s">
        <v>281</v>
      </c>
      <c r="C427" s="156" t="s">
        <v>282</v>
      </c>
      <c r="D427" s="156" t="s">
        <v>541</v>
      </c>
      <c r="E427" s="179">
        <v>1343483000</v>
      </c>
      <c r="F427" s="179">
        <v>1443057663</v>
      </c>
      <c r="G427" s="179">
        <v>1443057663</v>
      </c>
      <c r="H427" s="179">
        <v>53906434</v>
      </c>
      <c r="I427" s="179">
        <v>504095702.83999997</v>
      </c>
      <c r="J427" s="179">
        <v>182596959.74000001</v>
      </c>
      <c r="K427" s="179">
        <v>615044371.22000003</v>
      </c>
      <c r="L427" s="179">
        <v>610213696.01999998</v>
      </c>
      <c r="M427" s="179">
        <v>87414195.200000003</v>
      </c>
      <c r="N427" s="179">
        <v>87414195.200000003</v>
      </c>
    </row>
    <row r="428" spans="1:14" s="156" customFormat="1" x14ac:dyDescent="0.25">
      <c r="A428" s="156" t="s">
        <v>546</v>
      </c>
      <c r="B428" s="156" t="s">
        <v>297</v>
      </c>
      <c r="C428" s="156" t="s">
        <v>298</v>
      </c>
      <c r="D428" s="156" t="s">
        <v>543</v>
      </c>
      <c r="E428" s="179">
        <v>2093838000</v>
      </c>
      <c r="F428" s="179">
        <v>1728431799</v>
      </c>
      <c r="G428" s="179">
        <v>1728431799</v>
      </c>
      <c r="H428" s="179">
        <v>0</v>
      </c>
      <c r="I428" s="179">
        <v>734282068.07000005</v>
      </c>
      <c r="J428" s="179">
        <v>674000</v>
      </c>
      <c r="K428" s="179">
        <v>874979083.84000003</v>
      </c>
      <c r="L428" s="179">
        <v>838505207.26999998</v>
      </c>
      <c r="M428" s="179">
        <v>118496647.09</v>
      </c>
      <c r="N428" s="179">
        <v>118496647.09</v>
      </c>
    </row>
    <row r="429" spans="1:14" s="156" customFormat="1" x14ac:dyDescent="0.25">
      <c r="A429" s="156" t="s">
        <v>546</v>
      </c>
      <c r="B429" s="156" t="s">
        <v>340</v>
      </c>
      <c r="C429" s="156" t="s">
        <v>341</v>
      </c>
      <c r="D429" s="156" t="s">
        <v>543</v>
      </c>
      <c r="E429" s="179">
        <v>339500000</v>
      </c>
      <c r="F429" s="179">
        <v>332588982</v>
      </c>
      <c r="G429" s="179">
        <v>332588982</v>
      </c>
      <c r="H429" s="179">
        <v>579763.80000000005</v>
      </c>
      <c r="I429" s="179">
        <v>223422354.53999999</v>
      </c>
      <c r="J429" s="179">
        <v>37617852.479999997</v>
      </c>
      <c r="K429" s="179">
        <v>20525942.280000001</v>
      </c>
      <c r="L429" s="179">
        <v>20525942.280000001</v>
      </c>
      <c r="M429" s="179">
        <v>50443068.899999999</v>
      </c>
      <c r="N429" s="179">
        <v>50443068.899999999</v>
      </c>
    </row>
    <row r="430" spans="1:14" s="156" customFormat="1" x14ac:dyDescent="0.25">
      <c r="A430" s="156" t="s">
        <v>546</v>
      </c>
      <c r="B430" s="156" t="s">
        <v>253</v>
      </c>
      <c r="C430" s="156" t="s">
        <v>254</v>
      </c>
      <c r="D430" s="156" t="s">
        <v>541</v>
      </c>
      <c r="E430" s="179">
        <v>630544000</v>
      </c>
      <c r="F430" s="179">
        <v>625784456</v>
      </c>
      <c r="G430" s="179">
        <v>625784456</v>
      </c>
      <c r="H430" s="179">
        <v>0</v>
      </c>
      <c r="I430" s="179">
        <v>17220197.5</v>
      </c>
      <c r="J430" s="179">
        <v>0</v>
      </c>
      <c r="K430" s="179">
        <v>561024258.5</v>
      </c>
      <c r="L430" s="179">
        <v>561024258.5</v>
      </c>
      <c r="M430" s="179">
        <v>47540000</v>
      </c>
      <c r="N430" s="179">
        <v>47540000</v>
      </c>
    </row>
    <row r="431" spans="1:14" s="156" customFormat="1" x14ac:dyDescent="0.25">
      <c r="A431" s="156" t="s">
        <v>546</v>
      </c>
      <c r="B431" s="156" t="s">
        <v>372</v>
      </c>
      <c r="C431" s="156" t="s">
        <v>373</v>
      </c>
      <c r="D431" s="156" t="s">
        <v>541</v>
      </c>
      <c r="E431" s="179">
        <v>450000000</v>
      </c>
      <c r="F431" s="179">
        <v>450000000</v>
      </c>
      <c r="G431" s="179">
        <v>450000000</v>
      </c>
      <c r="H431" s="179">
        <v>0</v>
      </c>
      <c r="I431" s="179">
        <v>72500000</v>
      </c>
      <c r="J431" s="179">
        <v>0</v>
      </c>
      <c r="K431" s="179">
        <v>377500000</v>
      </c>
      <c r="L431" s="179">
        <v>337500000</v>
      </c>
      <c r="M431" s="179">
        <v>0</v>
      </c>
      <c r="N431" s="179">
        <v>0</v>
      </c>
    </row>
    <row r="432" spans="1:14" s="156" customFormat="1" x14ac:dyDescent="0.25">
      <c r="A432" s="156" t="s">
        <v>546</v>
      </c>
      <c r="B432" s="156" t="s">
        <v>261</v>
      </c>
      <c r="C432" s="156" t="s">
        <v>262</v>
      </c>
      <c r="D432" s="156" t="s">
        <v>541</v>
      </c>
      <c r="E432" s="179">
        <v>697525000</v>
      </c>
      <c r="F432" s="179">
        <v>1408228414</v>
      </c>
      <c r="G432" s="179">
        <v>1408228414</v>
      </c>
      <c r="H432" s="179">
        <v>0</v>
      </c>
      <c r="I432" s="179">
        <v>104564411.01000001</v>
      </c>
      <c r="J432" s="179">
        <v>0</v>
      </c>
      <c r="K432" s="179">
        <v>1275915264.1300001</v>
      </c>
      <c r="L432" s="179">
        <v>1270744527.6900001</v>
      </c>
      <c r="M432" s="179">
        <v>27748738.859999999</v>
      </c>
      <c r="N432" s="179">
        <v>27748738.859999999</v>
      </c>
    </row>
    <row r="433" spans="1:14" s="156" customFormat="1" x14ac:dyDescent="0.25">
      <c r="A433" s="156" t="s">
        <v>546</v>
      </c>
      <c r="B433" s="156" t="s">
        <v>267</v>
      </c>
      <c r="C433" s="156" t="s">
        <v>268</v>
      </c>
      <c r="D433" s="156" t="s">
        <v>541</v>
      </c>
      <c r="E433" s="179">
        <v>103928000</v>
      </c>
      <c r="F433" s="179">
        <v>219550421.16999999</v>
      </c>
      <c r="G433" s="179">
        <v>219550421.16999999</v>
      </c>
      <c r="H433" s="179">
        <v>0</v>
      </c>
      <c r="I433" s="179">
        <v>59304560.630000003</v>
      </c>
      <c r="J433" s="179">
        <v>0</v>
      </c>
      <c r="K433" s="179">
        <v>39049042.829999998</v>
      </c>
      <c r="L433" s="179">
        <v>39049042.829999998</v>
      </c>
      <c r="M433" s="179">
        <v>121196817.70999999</v>
      </c>
      <c r="N433" s="179">
        <v>121196817.70999999</v>
      </c>
    </row>
    <row r="434" spans="1:14" s="156" customFormat="1" x14ac:dyDescent="0.25">
      <c r="A434" s="156" t="s">
        <v>546</v>
      </c>
      <c r="B434" s="156" t="s">
        <v>378</v>
      </c>
      <c r="C434" s="156" t="s">
        <v>379</v>
      </c>
      <c r="D434" s="156" t="s">
        <v>541</v>
      </c>
      <c r="E434" s="179">
        <v>1831900000</v>
      </c>
      <c r="F434" s="179">
        <v>4742400000</v>
      </c>
      <c r="G434" s="179">
        <v>4742400000</v>
      </c>
      <c r="H434" s="179">
        <v>0</v>
      </c>
      <c r="I434" s="179">
        <v>0</v>
      </c>
      <c r="J434" s="179">
        <v>0</v>
      </c>
      <c r="K434" s="179">
        <v>0</v>
      </c>
      <c r="L434" s="179">
        <v>0</v>
      </c>
      <c r="M434" s="179">
        <v>4742400000</v>
      </c>
      <c r="N434" s="179">
        <v>4742400000</v>
      </c>
    </row>
    <row r="435" spans="1:14" s="156" customFormat="1" x14ac:dyDescent="0.25">
      <c r="A435" s="156" t="s">
        <v>546</v>
      </c>
      <c r="B435" s="156" t="s">
        <v>574</v>
      </c>
      <c r="C435" s="156" t="s">
        <v>575</v>
      </c>
      <c r="D435" s="156" t="s">
        <v>541</v>
      </c>
      <c r="E435" s="179">
        <v>0</v>
      </c>
      <c r="F435" s="179">
        <v>150000000</v>
      </c>
      <c r="G435" s="179">
        <v>150000000</v>
      </c>
      <c r="H435" s="179">
        <v>0</v>
      </c>
      <c r="I435" s="179">
        <v>0</v>
      </c>
      <c r="J435" s="179">
        <v>0</v>
      </c>
      <c r="K435" s="179">
        <v>0</v>
      </c>
      <c r="L435" s="179">
        <v>0</v>
      </c>
      <c r="M435" s="179">
        <v>150000000</v>
      </c>
      <c r="N435" s="179">
        <v>150000000</v>
      </c>
    </row>
    <row r="436" spans="1:14" s="156" customFormat="1" x14ac:dyDescent="0.25">
      <c r="A436" s="156" t="s">
        <v>546</v>
      </c>
      <c r="B436" s="156" t="s">
        <v>92</v>
      </c>
      <c r="C436" s="156" t="s">
        <v>93</v>
      </c>
      <c r="D436" s="156" t="s">
        <v>541</v>
      </c>
      <c r="E436" s="179">
        <v>69280985000</v>
      </c>
      <c r="F436" s="179">
        <v>66194787471</v>
      </c>
      <c r="G436" s="179">
        <v>66194787471</v>
      </c>
      <c r="H436" s="179">
        <v>0</v>
      </c>
      <c r="I436" s="179">
        <v>1270719950</v>
      </c>
      <c r="J436" s="179">
        <v>0</v>
      </c>
      <c r="K436" s="179">
        <v>54575580220.360001</v>
      </c>
      <c r="L436" s="179">
        <v>54575580220.360001</v>
      </c>
      <c r="M436" s="179">
        <v>10348487300.639999</v>
      </c>
      <c r="N436" s="179">
        <v>10348487300.639999</v>
      </c>
    </row>
    <row r="437" spans="1:14" s="156" customFormat="1" x14ac:dyDescent="0.25">
      <c r="A437" s="156" t="s">
        <v>546</v>
      </c>
      <c r="B437" s="156" t="s">
        <v>123</v>
      </c>
      <c r="C437" s="156" t="s">
        <v>124</v>
      </c>
      <c r="D437" s="156" t="s">
        <v>541</v>
      </c>
      <c r="E437" s="179">
        <v>15290060000</v>
      </c>
      <c r="F437" s="179">
        <v>14187171121.32</v>
      </c>
      <c r="G437" s="179">
        <v>14187171121.32</v>
      </c>
      <c r="H437" s="179">
        <v>270450</v>
      </c>
      <c r="I437" s="179">
        <v>2700860378.98</v>
      </c>
      <c r="J437" s="179">
        <v>20405908.710000001</v>
      </c>
      <c r="K437" s="179">
        <v>9370680247.2600002</v>
      </c>
      <c r="L437" s="179">
        <v>7264820331.54</v>
      </c>
      <c r="M437" s="179">
        <v>2094954136.3699999</v>
      </c>
      <c r="N437" s="179">
        <v>2094954136.3699999</v>
      </c>
    </row>
    <row r="438" spans="1:14" s="156" customFormat="1" x14ac:dyDescent="0.25">
      <c r="A438" s="156" t="s">
        <v>546</v>
      </c>
      <c r="B438" s="156" t="s">
        <v>200</v>
      </c>
      <c r="C438" s="156" t="s">
        <v>201</v>
      </c>
      <c r="D438" s="156" t="s">
        <v>541</v>
      </c>
      <c r="E438" s="179">
        <v>16405848690</v>
      </c>
      <c r="F438" s="179">
        <v>15290513781.51</v>
      </c>
      <c r="G438" s="179">
        <v>15290513781.51</v>
      </c>
      <c r="H438" s="179">
        <v>53626326.859999999</v>
      </c>
      <c r="I438" s="179">
        <v>3670508420.3800001</v>
      </c>
      <c r="J438" s="179">
        <v>306526365.30000001</v>
      </c>
      <c r="K438" s="179">
        <v>10516867149.610001</v>
      </c>
      <c r="L438" s="179">
        <v>9274490656.5400009</v>
      </c>
      <c r="M438" s="179">
        <v>742985519.36000001</v>
      </c>
      <c r="N438" s="179">
        <v>742985519.36000001</v>
      </c>
    </row>
    <row r="439" spans="1:14" s="156" customFormat="1" x14ac:dyDescent="0.25">
      <c r="A439" s="156" t="s">
        <v>546</v>
      </c>
      <c r="B439" s="156" t="s">
        <v>279</v>
      </c>
      <c r="C439" s="156" t="s">
        <v>280</v>
      </c>
      <c r="D439" s="156" t="s">
        <v>541</v>
      </c>
      <c r="E439" s="179">
        <v>3776821000</v>
      </c>
      <c r="F439" s="179">
        <v>3504078444</v>
      </c>
      <c r="G439" s="179">
        <v>3504078444</v>
      </c>
      <c r="H439" s="179">
        <v>54486197.799999997</v>
      </c>
      <c r="I439" s="179">
        <v>1461800125.45</v>
      </c>
      <c r="J439" s="179">
        <v>220888812.22</v>
      </c>
      <c r="K439" s="179">
        <v>1510549397.3399999</v>
      </c>
      <c r="L439" s="179">
        <v>1469244845.5699999</v>
      </c>
      <c r="M439" s="179">
        <v>256353911.19</v>
      </c>
      <c r="N439" s="179">
        <v>256353911.19</v>
      </c>
    </row>
    <row r="440" spans="1:14" s="156" customFormat="1" x14ac:dyDescent="0.25">
      <c r="A440" s="156" t="s">
        <v>546</v>
      </c>
      <c r="B440" s="156" t="s">
        <v>251</v>
      </c>
      <c r="C440" s="156" t="s">
        <v>252</v>
      </c>
      <c r="D440" s="156" t="s">
        <v>541</v>
      </c>
      <c r="E440" s="179">
        <v>1881997000</v>
      </c>
      <c r="F440" s="179">
        <v>2703563291.1700001</v>
      </c>
      <c r="G440" s="179">
        <v>2703563291.1700001</v>
      </c>
      <c r="H440" s="179">
        <v>0</v>
      </c>
      <c r="I440" s="179">
        <v>253589169.13999999</v>
      </c>
      <c r="J440" s="179">
        <v>0</v>
      </c>
      <c r="K440" s="179">
        <v>2253488565.46</v>
      </c>
      <c r="L440" s="179">
        <v>2208317829.02</v>
      </c>
      <c r="M440" s="179">
        <v>196485556.56999999</v>
      </c>
      <c r="N440" s="179">
        <v>196485556.56999999</v>
      </c>
    </row>
    <row r="441" spans="1:14" s="156" customFormat="1" x14ac:dyDescent="0.25">
      <c r="A441" s="156" t="s">
        <v>546</v>
      </c>
      <c r="B441" s="156" t="s">
        <v>376</v>
      </c>
      <c r="C441" s="156" t="s">
        <v>377</v>
      </c>
      <c r="D441" s="156" t="s">
        <v>541</v>
      </c>
      <c r="E441" s="179">
        <v>1831900000</v>
      </c>
      <c r="F441" s="179">
        <v>4742400000</v>
      </c>
      <c r="G441" s="179">
        <v>4742400000</v>
      </c>
      <c r="H441" s="179">
        <v>0</v>
      </c>
      <c r="I441" s="179">
        <v>0</v>
      </c>
      <c r="J441" s="179">
        <v>0</v>
      </c>
      <c r="K441" s="179">
        <v>0</v>
      </c>
      <c r="L441" s="179">
        <v>0</v>
      </c>
      <c r="M441" s="179">
        <v>4742400000</v>
      </c>
      <c r="N441" s="179">
        <v>4742400000</v>
      </c>
    </row>
    <row r="442" spans="1:14" s="156" customFormat="1" x14ac:dyDescent="0.25">
      <c r="A442" s="156" t="s">
        <v>546</v>
      </c>
      <c r="B442" s="156" t="s">
        <v>576</v>
      </c>
      <c r="C442" s="156" t="s">
        <v>577</v>
      </c>
      <c r="D442" s="156" t="s">
        <v>541</v>
      </c>
      <c r="E442" s="179">
        <v>0</v>
      </c>
      <c r="F442" s="179">
        <v>150000000</v>
      </c>
      <c r="G442" s="179">
        <v>150000000</v>
      </c>
      <c r="H442" s="179">
        <v>0</v>
      </c>
      <c r="I442" s="179">
        <v>0</v>
      </c>
      <c r="J442" s="179">
        <v>0</v>
      </c>
      <c r="K442" s="179">
        <v>0</v>
      </c>
      <c r="L442" s="179">
        <v>0</v>
      </c>
      <c r="M442" s="179">
        <v>150000000</v>
      </c>
      <c r="N442" s="179">
        <v>150000000</v>
      </c>
    </row>
    <row r="443" spans="1:14" s="156" customFormat="1" x14ac:dyDescent="0.25">
      <c r="A443" s="156">
        <v>214783</v>
      </c>
      <c r="B443" s="156" t="s">
        <v>587</v>
      </c>
      <c r="C443" s="156" t="s">
        <v>587</v>
      </c>
      <c r="D443" s="156" t="s">
        <v>541</v>
      </c>
      <c r="E443" s="179">
        <v>108467611690</v>
      </c>
      <c r="F443" s="179">
        <v>106772514109</v>
      </c>
      <c r="G443" s="179">
        <v>106772514109</v>
      </c>
      <c r="H443" s="179">
        <v>108382974.66</v>
      </c>
      <c r="I443" s="179">
        <v>9357478043.9500008</v>
      </c>
      <c r="J443" s="179">
        <v>547821086.23000002</v>
      </c>
      <c r="K443" s="179">
        <v>78227165580.029999</v>
      </c>
      <c r="L443" s="179">
        <v>74792453883.029999</v>
      </c>
      <c r="M443" s="179">
        <v>18531666424.130001</v>
      </c>
      <c r="N443" s="179">
        <v>18531666424.130001</v>
      </c>
    </row>
    <row r="444" spans="1:14" s="156" customFormat="1" x14ac:dyDescent="0.25">
      <c r="A444" s="156" t="s">
        <v>547</v>
      </c>
      <c r="B444" s="156" t="s">
        <v>96</v>
      </c>
      <c r="C444" s="156" t="s">
        <v>97</v>
      </c>
      <c r="D444" s="156" t="s">
        <v>541</v>
      </c>
      <c r="E444" s="179">
        <v>4465420000</v>
      </c>
      <c r="F444" s="179">
        <v>4242755975</v>
      </c>
      <c r="G444" s="179">
        <v>4236781475</v>
      </c>
      <c r="H444" s="179">
        <v>0</v>
      </c>
      <c r="I444" s="179">
        <v>960284.38</v>
      </c>
      <c r="J444" s="179">
        <v>0</v>
      </c>
      <c r="K444" s="179">
        <v>3694411828.6100001</v>
      </c>
      <c r="L444" s="179">
        <v>3694411828.6100001</v>
      </c>
      <c r="M444" s="179">
        <v>547383862.00999999</v>
      </c>
      <c r="N444" s="179">
        <v>541409362.00999999</v>
      </c>
    </row>
    <row r="445" spans="1:14" s="156" customFormat="1" x14ac:dyDescent="0.25">
      <c r="A445" s="156" t="s">
        <v>547</v>
      </c>
      <c r="B445" s="156" t="s">
        <v>104</v>
      </c>
      <c r="C445" s="156" t="s">
        <v>105</v>
      </c>
      <c r="D445" s="156" t="s">
        <v>541</v>
      </c>
      <c r="E445" s="179">
        <v>1545488000</v>
      </c>
      <c r="F445" s="179">
        <v>1352488000</v>
      </c>
      <c r="G445" s="179">
        <v>1352488000</v>
      </c>
      <c r="H445" s="179">
        <v>0</v>
      </c>
      <c r="I445" s="179">
        <v>369693.64</v>
      </c>
      <c r="J445" s="179">
        <v>0</v>
      </c>
      <c r="K445" s="179">
        <v>1231211446.75</v>
      </c>
      <c r="L445" s="179">
        <v>1231211446.75</v>
      </c>
      <c r="M445" s="179">
        <v>120906859.61</v>
      </c>
      <c r="N445" s="179">
        <v>120906859.61</v>
      </c>
    </row>
    <row r="446" spans="1:14" s="156" customFormat="1" x14ac:dyDescent="0.25">
      <c r="A446" s="156" t="s">
        <v>547</v>
      </c>
      <c r="B446" s="156" t="s">
        <v>106</v>
      </c>
      <c r="C446" s="156" t="s">
        <v>107</v>
      </c>
      <c r="D446" s="156" t="s">
        <v>541</v>
      </c>
      <c r="E446" s="179">
        <v>2806395000</v>
      </c>
      <c r="F446" s="179">
        <v>2380895000</v>
      </c>
      <c r="G446" s="179">
        <v>2380895000</v>
      </c>
      <c r="H446" s="179">
        <v>0</v>
      </c>
      <c r="I446" s="179">
        <v>274282.77</v>
      </c>
      <c r="J446" s="179">
        <v>0</v>
      </c>
      <c r="K446" s="179">
        <v>2148309100.54</v>
      </c>
      <c r="L446" s="179">
        <v>2148309100.54</v>
      </c>
      <c r="M446" s="179">
        <v>232311616.69</v>
      </c>
      <c r="N446" s="179">
        <v>232311616.69</v>
      </c>
    </row>
    <row r="447" spans="1:14" s="156" customFormat="1" x14ac:dyDescent="0.25">
      <c r="A447" s="156" t="s">
        <v>547</v>
      </c>
      <c r="B447" s="156" t="s">
        <v>108</v>
      </c>
      <c r="C447" s="156" t="s">
        <v>109</v>
      </c>
      <c r="D447" s="156" t="s">
        <v>541</v>
      </c>
      <c r="E447" s="179">
        <v>713716000</v>
      </c>
      <c r="F447" s="179">
        <v>721716000</v>
      </c>
      <c r="G447" s="179">
        <v>721716000</v>
      </c>
      <c r="H447" s="179">
        <v>0</v>
      </c>
      <c r="I447" s="179">
        <v>137893.68</v>
      </c>
      <c r="J447" s="179">
        <v>0</v>
      </c>
      <c r="K447" s="179">
        <v>718026069.89999998</v>
      </c>
      <c r="L447" s="179">
        <v>718026069.89999998</v>
      </c>
      <c r="M447" s="179">
        <v>3552036.42</v>
      </c>
      <c r="N447" s="179">
        <v>3552036.42</v>
      </c>
    </row>
    <row r="448" spans="1:14" s="156" customFormat="1" x14ac:dyDescent="0.25">
      <c r="A448" s="156" t="s">
        <v>547</v>
      </c>
      <c r="B448" s="156" t="s">
        <v>110</v>
      </c>
      <c r="C448" s="156" t="s">
        <v>111</v>
      </c>
      <c r="D448" s="156" t="s">
        <v>541</v>
      </c>
      <c r="E448" s="179">
        <v>1280679000</v>
      </c>
      <c r="F448" s="179">
        <v>1173179000</v>
      </c>
      <c r="G448" s="179">
        <v>1173179000</v>
      </c>
      <c r="H448" s="179">
        <v>0</v>
      </c>
      <c r="I448" s="179">
        <v>228568.98</v>
      </c>
      <c r="J448" s="179">
        <v>0</v>
      </c>
      <c r="K448" s="179">
        <v>1030892163.46</v>
      </c>
      <c r="L448" s="179">
        <v>1030892163.46</v>
      </c>
      <c r="M448" s="179">
        <v>142058267.56</v>
      </c>
      <c r="N448" s="179">
        <v>142058267.56</v>
      </c>
    </row>
    <row r="449" spans="1:14" s="156" customFormat="1" x14ac:dyDescent="0.25">
      <c r="A449" s="156" t="s">
        <v>547</v>
      </c>
      <c r="B449" s="156" t="s">
        <v>112</v>
      </c>
      <c r="C449" s="156" t="s">
        <v>113</v>
      </c>
      <c r="D449" s="156" t="s">
        <v>543</v>
      </c>
      <c r="E449" s="179">
        <v>881376000</v>
      </c>
      <c r="F449" s="179">
        <v>881376000</v>
      </c>
      <c r="G449" s="179">
        <v>881376000</v>
      </c>
      <c r="H449" s="179">
        <v>0</v>
      </c>
      <c r="I449" s="179">
        <v>0</v>
      </c>
      <c r="J449" s="179">
        <v>0</v>
      </c>
      <c r="K449" s="179">
        <v>116304.77</v>
      </c>
      <c r="L449" s="179">
        <v>116304.77</v>
      </c>
      <c r="M449" s="179">
        <v>881259695.23000002</v>
      </c>
      <c r="N449" s="179">
        <v>881259695.23000002</v>
      </c>
    </row>
    <row r="450" spans="1:14" s="156" customFormat="1" x14ac:dyDescent="0.25">
      <c r="A450" s="156" t="s">
        <v>547</v>
      </c>
      <c r="B450" s="156" t="s">
        <v>382</v>
      </c>
      <c r="C450" s="156" t="s">
        <v>620</v>
      </c>
      <c r="D450" s="156" t="s">
        <v>541</v>
      </c>
      <c r="E450" s="179">
        <v>1000083000</v>
      </c>
      <c r="F450" s="179">
        <v>915035940</v>
      </c>
      <c r="G450" s="179">
        <v>915035940</v>
      </c>
      <c r="H450" s="179">
        <v>0</v>
      </c>
      <c r="I450" s="179">
        <v>99807997</v>
      </c>
      <c r="J450" s="179">
        <v>0</v>
      </c>
      <c r="K450" s="179">
        <v>815227943</v>
      </c>
      <c r="L450" s="179">
        <v>815227943</v>
      </c>
      <c r="M450" s="179">
        <v>0</v>
      </c>
      <c r="N450" s="179">
        <v>0</v>
      </c>
    </row>
    <row r="451" spans="1:14" s="156" customFormat="1" x14ac:dyDescent="0.25">
      <c r="A451" s="156" t="s">
        <v>547</v>
      </c>
      <c r="B451" s="156" t="s">
        <v>383</v>
      </c>
      <c r="C451" s="156" t="s">
        <v>583</v>
      </c>
      <c r="D451" s="156" t="s">
        <v>541</v>
      </c>
      <c r="E451" s="179">
        <v>54059000</v>
      </c>
      <c r="F451" s="179">
        <v>49461860</v>
      </c>
      <c r="G451" s="179">
        <v>49461860</v>
      </c>
      <c r="H451" s="179">
        <v>0</v>
      </c>
      <c r="I451" s="179">
        <v>5398061</v>
      </c>
      <c r="J451" s="179">
        <v>0</v>
      </c>
      <c r="K451" s="179">
        <v>44063799</v>
      </c>
      <c r="L451" s="179">
        <v>44063799</v>
      </c>
      <c r="M451" s="179">
        <v>0</v>
      </c>
      <c r="N451" s="179">
        <v>0</v>
      </c>
    </row>
    <row r="452" spans="1:14" s="156" customFormat="1" x14ac:dyDescent="0.25">
      <c r="A452" s="156" t="s">
        <v>547</v>
      </c>
      <c r="B452" s="156" t="s">
        <v>384</v>
      </c>
      <c r="C452" s="156" t="s">
        <v>621</v>
      </c>
      <c r="D452" s="156" t="s">
        <v>541</v>
      </c>
      <c r="E452" s="179">
        <v>549235000</v>
      </c>
      <c r="F452" s="179">
        <v>417528070</v>
      </c>
      <c r="G452" s="179">
        <v>417528070</v>
      </c>
      <c r="H452" s="179">
        <v>0</v>
      </c>
      <c r="I452" s="179">
        <v>43141153</v>
      </c>
      <c r="J452" s="179">
        <v>0</v>
      </c>
      <c r="K452" s="179">
        <v>374386917</v>
      </c>
      <c r="L452" s="179">
        <v>374386917</v>
      </c>
      <c r="M452" s="179">
        <v>0</v>
      </c>
      <c r="N452" s="179">
        <v>0</v>
      </c>
    </row>
    <row r="453" spans="1:14" s="156" customFormat="1" x14ac:dyDescent="0.25">
      <c r="A453" s="156" t="s">
        <v>547</v>
      </c>
      <c r="B453" s="156" t="s">
        <v>385</v>
      </c>
      <c r="C453" s="156" t="s">
        <v>622</v>
      </c>
      <c r="D453" s="156" t="s">
        <v>541</v>
      </c>
      <c r="E453" s="179">
        <v>162176000</v>
      </c>
      <c r="F453" s="179">
        <v>148384590</v>
      </c>
      <c r="G453" s="179">
        <v>148384590</v>
      </c>
      <c r="H453" s="179">
        <v>0</v>
      </c>
      <c r="I453" s="179">
        <v>16193204</v>
      </c>
      <c r="J453" s="179">
        <v>0</v>
      </c>
      <c r="K453" s="179">
        <v>132191386</v>
      </c>
      <c r="L453" s="179">
        <v>132191386</v>
      </c>
      <c r="M453" s="179">
        <v>0</v>
      </c>
      <c r="N453" s="179">
        <v>0</v>
      </c>
    </row>
    <row r="454" spans="1:14" s="156" customFormat="1" x14ac:dyDescent="0.25">
      <c r="A454" s="156" t="s">
        <v>547</v>
      </c>
      <c r="B454" s="156" t="s">
        <v>386</v>
      </c>
      <c r="C454" s="156" t="s">
        <v>623</v>
      </c>
      <c r="D454" s="156" t="s">
        <v>541</v>
      </c>
      <c r="E454" s="179">
        <v>324351000</v>
      </c>
      <c r="F454" s="179">
        <v>296768170</v>
      </c>
      <c r="G454" s="179">
        <v>296768170</v>
      </c>
      <c r="H454" s="179">
        <v>0</v>
      </c>
      <c r="I454" s="179">
        <v>32385401</v>
      </c>
      <c r="J454" s="179">
        <v>0</v>
      </c>
      <c r="K454" s="179">
        <v>264382769</v>
      </c>
      <c r="L454" s="179">
        <v>264382769</v>
      </c>
      <c r="M454" s="179">
        <v>0</v>
      </c>
      <c r="N454" s="179">
        <v>0</v>
      </c>
    </row>
    <row r="455" spans="1:14" s="156" customFormat="1" x14ac:dyDescent="0.25">
      <c r="A455" s="156" t="s">
        <v>547</v>
      </c>
      <c r="B455" s="156" t="s">
        <v>387</v>
      </c>
      <c r="C455" s="156" t="s">
        <v>388</v>
      </c>
      <c r="D455" s="156" t="s">
        <v>541</v>
      </c>
      <c r="E455" s="179">
        <v>90000000</v>
      </c>
      <c r="F455" s="179">
        <v>91000000</v>
      </c>
      <c r="G455" s="179">
        <v>91000000</v>
      </c>
      <c r="H455" s="179">
        <v>0</v>
      </c>
      <c r="I455" s="179">
        <v>6536838.6799999997</v>
      </c>
      <c r="J455" s="179">
        <v>0</v>
      </c>
      <c r="K455" s="179">
        <v>83463161.319999993</v>
      </c>
      <c r="L455" s="179">
        <v>76557983.260000005</v>
      </c>
      <c r="M455" s="179">
        <v>1000000</v>
      </c>
      <c r="N455" s="179">
        <v>1000000</v>
      </c>
    </row>
    <row r="456" spans="1:14" s="156" customFormat="1" x14ac:dyDescent="0.25">
      <c r="A456" s="156" t="s">
        <v>547</v>
      </c>
      <c r="B456" s="156" t="s">
        <v>170</v>
      </c>
      <c r="C456" s="156" t="s">
        <v>171</v>
      </c>
      <c r="D456" s="156" t="s">
        <v>541</v>
      </c>
      <c r="E456" s="179">
        <v>37000000</v>
      </c>
      <c r="F456" s="179">
        <v>39000000</v>
      </c>
      <c r="G456" s="179">
        <v>39000000</v>
      </c>
      <c r="H456" s="179">
        <v>0</v>
      </c>
      <c r="I456" s="179">
        <v>410517</v>
      </c>
      <c r="J456" s="179">
        <v>0</v>
      </c>
      <c r="K456" s="179">
        <v>38589483</v>
      </c>
      <c r="L456" s="179">
        <v>38589483</v>
      </c>
      <c r="M456" s="179">
        <v>0</v>
      </c>
      <c r="N456" s="179">
        <v>0</v>
      </c>
    </row>
    <row r="457" spans="1:14" s="156" customFormat="1" x14ac:dyDescent="0.25">
      <c r="A457" s="156" t="s">
        <v>547</v>
      </c>
      <c r="B457" s="156" t="s">
        <v>389</v>
      </c>
      <c r="C457" s="156" t="s">
        <v>625</v>
      </c>
      <c r="D457" s="156" t="s">
        <v>541</v>
      </c>
      <c r="E457" s="179">
        <v>62708000</v>
      </c>
      <c r="F457" s="179">
        <v>57375320</v>
      </c>
      <c r="G457" s="179">
        <v>57375320</v>
      </c>
      <c r="H457" s="179">
        <v>0</v>
      </c>
      <c r="I457" s="179">
        <v>6261333.4000000004</v>
      </c>
      <c r="J457" s="179">
        <v>0</v>
      </c>
      <c r="K457" s="179">
        <v>51113986.600000001</v>
      </c>
      <c r="L457" s="179">
        <v>51113986.600000001</v>
      </c>
      <c r="M457" s="179">
        <v>0</v>
      </c>
      <c r="N457" s="179">
        <v>0</v>
      </c>
    </row>
    <row r="458" spans="1:14" s="156" customFormat="1" x14ac:dyDescent="0.25">
      <c r="A458" s="156" t="s">
        <v>547</v>
      </c>
      <c r="B458" s="156" t="s">
        <v>390</v>
      </c>
      <c r="C458" s="156" t="s">
        <v>626</v>
      </c>
      <c r="D458" s="156" t="s">
        <v>541</v>
      </c>
      <c r="E458" s="179">
        <v>27030000</v>
      </c>
      <c r="F458" s="179">
        <v>24731430</v>
      </c>
      <c r="G458" s="179">
        <v>24731430</v>
      </c>
      <c r="H458" s="179">
        <v>0</v>
      </c>
      <c r="I458" s="179">
        <v>2699539.21</v>
      </c>
      <c r="J458" s="179">
        <v>0</v>
      </c>
      <c r="K458" s="179">
        <v>22031890.789999999</v>
      </c>
      <c r="L458" s="179">
        <v>22031890.789999999</v>
      </c>
      <c r="M458" s="179">
        <v>0</v>
      </c>
      <c r="N458" s="179">
        <v>0</v>
      </c>
    </row>
    <row r="459" spans="1:14" s="156" customFormat="1" x14ac:dyDescent="0.25">
      <c r="A459" s="156" t="s">
        <v>547</v>
      </c>
      <c r="B459" s="156" t="s">
        <v>263</v>
      </c>
      <c r="C459" s="156" t="s">
        <v>264</v>
      </c>
      <c r="D459" s="156" t="s">
        <v>541</v>
      </c>
      <c r="E459" s="179">
        <v>170000000</v>
      </c>
      <c r="F459" s="179">
        <v>255025500</v>
      </c>
      <c r="G459" s="179">
        <v>255025500</v>
      </c>
      <c r="H459" s="179">
        <v>0</v>
      </c>
      <c r="I459" s="179">
        <v>61753769.729999997</v>
      </c>
      <c r="J459" s="179">
        <v>0</v>
      </c>
      <c r="K459" s="179">
        <v>193271730.27000001</v>
      </c>
      <c r="L459" s="179">
        <v>167891997.97</v>
      </c>
      <c r="M459" s="179">
        <v>0</v>
      </c>
      <c r="N459" s="179">
        <v>0</v>
      </c>
    </row>
    <row r="460" spans="1:14" x14ac:dyDescent="0.25">
      <c r="A460" s="156" t="s">
        <v>547</v>
      </c>
      <c r="B460" s="156" t="s">
        <v>265</v>
      </c>
      <c r="C460" s="156" t="s">
        <v>266</v>
      </c>
      <c r="D460" s="156" t="s">
        <v>541</v>
      </c>
      <c r="E460" s="179">
        <v>65000000</v>
      </c>
      <c r="F460" s="179">
        <v>56268300</v>
      </c>
      <c r="G460" s="179">
        <v>56268300</v>
      </c>
      <c r="H460" s="179">
        <v>0</v>
      </c>
      <c r="I460" s="179">
        <v>0</v>
      </c>
      <c r="J460" s="179">
        <v>0</v>
      </c>
      <c r="K460" s="179">
        <v>52095917.780000001</v>
      </c>
      <c r="L460" s="179">
        <v>52095917.780000001</v>
      </c>
      <c r="M460" s="179">
        <v>4172382.22</v>
      </c>
      <c r="N460" s="179">
        <v>4172382.22</v>
      </c>
    </row>
    <row r="461" spans="1:14" x14ac:dyDescent="0.25">
      <c r="A461" s="156" t="s">
        <v>547</v>
      </c>
      <c r="B461" s="156" t="s">
        <v>269</v>
      </c>
      <c r="C461" s="156" t="s">
        <v>270</v>
      </c>
      <c r="D461" s="156" t="s">
        <v>541</v>
      </c>
      <c r="E461" s="179">
        <v>7000000</v>
      </c>
      <c r="F461" s="179">
        <v>16561100</v>
      </c>
      <c r="G461" s="179">
        <v>16561100</v>
      </c>
      <c r="H461" s="179">
        <v>0</v>
      </c>
      <c r="I461" s="179">
        <v>9880162.9299999997</v>
      </c>
      <c r="J461" s="179">
        <v>0</v>
      </c>
      <c r="K461" s="179">
        <v>6680937.0700000003</v>
      </c>
      <c r="L461" s="179">
        <v>6680937.0700000003</v>
      </c>
      <c r="M461" s="179">
        <v>0</v>
      </c>
      <c r="N461" s="179">
        <v>0</v>
      </c>
    </row>
    <row r="462" spans="1:14" x14ac:dyDescent="0.25">
      <c r="A462" s="156" t="s">
        <v>547</v>
      </c>
      <c r="B462" s="156" t="s">
        <v>271</v>
      </c>
      <c r="C462" s="156" t="s">
        <v>272</v>
      </c>
      <c r="D462" s="156" t="s">
        <v>541</v>
      </c>
      <c r="E462" s="179">
        <v>9000000</v>
      </c>
      <c r="F462" s="179">
        <v>25750000</v>
      </c>
      <c r="G462" s="179">
        <v>25750000</v>
      </c>
      <c r="H462" s="179">
        <v>0</v>
      </c>
      <c r="I462" s="179">
        <v>9547014.1099999994</v>
      </c>
      <c r="J462" s="179">
        <v>0</v>
      </c>
      <c r="K462" s="179">
        <v>16202985.890000001</v>
      </c>
      <c r="L462" s="179">
        <v>15906014.85</v>
      </c>
      <c r="M462" s="179">
        <v>0</v>
      </c>
      <c r="N462" s="179">
        <v>0</v>
      </c>
    </row>
    <row r="463" spans="1:14" x14ac:dyDescent="0.25">
      <c r="A463" s="156" t="s">
        <v>547</v>
      </c>
      <c r="B463" s="156" t="s">
        <v>94</v>
      </c>
      <c r="C463" s="156" t="s">
        <v>95</v>
      </c>
      <c r="D463" s="156" t="s">
        <v>541</v>
      </c>
      <c r="E463" s="179">
        <v>4465420000</v>
      </c>
      <c r="F463" s="179">
        <v>4242755975</v>
      </c>
      <c r="G463" s="179">
        <v>4236781475</v>
      </c>
      <c r="H463" s="179">
        <v>0</v>
      </c>
      <c r="I463" s="179">
        <v>960284.38</v>
      </c>
      <c r="J463" s="179">
        <v>0</v>
      </c>
      <c r="K463" s="179">
        <v>3694411828.6100001</v>
      </c>
      <c r="L463" s="179">
        <v>3694411828.6100001</v>
      </c>
      <c r="M463" s="179">
        <v>547383862.00999999</v>
      </c>
      <c r="N463" s="179">
        <v>541409362.00999999</v>
      </c>
    </row>
    <row r="464" spans="1:14" x14ac:dyDescent="0.25">
      <c r="A464" s="156" t="s">
        <v>547</v>
      </c>
      <c r="B464" s="156" t="s">
        <v>102</v>
      </c>
      <c r="C464" s="156" t="s">
        <v>103</v>
      </c>
      <c r="D464" s="156" t="s">
        <v>541</v>
      </c>
      <c r="E464" s="179">
        <v>7227654000</v>
      </c>
      <c r="F464" s="179">
        <v>6509654000</v>
      </c>
      <c r="G464" s="179">
        <v>6509654000</v>
      </c>
      <c r="H464" s="179">
        <v>0</v>
      </c>
      <c r="I464" s="179">
        <v>1010439.07</v>
      </c>
      <c r="J464" s="179">
        <v>0</v>
      </c>
      <c r="K464" s="179">
        <v>5128555085.4200001</v>
      </c>
      <c r="L464" s="179">
        <v>5128555085.4200001</v>
      </c>
      <c r="M464" s="179">
        <v>1380088475.51</v>
      </c>
      <c r="N464" s="179">
        <v>1380088475.51</v>
      </c>
    </row>
    <row r="465" spans="1:14" x14ac:dyDescent="0.25">
      <c r="A465" s="156" t="s">
        <v>547</v>
      </c>
      <c r="B465" s="156" t="s">
        <v>114</v>
      </c>
      <c r="C465" s="156" t="s">
        <v>115</v>
      </c>
      <c r="D465" s="156" t="s">
        <v>541</v>
      </c>
      <c r="E465" s="179">
        <v>1054142000</v>
      </c>
      <c r="F465" s="179">
        <v>964497800</v>
      </c>
      <c r="G465" s="179">
        <v>964497800</v>
      </c>
      <c r="H465" s="179">
        <v>0</v>
      </c>
      <c r="I465" s="179">
        <v>105206058</v>
      </c>
      <c r="J465" s="179">
        <v>0</v>
      </c>
      <c r="K465" s="179">
        <v>859291742</v>
      </c>
      <c r="L465" s="179">
        <v>859291742</v>
      </c>
      <c r="M465" s="179">
        <v>0</v>
      </c>
      <c r="N465" s="179">
        <v>0</v>
      </c>
    </row>
    <row r="466" spans="1:14" x14ac:dyDescent="0.25">
      <c r="A466" s="156" t="s">
        <v>547</v>
      </c>
      <c r="B466" s="156" t="s">
        <v>118</v>
      </c>
      <c r="C466" s="156" t="s">
        <v>119</v>
      </c>
      <c r="D466" s="156" t="s">
        <v>541</v>
      </c>
      <c r="E466" s="179">
        <v>1125762000</v>
      </c>
      <c r="F466" s="179">
        <v>953680830</v>
      </c>
      <c r="G466" s="179">
        <v>953680830</v>
      </c>
      <c r="H466" s="179">
        <v>0</v>
      </c>
      <c r="I466" s="179">
        <v>98256596.680000007</v>
      </c>
      <c r="J466" s="179">
        <v>0</v>
      </c>
      <c r="K466" s="179">
        <v>854424233.32000005</v>
      </c>
      <c r="L466" s="179">
        <v>847519055.25999999</v>
      </c>
      <c r="M466" s="179">
        <v>1000000</v>
      </c>
      <c r="N466" s="179">
        <v>1000000</v>
      </c>
    </row>
    <row r="467" spans="1:14" x14ac:dyDescent="0.25">
      <c r="A467" s="156" t="s">
        <v>547</v>
      </c>
      <c r="B467" s="156" t="s">
        <v>168</v>
      </c>
      <c r="C467" s="156" t="s">
        <v>169</v>
      </c>
      <c r="D467" s="156" t="s">
        <v>541</v>
      </c>
      <c r="E467" s="179">
        <v>37000000</v>
      </c>
      <c r="F467" s="179">
        <v>39000000</v>
      </c>
      <c r="G467" s="179">
        <v>39000000</v>
      </c>
      <c r="H467" s="179">
        <v>0</v>
      </c>
      <c r="I467" s="179">
        <v>410517</v>
      </c>
      <c r="J467" s="179">
        <v>0</v>
      </c>
      <c r="K467" s="179">
        <v>38589483</v>
      </c>
      <c r="L467" s="179">
        <v>38589483</v>
      </c>
      <c r="M467" s="179">
        <v>0</v>
      </c>
      <c r="N467" s="179">
        <v>0</v>
      </c>
    </row>
    <row r="468" spans="1:14" x14ac:dyDescent="0.25">
      <c r="A468" s="156" t="s">
        <v>547</v>
      </c>
      <c r="B468" s="156" t="s">
        <v>253</v>
      </c>
      <c r="C468" s="156" t="s">
        <v>254</v>
      </c>
      <c r="D468" s="156" t="s">
        <v>541</v>
      </c>
      <c r="E468" s="179">
        <v>89738000</v>
      </c>
      <c r="F468" s="179">
        <v>82106750</v>
      </c>
      <c r="G468" s="179">
        <v>82106750</v>
      </c>
      <c r="H468" s="179">
        <v>0</v>
      </c>
      <c r="I468" s="179">
        <v>8960872.6099999994</v>
      </c>
      <c r="J468" s="179">
        <v>0</v>
      </c>
      <c r="K468" s="179">
        <v>73145877.390000001</v>
      </c>
      <c r="L468" s="179">
        <v>73145877.390000001</v>
      </c>
      <c r="M468" s="179">
        <v>0</v>
      </c>
      <c r="N468" s="179">
        <v>0</v>
      </c>
    </row>
    <row r="469" spans="1:14" x14ac:dyDescent="0.25">
      <c r="A469" s="156" t="s">
        <v>547</v>
      </c>
      <c r="B469" s="156" t="s">
        <v>261</v>
      </c>
      <c r="C469" s="156" t="s">
        <v>262</v>
      </c>
      <c r="D469" s="156" t="s">
        <v>541</v>
      </c>
      <c r="E469" s="179">
        <v>235000000</v>
      </c>
      <c r="F469" s="179">
        <v>311293800</v>
      </c>
      <c r="G469" s="179">
        <v>311293800</v>
      </c>
      <c r="H469" s="179">
        <v>0</v>
      </c>
      <c r="I469" s="179">
        <v>61753769.729999997</v>
      </c>
      <c r="J469" s="179">
        <v>0</v>
      </c>
      <c r="K469" s="179">
        <v>245367648.05000001</v>
      </c>
      <c r="L469" s="179">
        <v>219987915.75</v>
      </c>
      <c r="M469" s="179">
        <v>4172382.22</v>
      </c>
      <c r="N469" s="179">
        <v>4172382.22</v>
      </c>
    </row>
    <row r="470" spans="1:14" x14ac:dyDescent="0.25">
      <c r="A470" s="156" t="s">
        <v>547</v>
      </c>
      <c r="B470" s="156" t="s">
        <v>267</v>
      </c>
      <c r="C470" s="156" t="s">
        <v>268</v>
      </c>
      <c r="D470" s="156" t="s">
        <v>541</v>
      </c>
      <c r="E470" s="179">
        <v>16000000</v>
      </c>
      <c r="F470" s="179">
        <v>42311100</v>
      </c>
      <c r="G470" s="179">
        <v>42311100</v>
      </c>
      <c r="H470" s="179">
        <v>0</v>
      </c>
      <c r="I470" s="179">
        <v>19427177.039999999</v>
      </c>
      <c r="J470" s="179">
        <v>0</v>
      </c>
      <c r="K470" s="179">
        <v>22883922.960000001</v>
      </c>
      <c r="L470" s="179">
        <v>22586951.920000002</v>
      </c>
      <c r="M470" s="179">
        <v>0</v>
      </c>
      <c r="N470" s="179">
        <v>0</v>
      </c>
    </row>
    <row r="471" spans="1:14" x14ac:dyDescent="0.25">
      <c r="A471" s="156" t="s">
        <v>547</v>
      </c>
      <c r="B471" s="156" t="s">
        <v>92</v>
      </c>
      <c r="C471" s="156" t="s">
        <v>93</v>
      </c>
      <c r="D471" s="156" t="s">
        <v>541</v>
      </c>
      <c r="E471" s="179">
        <v>13872978000</v>
      </c>
      <c r="F471" s="179">
        <v>12670588605</v>
      </c>
      <c r="G471" s="179">
        <v>12664614105</v>
      </c>
      <c r="H471" s="179">
        <v>0</v>
      </c>
      <c r="I471" s="179">
        <v>205433378.13</v>
      </c>
      <c r="J471" s="179">
        <v>0</v>
      </c>
      <c r="K471" s="179">
        <v>10536682889.35</v>
      </c>
      <c r="L471" s="179">
        <v>10529777711.290001</v>
      </c>
      <c r="M471" s="179">
        <v>1928472337.52</v>
      </c>
      <c r="N471" s="179">
        <v>1922497837.52</v>
      </c>
    </row>
    <row r="472" spans="1:14" x14ac:dyDescent="0.25">
      <c r="A472" s="156" t="s">
        <v>547</v>
      </c>
      <c r="B472" s="156" t="s">
        <v>123</v>
      </c>
      <c r="C472" s="156" t="s">
        <v>124</v>
      </c>
      <c r="D472" s="156" t="s">
        <v>541</v>
      </c>
      <c r="E472" s="179">
        <v>37000000</v>
      </c>
      <c r="F472" s="179">
        <v>39000000</v>
      </c>
      <c r="G472" s="179">
        <v>39000000</v>
      </c>
      <c r="H472" s="179">
        <v>0</v>
      </c>
      <c r="I472" s="179">
        <v>410517</v>
      </c>
      <c r="J472" s="179">
        <v>0</v>
      </c>
      <c r="K472" s="179">
        <v>38589483</v>
      </c>
      <c r="L472" s="179">
        <v>38589483</v>
      </c>
      <c r="M472" s="179">
        <v>0</v>
      </c>
      <c r="N472" s="179">
        <v>0</v>
      </c>
    </row>
    <row r="473" spans="1:14" x14ac:dyDescent="0.25">
      <c r="A473" s="156" t="s">
        <v>547</v>
      </c>
      <c r="B473" s="156" t="s">
        <v>251</v>
      </c>
      <c r="C473" s="156" t="s">
        <v>252</v>
      </c>
      <c r="D473" s="156" t="s">
        <v>541</v>
      </c>
      <c r="E473" s="179">
        <v>340738000</v>
      </c>
      <c r="F473" s="179">
        <v>435711650</v>
      </c>
      <c r="G473" s="179">
        <v>435711650</v>
      </c>
      <c r="H473" s="179">
        <v>0</v>
      </c>
      <c r="I473" s="179">
        <v>90141819.379999995</v>
      </c>
      <c r="J473" s="179">
        <v>0</v>
      </c>
      <c r="K473" s="179">
        <v>341397448.39999998</v>
      </c>
      <c r="L473" s="179">
        <v>315720745.06</v>
      </c>
      <c r="M473" s="179">
        <v>4172382.22</v>
      </c>
      <c r="N473" s="179">
        <v>4172382.22</v>
      </c>
    </row>
    <row r="474" spans="1:14" x14ac:dyDescent="0.25">
      <c r="A474" s="156">
        <v>214784</v>
      </c>
      <c r="B474" s="156" t="s">
        <v>587</v>
      </c>
      <c r="C474" s="156" t="s">
        <v>587</v>
      </c>
      <c r="D474" s="156" t="s">
        <v>541</v>
      </c>
      <c r="E474" s="179">
        <v>14250716000</v>
      </c>
      <c r="F474" s="179">
        <v>13145300255</v>
      </c>
      <c r="G474" s="179">
        <v>13139325755</v>
      </c>
      <c r="H474" s="179">
        <v>0</v>
      </c>
      <c r="I474" s="179">
        <v>295985714.50999999</v>
      </c>
      <c r="J474" s="179">
        <v>0</v>
      </c>
      <c r="K474" s="179">
        <v>10916669820.75</v>
      </c>
      <c r="L474" s="179">
        <v>10884087939.35</v>
      </c>
      <c r="M474" s="179">
        <v>1932644719.74</v>
      </c>
      <c r="N474" s="179">
        <v>1926670219.74</v>
      </c>
    </row>
    <row r="475" spans="1:14" x14ac:dyDescent="0.25">
      <c r="A475" s="180" t="s">
        <v>587</v>
      </c>
      <c r="B475" s="180" t="s">
        <v>587</v>
      </c>
      <c r="C475" s="180" t="s">
        <v>587</v>
      </c>
      <c r="D475" s="180" t="s">
        <v>587</v>
      </c>
      <c r="E475" s="181">
        <v>691419513450</v>
      </c>
      <c r="F475" s="181">
        <v>671511094915</v>
      </c>
      <c r="G475" s="181">
        <v>671481222410</v>
      </c>
      <c r="H475" s="181">
        <v>747934146.45000005</v>
      </c>
      <c r="I475" s="181">
        <v>52057433759.650002</v>
      </c>
      <c r="J475" s="181">
        <v>2910452274.6500001</v>
      </c>
      <c r="K475" s="181">
        <v>500278861442.20001</v>
      </c>
      <c r="L475" s="181">
        <v>481695726432.65002</v>
      </c>
      <c r="M475" s="181">
        <v>115516413292.05</v>
      </c>
      <c r="N475" s="181">
        <v>115486540787.05</v>
      </c>
    </row>
  </sheetData>
  <conditionalFormatting sqref="K2:K48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0BDA-417A-4857-B531-78111BE9E530}">
  <dimension ref="A1:S23"/>
  <sheetViews>
    <sheetView workbookViewId="0">
      <selection sqref="A1:XFD1048576"/>
    </sheetView>
  </sheetViews>
  <sheetFormatPr baseColWidth="10" defaultRowHeight="15" x14ac:dyDescent="0.25"/>
  <cols>
    <col min="1" max="1" width="5.7109375" customWidth="1"/>
    <col min="2" max="2" width="18.85546875" bestFit="1" customWidth="1"/>
    <col min="3" max="3" width="18" bestFit="1" customWidth="1"/>
    <col min="4" max="4" width="16.85546875" bestFit="1" customWidth="1"/>
    <col min="5" max="5" width="14.7109375" bestFit="1" customWidth="1"/>
    <col min="6" max="6" width="7.42578125" bestFit="1" customWidth="1"/>
    <col min="7" max="7" width="15.7109375" bestFit="1" customWidth="1"/>
    <col min="8" max="8" width="7.140625" bestFit="1" customWidth="1"/>
    <col min="9" max="9" width="13.28515625" bestFit="1" customWidth="1"/>
    <col min="10" max="10" width="7.5703125" bestFit="1" customWidth="1"/>
    <col min="11" max="11" width="16.85546875" bestFit="1" customWidth="1"/>
    <col min="12" max="12" width="7.28515625" bestFit="1" customWidth="1"/>
    <col min="13" max="13" width="16.85546875" bestFit="1" customWidth="1"/>
    <col min="14" max="14" width="6.7109375" bestFit="1" customWidth="1"/>
    <col min="15" max="15" width="16.85546875" bestFit="1" customWidth="1"/>
    <col min="16" max="16" width="7.7109375" bestFit="1" customWidth="1"/>
    <col min="17" max="17" width="15.7109375" bestFit="1" customWidth="1"/>
    <col min="18" max="18" width="6.7109375" bestFit="1" customWidth="1"/>
  </cols>
  <sheetData>
    <row r="1" spans="1:19" ht="15.75" x14ac:dyDescent="0.25">
      <c r="A1" s="40" t="str">
        <f>+[2]Consolidado!A5</f>
        <v>214  - Ministerio de Justicia y Gracia</v>
      </c>
      <c r="B1" s="40"/>
      <c r="C1" s="40"/>
    </row>
    <row r="2" spans="1:19" ht="24" x14ac:dyDescent="0.25">
      <c r="A2" s="52" t="s">
        <v>24</v>
      </c>
      <c r="B2" s="52"/>
      <c r="C2" s="52" t="s">
        <v>25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30</v>
      </c>
      <c r="I2" s="52" t="s">
        <v>31</v>
      </c>
      <c r="J2" s="52" t="s">
        <v>32</v>
      </c>
      <c r="K2" s="52" t="s">
        <v>33</v>
      </c>
      <c r="L2" s="52" t="s">
        <v>34</v>
      </c>
      <c r="M2" s="52" t="s">
        <v>35</v>
      </c>
      <c r="N2" s="52" t="s">
        <v>36</v>
      </c>
      <c r="O2" s="52" t="s">
        <v>37</v>
      </c>
      <c r="P2" s="52" t="s">
        <v>38</v>
      </c>
      <c r="Q2" s="52" t="s">
        <v>39</v>
      </c>
      <c r="R2" s="53" t="s">
        <v>40</v>
      </c>
    </row>
    <row r="3" spans="1:19" x14ac:dyDescent="0.25">
      <c r="A3" s="11" t="s">
        <v>41</v>
      </c>
      <c r="B3" s="11"/>
      <c r="C3" s="11" t="s">
        <v>42</v>
      </c>
      <c r="D3" s="11" t="s">
        <v>42</v>
      </c>
      <c r="E3" s="11" t="s">
        <v>42</v>
      </c>
      <c r="F3" s="41"/>
      <c r="G3" s="11" t="s">
        <v>42</v>
      </c>
      <c r="H3" s="11"/>
      <c r="I3" s="11" t="s">
        <v>42</v>
      </c>
      <c r="J3" s="41"/>
      <c r="K3" s="11" t="s">
        <v>42</v>
      </c>
      <c r="L3" s="11"/>
      <c r="M3" s="11" t="s">
        <v>42</v>
      </c>
      <c r="N3" s="11"/>
      <c r="O3" s="11" t="s">
        <v>42</v>
      </c>
      <c r="P3" s="11"/>
      <c r="Q3" s="11" t="s">
        <v>42</v>
      </c>
      <c r="R3" s="13"/>
    </row>
    <row r="4" spans="1:19" x14ac:dyDescent="0.25">
      <c r="A4" s="11" t="s">
        <v>92</v>
      </c>
      <c r="B4" s="11" t="s">
        <v>93</v>
      </c>
      <c r="C4" s="13" t="e">
        <f>SUMIF([12]Estado!$A$9:$A$369,$A4,[12]Estado!$C$9:$C$369)</f>
        <v>#VALUE!</v>
      </c>
      <c r="D4" s="13" t="e">
        <f>SUMIF([12]Estado!$A$9:$A$369,$A4,[12]Estado!$D$9:$D$369)</f>
        <v>#VALUE!</v>
      </c>
      <c r="E4" s="13" t="e">
        <f>SUMIF([12]Estado!$A$9:$A$369,$A4,[12]Estado!$E$9:$E$369)</f>
        <v>#VALUE!</v>
      </c>
      <c r="F4" s="49" t="e">
        <f t="shared" ref="F4:F11" si="0">+E4/C4</f>
        <v>#VALUE!</v>
      </c>
      <c r="G4" s="13" t="e">
        <f>SUMIF([12]Estado!$A$9:$A$369,$A4,[12]Estado!$G$9:$G$369)</f>
        <v>#VALUE!</v>
      </c>
      <c r="H4" s="49" t="e">
        <f t="shared" ref="H4" si="1">+G4/$C$4</f>
        <v>#VALUE!</v>
      </c>
      <c r="I4" s="13" t="e">
        <f>SUMIF([12]Estado!$A$9:$A$369,$A4,[12]Estado!$I$9:$I$369)</f>
        <v>#VALUE!</v>
      </c>
      <c r="J4" s="49" t="e">
        <f>+I4/(E4+G4)</f>
        <v>#VALUE!</v>
      </c>
      <c r="K4" s="13" t="e">
        <f>SUMIF([12]Estado!$A$9:$A$369,$A4,[12]Estado!$K$9:$K$369)</f>
        <v>#VALUE!</v>
      </c>
      <c r="L4" s="49" t="e">
        <f>+K4/$C$4</f>
        <v>#VALUE!</v>
      </c>
      <c r="M4" s="13" t="e">
        <f>SUMIF([12]Estado!$A$9:$A$369,$A4,[12]Estado!$M$9:$M$369)</f>
        <v>#VALUE!</v>
      </c>
      <c r="N4" s="49" t="e">
        <f>+M4/$C$4</f>
        <v>#VALUE!</v>
      </c>
      <c r="O4" s="13" t="e">
        <f>SUMIF([12]Estado!$A$9:$A$369,$A4,[12]Estado!$O$9:$O$369)</f>
        <v>#VALUE!</v>
      </c>
      <c r="P4" s="49" t="e">
        <f t="shared" ref="P4" si="2">+O4/$C$4</f>
        <v>#VALUE!</v>
      </c>
      <c r="Q4" s="13" t="e">
        <f>SUMIF([12]Estado!$A$9:$A$369,$A4,[12]Estado!$Q$9:$Q$369)</f>
        <v>#VALUE!</v>
      </c>
      <c r="R4" s="49" t="e">
        <f>+Q4/$C$4</f>
        <v>#VALUE!</v>
      </c>
    </row>
    <row r="5" spans="1:19" x14ac:dyDescent="0.25">
      <c r="A5" s="11" t="s">
        <v>123</v>
      </c>
      <c r="B5" s="11" t="s">
        <v>124</v>
      </c>
      <c r="C5" s="13" t="e">
        <f>SUMIF([12]Estado!$A$9:$A$369,$A5,[12]Estado!$C$9:$C$369)</f>
        <v>#VALUE!</v>
      </c>
      <c r="D5" s="13" t="e">
        <f>SUMIF([12]Estado!$A$9:$A$369,$A5,[12]Estado!$D$9:$D$369)</f>
        <v>#VALUE!</v>
      </c>
      <c r="E5" s="13" t="e">
        <f>SUMIF([12]Estado!$A$9:$A$369,$A5,[12]Estado!$E$9:$E$369)</f>
        <v>#VALUE!</v>
      </c>
      <c r="F5" s="49" t="e">
        <f t="shared" si="0"/>
        <v>#VALUE!</v>
      </c>
      <c r="G5" s="13" t="e">
        <f>SUMIF([12]Estado!$A$9:$A$369,$A5,[12]Estado!$G$9:$G$369)</f>
        <v>#VALUE!</v>
      </c>
      <c r="H5" s="49" t="e">
        <f>+G5/$C$5</f>
        <v>#VALUE!</v>
      </c>
      <c r="I5" s="13" t="e">
        <f>SUMIF([12]Estado!$A$9:$A$369,$A5,[12]Estado!$I$9:$I$369)</f>
        <v>#VALUE!</v>
      </c>
      <c r="J5" s="49" t="e">
        <f t="shared" ref="J5:J8" si="3">+I5/(E5+G5)</f>
        <v>#VALUE!</v>
      </c>
      <c r="K5" s="13" t="e">
        <f>SUMIF([12]Estado!$A$9:$A$369,$A5,[12]Estado!$K$9:$K$369)</f>
        <v>#VALUE!</v>
      </c>
      <c r="L5" s="49" t="e">
        <f>+K5/$C$5</f>
        <v>#VALUE!</v>
      </c>
      <c r="M5" s="13" t="e">
        <f>SUMIF([12]Estado!$A$9:$A$369,$A5,[12]Estado!$M$9:$M$369)</f>
        <v>#VALUE!</v>
      </c>
      <c r="N5" s="49" t="e">
        <f>+M5/$C$5</f>
        <v>#VALUE!</v>
      </c>
      <c r="O5" s="13" t="e">
        <f>SUMIF([12]Estado!$A$9:$A$369,$A5,[12]Estado!$O$9:$O$369)</f>
        <v>#VALUE!</v>
      </c>
      <c r="P5" s="49" t="e">
        <f>+O5/$C$5</f>
        <v>#VALUE!</v>
      </c>
      <c r="Q5" s="13" t="e">
        <f>SUMIF([12]Estado!$A$9:$A$369,$A5,[12]Estado!$Q$9:$Q$369)</f>
        <v>#VALUE!</v>
      </c>
      <c r="R5" s="49" t="e">
        <f>+Q5/$C$5</f>
        <v>#VALUE!</v>
      </c>
    </row>
    <row r="6" spans="1:19" x14ac:dyDescent="0.25">
      <c r="A6" s="11" t="s">
        <v>200</v>
      </c>
      <c r="B6" s="11" t="s">
        <v>471</v>
      </c>
      <c r="C6" s="13" t="e">
        <f>SUMIF([12]Estado!$A$9:$A$369,$A6,[12]Estado!$C$9:$C$369)</f>
        <v>#VALUE!</v>
      </c>
      <c r="D6" s="13" t="e">
        <f>SUMIF([12]Estado!$A$9:$A$369,$A6,[12]Estado!$D$9:$D$369)</f>
        <v>#VALUE!</v>
      </c>
      <c r="E6" s="13" t="e">
        <f>SUMIF([12]Estado!$A$9:$A$369,$A6,[12]Estado!$E$9:$E$369)</f>
        <v>#VALUE!</v>
      </c>
      <c r="F6" s="49" t="e">
        <f t="shared" si="0"/>
        <v>#VALUE!</v>
      </c>
      <c r="G6" s="13" t="e">
        <f>SUMIF([12]Estado!$A$9:$A$369,$A6,[12]Estado!$G$9:$G$369)</f>
        <v>#VALUE!</v>
      </c>
      <c r="H6" s="49" t="e">
        <f>+G6/$C$6</f>
        <v>#VALUE!</v>
      </c>
      <c r="I6" s="13" t="e">
        <f>SUMIF([12]Estado!$A$9:$A$369,$A6,[12]Estado!$I$9:$I$369)</f>
        <v>#VALUE!</v>
      </c>
      <c r="J6" s="49" t="e">
        <f t="shared" si="3"/>
        <v>#VALUE!</v>
      </c>
      <c r="K6" s="13" t="e">
        <f>SUMIF([12]Estado!$A$9:$A$369,$A6,[12]Estado!$K$9:$K$369)</f>
        <v>#VALUE!</v>
      </c>
      <c r="L6" s="49" t="e">
        <f>+K6/$C$6</f>
        <v>#VALUE!</v>
      </c>
      <c r="M6" s="13" t="e">
        <f>SUMIF([12]Estado!$A$9:$A$369,$A6,[12]Estado!$M$9:$M$369)</f>
        <v>#VALUE!</v>
      </c>
      <c r="N6" s="49" t="e">
        <f>+M6/$C$6</f>
        <v>#VALUE!</v>
      </c>
      <c r="O6" s="13" t="e">
        <f>SUMIF([12]Estado!$A$9:$A$369,$A6,[12]Estado!$O$9:$O$369)</f>
        <v>#VALUE!</v>
      </c>
      <c r="P6" s="49" t="e">
        <f>+O6/$C$6</f>
        <v>#VALUE!</v>
      </c>
      <c r="Q6" s="13" t="e">
        <f>SUMIF([12]Estado!$A$9:$A$369,$A6,[12]Estado!$Q$9:$Q$369)</f>
        <v>#VALUE!</v>
      </c>
      <c r="R6" s="49" t="e">
        <f>+Q6/$C$6</f>
        <v>#VALUE!</v>
      </c>
    </row>
    <row r="7" spans="1:19" x14ac:dyDescent="0.25">
      <c r="A7" s="11" t="s">
        <v>279</v>
      </c>
      <c r="B7" s="11" t="s">
        <v>280</v>
      </c>
      <c r="C7" s="13" t="e">
        <f>SUMIF([12]Estado!$A$9:$A$369,$A7,[12]Estado!$C$9:$C$369)</f>
        <v>#VALUE!</v>
      </c>
      <c r="D7" s="13" t="e">
        <f>SUMIF([12]Estado!$A$9:$A$369,$A7,[12]Estado!$D$9:$D$369)</f>
        <v>#VALUE!</v>
      </c>
      <c r="E7" s="13" t="e">
        <f>SUMIF([12]Estado!$A$9:$A$369,$A7,[12]Estado!$E$9:$E$369)</f>
        <v>#VALUE!</v>
      </c>
      <c r="F7" s="49" t="e">
        <f t="shared" si="0"/>
        <v>#VALUE!</v>
      </c>
      <c r="G7" s="13" t="e">
        <f>SUMIF([12]Estado!$A$9:$A$369,$A7,[12]Estado!$G$9:$G$369)</f>
        <v>#VALUE!</v>
      </c>
      <c r="H7" s="49" t="e">
        <f>+G7/$C$7</f>
        <v>#VALUE!</v>
      </c>
      <c r="I7" s="13" t="e">
        <f>SUMIF([12]Estado!$A$9:$A$369,$A7,[12]Estado!$I$9:$I$369)</f>
        <v>#VALUE!</v>
      </c>
      <c r="J7" s="49" t="e">
        <f t="shared" si="3"/>
        <v>#VALUE!</v>
      </c>
      <c r="K7" s="13" t="e">
        <f>SUMIF([12]Estado!$A$9:$A$369,$A7,[12]Estado!$K$9:$K$369)</f>
        <v>#VALUE!</v>
      </c>
      <c r="L7" s="49" t="e">
        <f>+K7/$C$7</f>
        <v>#VALUE!</v>
      </c>
      <c r="M7" s="13" t="e">
        <f>SUMIF([12]Estado!$A$9:$A$369,$A7,[12]Estado!$M$9:$M$369)</f>
        <v>#VALUE!</v>
      </c>
      <c r="N7" s="49" t="e">
        <f>+M7/$C$7</f>
        <v>#VALUE!</v>
      </c>
      <c r="O7" s="13" t="e">
        <f>SUMIF([12]Estado!$A$9:$A$369,$A7,[12]Estado!$O$9:$O$369)</f>
        <v>#VALUE!</v>
      </c>
      <c r="P7" s="49" t="e">
        <f>+O7/$C$7</f>
        <v>#VALUE!</v>
      </c>
      <c r="Q7" s="13" t="e">
        <f>SUMIF([12]Estado!$A$9:$A$369,$A7,[12]Estado!$Q$9:$Q$369)</f>
        <v>#VALUE!</v>
      </c>
      <c r="R7" s="49" t="e">
        <f>+Q7/$C$7</f>
        <v>#VALUE!</v>
      </c>
    </row>
    <row r="8" spans="1:19" x14ac:dyDescent="0.25">
      <c r="A8" s="11" t="s">
        <v>251</v>
      </c>
      <c r="B8" s="11" t="s">
        <v>510</v>
      </c>
      <c r="C8" s="13" t="e">
        <f>SUMIF([12]Estado!$A$9:$A$369,$A8,[12]Estado!$C$9:$C$369)</f>
        <v>#VALUE!</v>
      </c>
      <c r="D8" s="13" t="e">
        <f>SUMIF([12]Estado!$A$9:$A$369,$A8,[12]Estado!$D$9:$D$369)</f>
        <v>#VALUE!</v>
      </c>
      <c r="E8" s="13" t="e">
        <f>SUMIF([12]Estado!$A$9:$A$369,$A8,[12]Estado!$E$9:$E$369)</f>
        <v>#VALUE!</v>
      </c>
      <c r="F8" s="49" t="e">
        <f t="shared" si="0"/>
        <v>#VALUE!</v>
      </c>
      <c r="G8" s="13" t="e">
        <f>SUMIF([12]Estado!$A$9:$A$369,$A8,[12]Estado!$G$9:$G$369)</f>
        <v>#VALUE!</v>
      </c>
      <c r="H8" s="49" t="e">
        <f>+G8/$C$8</f>
        <v>#VALUE!</v>
      </c>
      <c r="I8" s="13" t="e">
        <f>SUMIF([12]Estado!$A$9:$A$369,$A8,[12]Estado!$I$9:$I$369)</f>
        <v>#VALUE!</v>
      </c>
      <c r="J8" s="49" t="e">
        <f t="shared" si="3"/>
        <v>#VALUE!</v>
      </c>
      <c r="K8" s="13" t="e">
        <f>SUMIF([12]Estado!$A$9:$A$369,$A8,[12]Estado!$K$9:$K$369)</f>
        <v>#VALUE!</v>
      </c>
      <c r="L8" s="49" t="e">
        <f>+K8/$C$8</f>
        <v>#VALUE!</v>
      </c>
      <c r="M8" s="13" t="e">
        <f>SUMIF([12]Estado!$A$9:$A$369,$A8,[12]Estado!$M$9:$M$369)</f>
        <v>#VALUE!</v>
      </c>
      <c r="N8" s="49" t="e">
        <f>+M8/$C$8</f>
        <v>#VALUE!</v>
      </c>
      <c r="O8" s="13" t="e">
        <f>SUMIF([12]Estado!$A$9:$A$369,$A8,[12]Estado!$O$9:$O$369)</f>
        <v>#VALUE!</v>
      </c>
      <c r="P8" s="49" t="e">
        <f>+O8/$C$8</f>
        <v>#VALUE!</v>
      </c>
      <c r="Q8" s="13" t="e">
        <f>SUMIF([12]Estado!$A$9:$A$369,$A8,[12]Estado!$Q$9:$Q$369)</f>
        <v>#VALUE!</v>
      </c>
      <c r="R8" s="49" t="e">
        <f>+Q8/$C$8</f>
        <v>#VALUE!</v>
      </c>
    </row>
    <row r="9" spans="1:19" x14ac:dyDescent="0.25">
      <c r="A9" s="11" t="s">
        <v>376</v>
      </c>
      <c r="B9" s="11" t="s">
        <v>528</v>
      </c>
      <c r="C9" s="13" t="e">
        <f>SUMIF([12]Estado!$A$9:$A$369,$A9,[12]Estado!$C$9:$C$369)</f>
        <v>#VALUE!</v>
      </c>
      <c r="D9" s="13" t="e">
        <f>SUMIF([12]Estado!$A$9:$A$369,$A9,[12]Estado!$D$9:$D$369)</f>
        <v>#VALUE!</v>
      </c>
      <c r="E9" s="13" t="e">
        <f>SUMIF([12]Estado!$A$9:$A$369,$A9,[12]Estado!$E$9:$E$369)</f>
        <v>#VALUE!</v>
      </c>
      <c r="F9" s="49" t="e">
        <f t="shared" si="0"/>
        <v>#VALUE!</v>
      </c>
      <c r="G9" s="13" t="e">
        <f>SUMIF([12]Estado!$A$9:$A$369,$A9,[12]Estado!$G$9:$G$369)</f>
        <v>#VALUE!</v>
      </c>
      <c r="H9" s="49" t="e">
        <f>+G9/$C$9</f>
        <v>#VALUE!</v>
      </c>
      <c r="I9" s="13" t="e">
        <f>SUMIF([12]Estado!$A$9:$A$369,$A9,[12]Estado!$I$9:$I$369)</f>
        <v>#VALUE!</v>
      </c>
      <c r="J9" s="49">
        <v>0</v>
      </c>
      <c r="K9" s="13" t="e">
        <f>SUMIF([12]Estado!$A$9:$A$369,$A9,[12]Estado!$K$9:$K$369)</f>
        <v>#VALUE!</v>
      </c>
      <c r="L9" s="49" t="e">
        <f>+K9/$C$9</f>
        <v>#VALUE!</v>
      </c>
      <c r="M9" s="13" t="e">
        <f>SUMIF([12]Estado!$A$9:$A$369,$A9,[12]Estado!$M$9:$M$369)</f>
        <v>#VALUE!</v>
      </c>
      <c r="N9" s="49" t="e">
        <f>+M9/$C$9</f>
        <v>#VALUE!</v>
      </c>
      <c r="O9" s="13" t="e">
        <f>SUMIF([12]Estado!$A$9:$A$369,$A9,[12]Estado!$O$9:$O$369)</f>
        <v>#VALUE!</v>
      </c>
      <c r="P9" s="49" t="e">
        <f>+O9/$C$9</f>
        <v>#VALUE!</v>
      </c>
      <c r="Q9" s="13" t="e">
        <f>SUMIF([12]Estado!$A$9:$A$369,$A9,[12]Estado!$Q$9:$Q$369)</f>
        <v>#VALUE!</v>
      </c>
      <c r="R9" s="49" t="e">
        <f>+Q9/$C$9</f>
        <v>#VALUE!</v>
      </c>
    </row>
    <row r="10" spans="1:19" x14ac:dyDescent="0.25">
      <c r="A10" s="11" t="s">
        <v>576</v>
      </c>
      <c r="B10" s="11" t="s">
        <v>577</v>
      </c>
      <c r="C10" s="13" t="e">
        <f>SUMIF([12]Estado!$A$9:$A$369,$A10,[12]Estado!$C$9:$C$369)</f>
        <v>#VALUE!</v>
      </c>
      <c r="D10" s="13" t="e">
        <f>SUMIF([12]Estado!$A$9:$A$369,$A10,[12]Estado!$D$9:$D$369)</f>
        <v>#VALUE!</v>
      </c>
      <c r="E10" s="13" t="e">
        <f>SUMIF([12]Estado!$A$9:$A$369,$A10,[12]Estado!$E$9:$E$369)</f>
        <v>#VALUE!</v>
      </c>
      <c r="F10" s="49" t="e">
        <f t="shared" si="0"/>
        <v>#VALUE!</v>
      </c>
      <c r="G10" s="13" t="e">
        <f>SUMIF([12]Estado!$A$9:$A$369,$A10,[12]Estado!$G$9:$G$369)</f>
        <v>#VALUE!</v>
      </c>
      <c r="H10" s="49" t="e">
        <f>+G10/$C$10</f>
        <v>#VALUE!</v>
      </c>
      <c r="I10" s="13" t="e">
        <f>SUMIF([12]Estado!$A$9:$A$369,$A10,[12]Estado!$I$9:$I$369)</f>
        <v>#VALUE!</v>
      </c>
      <c r="J10" s="49">
        <v>0</v>
      </c>
      <c r="K10" s="13" t="e">
        <f>SUMIF([12]Estado!$A$9:$A$369,$A10,[12]Estado!$K$9:$K$369)</f>
        <v>#VALUE!</v>
      </c>
      <c r="L10" s="49" t="e">
        <f>+K10/$C$10</f>
        <v>#VALUE!</v>
      </c>
      <c r="M10" s="13" t="e">
        <f>SUMIF([12]Estado!$A$9:$A$369,$A10,[12]Estado!$M$9:$M$369)</f>
        <v>#VALUE!</v>
      </c>
      <c r="N10" s="49" t="e">
        <f>+M10/$C$10</f>
        <v>#VALUE!</v>
      </c>
      <c r="O10" s="13" t="e">
        <f>SUMIF([12]Estado!$A$9:$A$369,$A10,[12]Estado!$O$9:$O$369)</f>
        <v>#VALUE!</v>
      </c>
      <c r="P10" s="49" t="e">
        <f>+O10/$C$10</f>
        <v>#VALUE!</v>
      </c>
      <c r="Q10" s="13" t="e">
        <f>SUMIF([12]Estado!$A$9:$A$369,$A10,[12]Estado!$Q$9:$Q$369)</f>
        <v>#VALUE!</v>
      </c>
      <c r="R10" s="49" t="e">
        <f>+Q10/$C$10</f>
        <v>#VALUE!</v>
      </c>
    </row>
    <row r="11" spans="1:19" x14ac:dyDescent="0.25">
      <c r="A11" s="54" t="s">
        <v>58</v>
      </c>
      <c r="B11" s="54"/>
      <c r="C11" s="55" t="e">
        <f>SUM(C4:C10)</f>
        <v>#VALUE!</v>
      </c>
      <c r="D11" s="55" t="e">
        <f>SUM(D4:D10)</f>
        <v>#VALUE!</v>
      </c>
      <c r="E11" s="55" t="e">
        <f>SUM(E4:E10)</f>
        <v>#VALUE!</v>
      </c>
      <c r="F11" s="56" t="e">
        <f t="shared" si="0"/>
        <v>#VALUE!</v>
      </c>
      <c r="G11" s="55" t="e">
        <f>SUM(G4:G10)</f>
        <v>#VALUE!</v>
      </c>
      <c r="H11" s="56" t="e">
        <f>+G11/$C$11</f>
        <v>#VALUE!</v>
      </c>
      <c r="I11" s="55" t="e">
        <f>SUM(I4:I10)</f>
        <v>#VALUE!</v>
      </c>
      <c r="J11" s="56" t="e">
        <f t="shared" ref="J11" si="4">+I11/(E11+G11)</f>
        <v>#VALUE!</v>
      </c>
      <c r="K11" s="55" t="e">
        <f>SUM(K4:K10)</f>
        <v>#VALUE!</v>
      </c>
      <c r="L11" s="56" t="e">
        <f>+K11/$C$11</f>
        <v>#VALUE!</v>
      </c>
      <c r="M11" s="55" t="e">
        <f>SUM(M4:M10)</f>
        <v>#VALUE!</v>
      </c>
      <c r="N11" s="56" t="e">
        <f>+M11/$C$11</f>
        <v>#VALUE!</v>
      </c>
      <c r="O11" s="55" t="e">
        <f>SUM(O4:O10)</f>
        <v>#VALUE!</v>
      </c>
      <c r="P11" s="56" t="e">
        <f>+O11/$C$11</f>
        <v>#VALUE!</v>
      </c>
      <c r="Q11" s="55" t="e">
        <f>SUM(Q4:Q10)</f>
        <v>#VALUE!</v>
      </c>
      <c r="R11" s="56" t="e">
        <f>+Q11/$C$11</f>
        <v>#VALUE!</v>
      </c>
    </row>
    <row r="12" spans="1:19" s="43" customFormat="1" ht="12.75" x14ac:dyDescent="0.2">
      <c r="D12" s="44" t="e">
        <f>+[12]Estado!C200-C11</f>
        <v>#VALUE!</v>
      </c>
      <c r="E12" s="44" t="e">
        <f>+[12]Estado!D200-D11</f>
        <v>#VALUE!</v>
      </c>
      <c r="F12" s="44" t="e">
        <f>+[12]Estado!E200-E11</f>
        <v>#VALUE!</v>
      </c>
      <c r="G12" s="44"/>
      <c r="H12" s="44" t="e">
        <f>+[12]Estado!G200-G11</f>
        <v>#VALUE!</v>
      </c>
      <c r="I12" s="44"/>
      <c r="J12" s="44" t="e">
        <f>+[12]Estado!I200-I11</f>
        <v>#VALUE!</v>
      </c>
      <c r="K12" s="44"/>
      <c r="L12" s="44" t="e">
        <f>+[12]Estado!K200-K11</f>
        <v>#VALUE!</v>
      </c>
      <c r="M12" s="44"/>
      <c r="N12" s="44" t="e">
        <f>+[12]Estado!M200-M11</f>
        <v>#VALUE!</v>
      </c>
      <c r="O12" s="44"/>
      <c r="P12" s="44" t="e">
        <f>+[12]Estado!O200-O11</f>
        <v>#VALUE!</v>
      </c>
      <c r="Q12" s="44"/>
      <c r="R12" s="44" t="e">
        <f>+[12]Estado!Q200-Q11</f>
        <v>#VALUE!</v>
      </c>
      <c r="S12" s="44"/>
    </row>
    <row r="13" spans="1:19" ht="25.5" x14ac:dyDescent="0.25">
      <c r="A13" s="57"/>
      <c r="B13" s="57"/>
      <c r="C13" s="58" t="s">
        <v>59</v>
      </c>
      <c r="D13" s="59" t="s">
        <v>60</v>
      </c>
    </row>
    <row r="14" spans="1:19" x14ac:dyDescent="0.25">
      <c r="A14" s="317" t="s">
        <v>61</v>
      </c>
      <c r="B14" s="318"/>
      <c r="C14" s="42" t="e">
        <f>+D14/C11*100</f>
        <v>#VALUE!</v>
      </c>
      <c r="D14" s="45" t="e">
        <f>+E11</f>
        <v>#VALUE!</v>
      </c>
    </row>
    <row r="15" spans="1:19" x14ac:dyDescent="0.25">
      <c r="A15" s="315" t="s">
        <v>62</v>
      </c>
      <c r="B15" s="316"/>
      <c r="C15" s="42" t="e">
        <f>+D15/C11*100</f>
        <v>#VALUE!</v>
      </c>
      <c r="D15" s="45" t="e">
        <f>+G11</f>
        <v>#VALUE!</v>
      </c>
    </row>
    <row r="16" spans="1:19" x14ac:dyDescent="0.25">
      <c r="A16" s="315" t="s">
        <v>63</v>
      </c>
      <c r="B16" s="316"/>
      <c r="C16" s="42" t="e">
        <f>+D16/C11*100</f>
        <v>#VALUE!</v>
      </c>
      <c r="D16" s="45" t="e">
        <f>+I11</f>
        <v>#VALUE!</v>
      </c>
    </row>
    <row r="17" spans="1:4" x14ac:dyDescent="0.25">
      <c r="A17" s="315" t="s">
        <v>64</v>
      </c>
      <c r="B17" s="316"/>
      <c r="C17" s="42" t="e">
        <f>+D17/C11*100</f>
        <v>#VALUE!</v>
      </c>
      <c r="D17" s="45" t="e">
        <f>+K11</f>
        <v>#VALUE!</v>
      </c>
    </row>
    <row r="18" spans="1:4" x14ac:dyDescent="0.25">
      <c r="A18" s="315" t="s">
        <v>65</v>
      </c>
      <c r="B18" s="316"/>
      <c r="C18" s="42" t="e">
        <f>+D18/C11*100</f>
        <v>#VALUE!</v>
      </c>
      <c r="D18" s="45" t="e">
        <f>+O11</f>
        <v>#VALUE!</v>
      </c>
    </row>
    <row r="19" spans="1:4" x14ac:dyDescent="0.25">
      <c r="A19" s="315" t="s">
        <v>15</v>
      </c>
      <c r="B19" s="316"/>
      <c r="C19" s="46" t="e">
        <f>SUM(C14:C18)</f>
        <v>#VALUE!</v>
      </c>
      <c r="D19" s="47" t="e">
        <f>SUM(D14:D18)</f>
        <v>#VALUE!</v>
      </c>
    </row>
    <row r="20" spans="1:4" x14ac:dyDescent="0.25">
      <c r="A20" s="315"/>
      <c r="B20" s="316"/>
    </row>
    <row r="21" spans="1:4" x14ac:dyDescent="0.25">
      <c r="A21" s="315" t="s">
        <v>66</v>
      </c>
      <c r="B21" s="316"/>
      <c r="C21" s="42" t="e">
        <f>+D21/C11*100</f>
        <v>#VALUE!</v>
      </c>
      <c r="D21" s="45" t="e">
        <f>+E11+G11+I11+K11</f>
        <v>#VALUE!</v>
      </c>
    </row>
    <row r="22" spans="1:4" x14ac:dyDescent="0.25">
      <c r="A22" s="315" t="s">
        <v>67</v>
      </c>
      <c r="B22" s="316"/>
      <c r="C22" s="42" t="e">
        <f>+D22/C11*100</f>
        <v>#VALUE!</v>
      </c>
      <c r="D22" s="45" t="e">
        <f>+M11</f>
        <v>#VALUE!</v>
      </c>
    </row>
    <row r="23" spans="1:4" x14ac:dyDescent="0.25">
      <c r="A23" s="315" t="s">
        <v>68</v>
      </c>
      <c r="B23" s="316"/>
      <c r="C23" s="42" t="e">
        <f>+D23/C11*100</f>
        <v>#VALUE!</v>
      </c>
      <c r="D23" s="45" t="e">
        <f>+Q11</f>
        <v>#VALUE!</v>
      </c>
    </row>
  </sheetData>
  <mergeCells count="10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B33D-85B9-48A2-9991-B7AA116C0A3D}">
  <dimension ref="A1:Q20"/>
  <sheetViews>
    <sheetView topLeftCell="B1" workbookViewId="0">
      <selection activeCell="L9" sqref="L9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20.140625" style="24" bestFit="1" customWidth="1"/>
    <col min="4" max="4" width="5" style="24" bestFit="1" customWidth="1"/>
    <col min="5" max="5" width="17.42578125" style="24" bestFit="1" customWidth="1"/>
    <col min="6" max="6" width="6.5703125" style="24" bestFit="1" customWidth="1"/>
    <col min="7" max="7" width="19.140625" style="24" bestFit="1" customWidth="1"/>
    <col min="8" max="8" width="12" style="24" hidden="1" customWidth="1"/>
    <col min="9" max="9" width="6.5703125" style="24" bestFit="1" customWidth="1"/>
    <col min="10" max="10" width="14.5703125" style="24" bestFit="1" customWidth="1"/>
    <col min="11" max="11" width="8.5703125" style="24" bestFit="1" customWidth="1"/>
    <col min="12" max="12" width="20.140625" style="24" bestFit="1" customWidth="1"/>
    <col min="13" max="13" width="13.85546875" style="24" bestFit="1" customWidth="1"/>
    <col min="14" max="14" width="23.42578125" style="24" bestFit="1" customWidth="1"/>
    <col min="15" max="15" width="9.42578125" style="24" customWidth="1"/>
    <col min="16" max="16" width="7.85546875" style="24" customWidth="1"/>
    <col min="17" max="16384" width="17.5703125" style="24"/>
  </cols>
  <sheetData>
    <row r="1" spans="1:17" ht="15.75" x14ac:dyDescent="0.25">
      <c r="B1" s="279" t="s">
        <v>70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7" ht="15.75" x14ac:dyDescent="0.25">
      <c r="B2" s="279" t="str">
        <f>+[13]Estado!A4</f>
        <v xml:space="preserve">AL 31 DE ENERO 2019        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15.75" x14ac:dyDescent="0.25">
      <c r="B3" s="279" t="s">
        <v>55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x14ac:dyDescent="0.25">
      <c r="L4" s="51"/>
    </row>
    <row r="5" spans="1:17" ht="25.5" x14ac:dyDescent="0.25">
      <c r="A5" s="60"/>
      <c r="B5" s="57" t="s">
        <v>71</v>
      </c>
      <c r="C5" s="61" t="s">
        <v>1</v>
      </c>
      <c r="D5" s="61" t="s">
        <v>72</v>
      </c>
      <c r="E5" s="61" t="s">
        <v>3</v>
      </c>
      <c r="F5" s="61"/>
      <c r="G5" s="61" t="s">
        <v>43</v>
      </c>
      <c r="H5" s="61" t="s">
        <v>73</v>
      </c>
      <c r="I5" s="61"/>
      <c r="J5" s="61" t="s">
        <v>31</v>
      </c>
      <c r="K5" s="61" t="s">
        <v>72</v>
      </c>
      <c r="L5" s="61" t="s">
        <v>33</v>
      </c>
      <c r="M5" s="61" t="s">
        <v>74</v>
      </c>
      <c r="N5" s="61" t="s">
        <v>6</v>
      </c>
      <c r="O5" s="61" t="s">
        <v>8</v>
      </c>
    </row>
    <row r="6" spans="1:17" x14ac:dyDescent="0.25">
      <c r="B6" s="79" t="s">
        <v>75</v>
      </c>
      <c r="C6" s="74">
        <f>+[14]Estado!$C$10</f>
        <v>2519449227</v>
      </c>
      <c r="D6" s="135">
        <f>IFERROR(C6/$C$11,0)</f>
        <v>1.8650549249572126E-2</v>
      </c>
      <c r="E6" s="74">
        <f>++[14]Estado!$E$10</f>
        <v>1229762.8999999999</v>
      </c>
      <c r="F6" s="75">
        <f>+E6/C6</f>
        <v>4.8810783199005898E-4</v>
      </c>
      <c r="G6" s="74">
        <f>++[14]Estado!$G$10</f>
        <v>374694436.30000001</v>
      </c>
      <c r="H6" s="80">
        <f>IFERROR(G6/C6,0)</f>
        <v>0.14872077289136815</v>
      </c>
      <c r="I6" s="80">
        <f>+G6/C6</f>
        <v>0.14872077289136815</v>
      </c>
      <c r="J6" s="74">
        <f>++[14]Estado!$I$10</f>
        <v>84624</v>
      </c>
      <c r="K6" s="80">
        <f>IFERROR(J6/G6,0)</f>
        <v>2.2584802922519403E-4</v>
      </c>
      <c r="L6" s="74">
        <f>++[14]Estado!$K$10</f>
        <v>242582833.88</v>
      </c>
      <c r="M6" s="135">
        <f>IFERROR(L6/C6,0)</f>
        <v>9.6284073233280518E-2</v>
      </c>
      <c r="N6" s="74">
        <f>++[14]Estado!$O$10</f>
        <v>1900857569.9200001</v>
      </c>
      <c r="O6" s="135">
        <f>IFERROR(N6/C6,0)</f>
        <v>0.75447345774989893</v>
      </c>
      <c r="P6" s="82"/>
      <c r="Q6" s="125">
        <f>(+E11+G11+J11+L11)/C11</f>
        <v>0.26005831070520985</v>
      </c>
    </row>
    <row r="7" spans="1:17" x14ac:dyDescent="0.25">
      <c r="B7" s="79" t="s">
        <v>76</v>
      </c>
      <c r="C7" s="74">
        <f>++[15]Estado!$C$10</f>
        <v>1241247489</v>
      </c>
      <c r="D7" s="135">
        <f t="shared" ref="D7:D10" si="0">IFERROR(C7/$C$11,0)</f>
        <v>9.1884953173149361E-3</v>
      </c>
      <c r="E7" s="74">
        <f>++[15]Estado!$E$10</f>
        <v>0</v>
      </c>
      <c r="F7" s="75">
        <f t="shared" ref="F7:F10" si="1">+E7/C7</f>
        <v>0</v>
      </c>
      <c r="G7" s="74">
        <f>++[15]Estado!$G$10</f>
        <v>180361793.22</v>
      </c>
      <c r="H7" s="80">
        <f t="shared" ref="H7:H10" si="2">IFERROR(G7/C7,0)</f>
        <v>0.14530687459058375</v>
      </c>
      <c r="I7" s="80">
        <f t="shared" ref="I7:I8" si="3">+G7/C7</f>
        <v>0.14530687459058375</v>
      </c>
      <c r="J7" s="74">
        <f>++[15]Estado!$I$10</f>
        <v>0</v>
      </c>
      <c r="K7" s="80">
        <f t="shared" ref="K7:K10" si="4">IFERROR(J7/G7,0)</f>
        <v>0</v>
      </c>
      <c r="L7" s="74">
        <f>++[15]Estado!$K$10</f>
        <v>113368080.03</v>
      </c>
      <c r="M7" s="135">
        <f>IFERROR(L7/C7,0)</f>
        <v>9.1333985393464115E-2</v>
      </c>
      <c r="N7" s="74">
        <f>++[15]Estado!$O$10</f>
        <v>947517615.75</v>
      </c>
      <c r="O7" s="135">
        <f>IFERROR(N7/C7,0)</f>
        <v>0.76335914001595218</v>
      </c>
      <c r="P7" s="82"/>
    </row>
    <row r="8" spans="1:17" x14ac:dyDescent="0.25">
      <c r="B8" s="79" t="s">
        <v>77</v>
      </c>
      <c r="C8" s="74">
        <f>++[16]Estado!$C$10</f>
        <v>11325587195</v>
      </c>
      <c r="D8" s="135">
        <f t="shared" si="0"/>
        <v>8.3839126225293423E-2</v>
      </c>
      <c r="E8" s="74">
        <f>++[16]Estado!$E$10</f>
        <v>0</v>
      </c>
      <c r="F8" s="75">
        <f t="shared" si="1"/>
        <v>0</v>
      </c>
      <c r="G8" s="74">
        <f>++[16]Estado!$G$10</f>
        <v>1698443291.8599999</v>
      </c>
      <c r="H8" s="80">
        <f t="shared" si="2"/>
        <v>0.14996514199368186</v>
      </c>
      <c r="I8" s="80">
        <f t="shared" si="3"/>
        <v>0.14996514199368186</v>
      </c>
      <c r="J8" s="74">
        <f>++[16]Estado!$I$10</f>
        <v>26735455.469999999</v>
      </c>
      <c r="K8" s="80">
        <f t="shared" si="4"/>
        <v>1.5741152853399925E-2</v>
      </c>
      <c r="L8" s="74">
        <f>++[16]Estado!$K$10</f>
        <v>1129866383.6400001</v>
      </c>
      <c r="M8" s="135">
        <f>IFERROR(L8/C8,0)</f>
        <v>9.9762278474957264E-2</v>
      </c>
      <c r="N8" s="74">
        <f>++[16]Estado!$O$10</f>
        <v>8470542064.0299997</v>
      </c>
      <c r="O8" s="135">
        <f>IFERROR(N8/C8,0)</f>
        <v>0.74791195530855648</v>
      </c>
    </row>
    <row r="9" spans="1:17" x14ac:dyDescent="0.25">
      <c r="B9" s="79" t="s">
        <v>78</v>
      </c>
      <c r="C9" s="74">
        <f>++[17]Estado!$C$10</f>
        <v>106163237755</v>
      </c>
      <c r="D9" s="135">
        <f t="shared" si="0"/>
        <v>0.78588711890865282</v>
      </c>
      <c r="E9" s="74">
        <f>++[17]Estado!$E$10</f>
        <v>0</v>
      </c>
      <c r="F9" s="75">
        <f t="shared" si="1"/>
        <v>0</v>
      </c>
      <c r="G9" s="74">
        <f>++[17]Estado!$G$10</f>
        <v>18075886356.48</v>
      </c>
      <c r="H9" s="80">
        <f t="shared" si="2"/>
        <v>0.17026502524532014</v>
      </c>
      <c r="I9" s="80">
        <f>+G9/C9</f>
        <v>0.17026502524532014</v>
      </c>
      <c r="J9" s="74">
        <f>++[17]Estado!$I$10</f>
        <v>308247108.77999997</v>
      </c>
      <c r="K9" s="80">
        <f t="shared" si="4"/>
        <v>1.7052945714581619E-2</v>
      </c>
      <c r="L9" s="74">
        <f>++[17]Estado!$K$10</f>
        <v>9177986155.2900009</v>
      </c>
      <c r="M9" s="135">
        <f>IFERROR(L9/C9,0)</f>
        <v>8.6451641353202255E-2</v>
      </c>
      <c r="N9" s="74">
        <f>++[17]Estado!$O$10</f>
        <v>78601118134.449997</v>
      </c>
      <c r="O9" s="135">
        <f>IFERROR(N9/C9,0)</f>
        <v>0.74037981316887724</v>
      </c>
    </row>
    <row r="10" spans="1:17" x14ac:dyDescent="0.25">
      <c r="B10" s="79" t="s">
        <v>79</v>
      </c>
      <c r="C10" s="74">
        <f>++[18]Estado!$C$10</f>
        <v>13837611334</v>
      </c>
      <c r="D10" s="135">
        <f t="shared" si="0"/>
        <v>0.10243471029916669</v>
      </c>
      <c r="E10" s="74">
        <f>++[18]Estado!$E$10</f>
        <v>0</v>
      </c>
      <c r="F10" s="75">
        <f t="shared" si="1"/>
        <v>0</v>
      </c>
      <c r="G10" s="74">
        <f>++[18]Estado!$G$10</f>
        <v>2171986864.21</v>
      </c>
      <c r="H10" s="80">
        <f t="shared" si="2"/>
        <v>0.15696255746635066</v>
      </c>
      <c r="I10" s="80">
        <f t="shared" ref="I10" si="5">+G10/C10</f>
        <v>0.15696255746635066</v>
      </c>
      <c r="J10" s="74">
        <f>++[18]Estado!$J$10</f>
        <v>0</v>
      </c>
      <c r="K10" s="80">
        <f t="shared" si="4"/>
        <v>0</v>
      </c>
      <c r="L10" s="74">
        <f>++[18]Estado!$K$10</f>
        <v>1629058459.9300001</v>
      </c>
      <c r="M10" s="135">
        <f>IFERROR(L10/C10,0)</f>
        <v>0.11772685477350321</v>
      </c>
      <c r="N10" s="74">
        <f>++[18]Estado!$O$10</f>
        <v>10036566009.860001</v>
      </c>
      <c r="O10" s="135">
        <f>IFERROR(N10/C10,0)</f>
        <v>0.72531058776014623</v>
      </c>
    </row>
    <row r="11" spans="1:17" x14ac:dyDescent="0.25">
      <c r="A11" s="60"/>
      <c r="B11" s="54" t="s">
        <v>15</v>
      </c>
      <c r="C11" s="55">
        <f>SUM(C6:C10)</f>
        <v>135087133000</v>
      </c>
      <c r="D11" s="56"/>
      <c r="E11" s="55">
        <f>SUM(E6:E10)</f>
        <v>1229762.8999999999</v>
      </c>
      <c r="F11" s="56">
        <f>+E11/C11</f>
        <v>9.1034791596324707E-6</v>
      </c>
      <c r="G11" s="55">
        <f>SUM(G6:G10)</f>
        <v>22501372742.07</v>
      </c>
      <c r="H11" s="56">
        <f>+G11/C11</f>
        <v>0.16656932634783211</v>
      </c>
      <c r="I11" s="91">
        <f>+G11/C11</f>
        <v>0.16656932634783211</v>
      </c>
      <c r="J11" s="55">
        <f>SUM(J6:J10)</f>
        <v>335067188.25</v>
      </c>
      <c r="K11" s="56">
        <f>+J11/G11</f>
        <v>1.4890966524168414E-2</v>
      </c>
      <c r="L11" s="55">
        <f>SUM(L6:L10)</f>
        <v>12292861912.77</v>
      </c>
      <c r="M11" s="137">
        <f>+L11/C11</f>
        <v>9.0999502615619218E-2</v>
      </c>
      <c r="N11" s="55">
        <f>SUM(N6:N10)</f>
        <v>99956601394.009995</v>
      </c>
      <c r="O11" s="137">
        <f>+N11/C11</f>
        <v>0.73994168929479021</v>
      </c>
    </row>
    <row r="12" spans="1:17" x14ac:dyDescent="0.25">
      <c r="B12" s="78"/>
      <c r="C12" s="44">
        <f>+C11-[13]Estado!C10</f>
        <v>0</v>
      </c>
      <c r="D12" s="44"/>
      <c r="E12" s="44">
        <f>+E11-[13]Estado!E10</f>
        <v>0</v>
      </c>
      <c r="F12" s="44"/>
      <c r="G12" s="44">
        <f>+G11-[13]Estado!G10</f>
        <v>0</v>
      </c>
      <c r="H12" s="44"/>
      <c r="I12" s="44"/>
      <c r="J12" s="44"/>
      <c r="K12" s="44"/>
      <c r="L12" s="44">
        <f>+L11-[13]Estado!K10</f>
        <v>0</v>
      </c>
      <c r="M12" s="44"/>
      <c r="N12" s="44">
        <f>+N11-[13]Estado!O10</f>
        <v>0</v>
      </c>
      <c r="O12" s="43"/>
    </row>
    <row r="13" spans="1:17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81"/>
      <c r="O13" s="78"/>
    </row>
    <row r="17" spans="2:4" x14ac:dyDescent="0.25">
      <c r="B17" s="82"/>
      <c r="C17" s="82"/>
      <c r="D17" s="82"/>
    </row>
    <row r="18" spans="2:4" x14ac:dyDescent="0.25">
      <c r="B18" s="82"/>
      <c r="C18" s="82"/>
      <c r="D18" s="82"/>
    </row>
    <row r="19" spans="2:4" x14ac:dyDescent="0.25">
      <c r="B19" s="82"/>
      <c r="C19" s="82"/>
      <c r="D19" s="82"/>
    </row>
    <row r="20" spans="2:4" x14ac:dyDescent="0.25">
      <c r="B20" s="82"/>
      <c r="C20" s="82"/>
      <c r="D20" s="82"/>
    </row>
  </sheetData>
  <mergeCells count="3">
    <mergeCell ref="B1:O1"/>
    <mergeCell ref="B2:O2"/>
    <mergeCell ref="B3:O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"/>
  <sheetViews>
    <sheetView tabSelected="1" topLeftCell="B1" zoomScale="80" zoomScaleNormal="80" workbookViewId="0">
      <selection activeCell="C6" sqref="C6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20.140625" style="24" bestFit="1" customWidth="1"/>
    <col min="4" max="4" width="5" style="24" bestFit="1" customWidth="1"/>
    <col min="5" max="5" width="17.42578125" style="24" bestFit="1" customWidth="1"/>
    <col min="6" max="6" width="12" style="24" customWidth="1"/>
    <col min="7" max="7" width="19.140625" style="24" bestFit="1" customWidth="1"/>
    <col min="8" max="8" width="12" style="24" hidden="1" customWidth="1"/>
    <col min="9" max="9" width="6.5703125" style="24" customWidth="1"/>
    <col min="10" max="10" width="14.5703125" style="24" bestFit="1" customWidth="1"/>
    <col min="11" max="11" width="8.5703125" style="24" bestFit="1" customWidth="1"/>
    <col min="12" max="12" width="20.140625" style="24" bestFit="1" customWidth="1"/>
    <col min="13" max="13" width="13.85546875" style="24" bestFit="1" customWidth="1"/>
    <col min="14" max="14" width="23.42578125" style="24" bestFit="1" customWidth="1"/>
    <col min="15" max="15" width="11.28515625" style="24" customWidth="1"/>
    <col min="16" max="16" width="7.85546875" style="24" customWidth="1"/>
    <col min="17" max="16384" width="17.5703125" style="24"/>
  </cols>
  <sheetData>
    <row r="1" spans="1:17" ht="15.75" x14ac:dyDescent="0.25">
      <c r="B1" s="279" t="s">
        <v>70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7" ht="15.75" x14ac:dyDescent="0.25">
      <c r="B2" s="279" t="str">
        <f>+Estado!A4</f>
        <v xml:space="preserve">AL 31 DE DICIEMBRE 2019        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15.75" x14ac:dyDescent="0.25">
      <c r="B3" s="279" t="s">
        <v>640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x14ac:dyDescent="0.25">
      <c r="L4" s="51"/>
    </row>
    <row r="5" spans="1:17" ht="24.75" customHeight="1" x14ac:dyDescent="0.25">
      <c r="A5" s="60"/>
      <c r="B5" s="57" t="s">
        <v>71</v>
      </c>
      <c r="C5" s="61" t="s">
        <v>1</v>
      </c>
      <c r="D5" s="61" t="s">
        <v>72</v>
      </c>
      <c r="E5" s="61" t="s">
        <v>3</v>
      </c>
      <c r="F5" s="61"/>
      <c r="G5" s="61" t="s">
        <v>43</v>
      </c>
      <c r="H5" s="61" t="s">
        <v>73</v>
      </c>
      <c r="I5" s="61"/>
      <c r="J5" s="61" t="s">
        <v>31</v>
      </c>
      <c r="K5" s="61" t="s">
        <v>72</v>
      </c>
      <c r="L5" s="61" t="s">
        <v>33</v>
      </c>
      <c r="M5" s="61" t="s">
        <v>74</v>
      </c>
      <c r="N5" s="61" t="s">
        <v>6</v>
      </c>
      <c r="O5" s="61" t="s">
        <v>8</v>
      </c>
    </row>
    <row r="6" spans="1:17" ht="24.75" customHeight="1" x14ac:dyDescent="0.25">
      <c r="B6" s="79" t="s">
        <v>75</v>
      </c>
      <c r="C6" s="74">
        <f>+sigaf!F3</f>
        <v>2405642232</v>
      </c>
      <c r="D6" s="135">
        <f>IFERROR(C6/$C$11,0)</f>
        <v>1.680957733434366E-2</v>
      </c>
      <c r="E6" s="74">
        <f>+sigaf!H3</f>
        <v>0</v>
      </c>
      <c r="F6" s="75">
        <f t="shared" ref="F6:F11" si="0">+E6/C6</f>
        <v>0</v>
      </c>
      <c r="G6" s="74">
        <f>+sigaf!I3</f>
        <v>0</v>
      </c>
      <c r="H6" s="80">
        <f>IFERROR(G6/C6,0)</f>
        <v>0</v>
      </c>
      <c r="I6" s="80">
        <f t="shared" ref="I6:I11" si="1">+G6/C6</f>
        <v>0</v>
      </c>
      <c r="J6" s="74">
        <f>+sigaf!J3</f>
        <v>0</v>
      </c>
      <c r="K6" s="80">
        <f>IFERROR(J6/C6,0)</f>
        <v>0</v>
      </c>
      <c r="L6" s="74">
        <f>+sigaf!K3</f>
        <v>2147263176.1900001</v>
      </c>
      <c r="M6" s="135">
        <f>IFERROR(L6/C6,0)</f>
        <v>0.89259456274377547</v>
      </c>
      <c r="N6" s="74">
        <f>+sigaf!M3</f>
        <v>258379055.81</v>
      </c>
      <c r="O6" s="135">
        <f>IFERROR(N6/C6,0)</f>
        <v>0.10740543725622456</v>
      </c>
      <c r="P6" s="82"/>
      <c r="Q6" s="125">
        <f>(+E11+G11+J11+L11)/C11</f>
        <v>0.93525782148769465</v>
      </c>
    </row>
    <row r="7" spans="1:17" ht="24.75" customHeight="1" x14ac:dyDescent="0.25">
      <c r="B7" s="79" t="s">
        <v>76</v>
      </c>
      <c r="C7" s="74">
        <f>+sigaf!F106</f>
        <v>1182918224</v>
      </c>
      <c r="D7" s="135">
        <f t="shared" ref="D7" si="2">IFERROR(C7/$C$11,0)</f>
        <v>8.2657159497906817E-3</v>
      </c>
      <c r="E7" s="74">
        <f>+sigaf!H105</f>
        <v>0</v>
      </c>
      <c r="F7" s="75">
        <f t="shared" si="0"/>
        <v>0</v>
      </c>
      <c r="G7" s="74">
        <f>+sigaf!I106</f>
        <v>0</v>
      </c>
      <c r="H7" s="80">
        <f t="shared" ref="H7" si="3">IFERROR(G7/C7,0)</f>
        <v>0</v>
      </c>
      <c r="I7" s="80">
        <f t="shared" si="1"/>
        <v>0</v>
      </c>
      <c r="J7" s="74">
        <f>+sigaf!J106</f>
        <v>0</v>
      </c>
      <c r="K7" s="80">
        <f>IFERROR(J7/C7,0)</f>
        <v>0</v>
      </c>
      <c r="L7" s="74">
        <f>+sigaf!K106</f>
        <v>1033142240.79</v>
      </c>
      <c r="M7" s="135">
        <f>IFERROR(L7/C7,0)</f>
        <v>0.8733843302341413</v>
      </c>
      <c r="N7" s="74">
        <f>+sigaf!M106</f>
        <v>149775983.21000001</v>
      </c>
      <c r="O7" s="135">
        <f>IFERROR(N7/C7,0)</f>
        <v>0.12661566976585864</v>
      </c>
      <c r="P7" s="82"/>
    </row>
    <row r="8" spans="1:17" ht="24.75" customHeight="1" x14ac:dyDescent="0.25">
      <c r="B8" s="79" t="s">
        <v>77</v>
      </c>
      <c r="C8" s="74">
        <f>+sigaf!F186</f>
        <v>10861397887</v>
      </c>
      <c r="D8" s="135">
        <f t="shared" ref="D8" si="4">IFERROR(C8/$C$11,0)</f>
        <v>7.5894705086223035E-2</v>
      </c>
      <c r="E8" s="74">
        <f>+sigaf!H184</f>
        <v>0</v>
      </c>
      <c r="F8" s="75">
        <f t="shared" si="0"/>
        <v>0</v>
      </c>
      <c r="G8" s="74">
        <f>+sigaf!I186</f>
        <v>0</v>
      </c>
      <c r="H8" s="80">
        <f t="shared" ref="H8" si="5">IFERROR(G8/C8,0)</f>
        <v>0</v>
      </c>
      <c r="I8" s="80">
        <f t="shared" si="1"/>
        <v>0</v>
      </c>
      <c r="J8" s="74">
        <f>+sigaf!J186</f>
        <v>0</v>
      </c>
      <c r="K8" s="80">
        <f>IFERROR(J8/C8,0)</f>
        <v>0</v>
      </c>
      <c r="L8" s="74">
        <f>+sigaf!K186</f>
        <v>9909325805.1000004</v>
      </c>
      <c r="M8" s="135">
        <f>IFERROR(L8/C8,0)</f>
        <v>0.91234350386523133</v>
      </c>
      <c r="N8" s="74">
        <f>+sigaf!M186</f>
        <v>952072081.89999998</v>
      </c>
      <c r="O8" s="135">
        <f>IFERROR(N8/C8,0)</f>
        <v>8.7656496134768655E-2</v>
      </c>
    </row>
    <row r="9" spans="1:17" ht="24.75" customHeight="1" x14ac:dyDescent="0.25">
      <c r="B9" s="79" t="s">
        <v>78</v>
      </c>
      <c r="C9" s="74">
        <f>+sigaf!F298</f>
        <v>115237508322.42</v>
      </c>
      <c r="D9" s="135">
        <f t="shared" ref="D9" si="6">IFERROR(C9/$C$11,0)</f>
        <v>0.80522938207329831</v>
      </c>
      <c r="E9" s="74">
        <f>+sigaf!H295</f>
        <v>0</v>
      </c>
      <c r="F9" s="75">
        <f t="shared" si="0"/>
        <v>0</v>
      </c>
      <c r="G9" s="74">
        <f>+sigaf!I298</f>
        <v>93466512.689999998</v>
      </c>
      <c r="H9" s="80">
        <f t="shared" ref="H9" si="7">IFERROR(G9/C9,0)</f>
        <v>8.1107717487688554E-4</v>
      </c>
      <c r="I9" s="80">
        <f t="shared" si="1"/>
        <v>8.1107717487688554E-4</v>
      </c>
      <c r="J9" s="74">
        <f>+sigaf!J298</f>
        <v>0</v>
      </c>
      <c r="K9" s="80">
        <f>IFERROR(J9/C9,0)</f>
        <v>0</v>
      </c>
      <c r="L9" s="74">
        <f>+sigaf!K298</f>
        <v>108051057664.92</v>
      </c>
      <c r="M9" s="135">
        <f>IFERROR(L9/C9,0)</f>
        <v>0.93763792048164374</v>
      </c>
      <c r="N9" s="74">
        <f>+sigaf!M298</f>
        <v>7092984144.8100004</v>
      </c>
      <c r="O9" s="135">
        <f>IFERROR(N9/C9,0)</f>
        <v>6.1551002343479405E-2</v>
      </c>
    </row>
    <row r="10" spans="1:17" ht="24.75" customHeight="1" x14ac:dyDescent="0.25">
      <c r="B10" s="79" t="s">
        <v>79</v>
      </c>
      <c r="C10" s="74">
        <f>+sigaf!F439</f>
        <v>13423938467</v>
      </c>
      <c r="D10" s="135">
        <f t="shared" ref="D10" si="8">IFERROR(C10/$C$11,0)</f>
        <v>9.3800619556344403E-2</v>
      </c>
      <c r="E10" s="74">
        <f>+sigaf!H434</f>
        <v>0</v>
      </c>
      <c r="F10" s="75">
        <f t="shared" si="0"/>
        <v>0</v>
      </c>
      <c r="G10" s="74">
        <f>+sigaf!I439</f>
        <v>0</v>
      </c>
      <c r="H10" s="80">
        <f t="shared" ref="H10" si="9">IFERROR(G10/C10,0)</f>
        <v>0</v>
      </c>
      <c r="I10" s="80">
        <f t="shared" si="1"/>
        <v>0</v>
      </c>
      <c r="J10" s="74">
        <f>+sigaf!J439</f>
        <v>0</v>
      </c>
      <c r="K10" s="80">
        <f>IFERROR(J10/C10,0)</f>
        <v>0</v>
      </c>
      <c r="L10" s="74">
        <f>+sigaf!K439</f>
        <v>12611805594.5</v>
      </c>
      <c r="M10" s="135">
        <f>IFERROR(L10/C10,0)</f>
        <v>0.9395011475584113</v>
      </c>
      <c r="N10" s="74">
        <f>+sigaf!M439</f>
        <v>812132872.5</v>
      </c>
      <c r="O10" s="135">
        <f>IFERROR(N10/C10,0)</f>
        <v>6.0498852441588744E-2</v>
      </c>
    </row>
    <row r="11" spans="1:17" ht="24.75" customHeight="1" x14ac:dyDescent="0.25">
      <c r="A11" s="60"/>
      <c r="B11" s="54" t="s">
        <v>15</v>
      </c>
      <c r="C11" s="55">
        <f>SUM(C6:C10)</f>
        <v>143111405132.41998</v>
      </c>
      <c r="D11" s="56"/>
      <c r="E11" s="55">
        <f>SUM(E6:E10)</f>
        <v>0</v>
      </c>
      <c r="F11" s="56">
        <f t="shared" si="0"/>
        <v>0</v>
      </c>
      <c r="G11" s="55">
        <f>SUM(G6:G10)</f>
        <v>93466512.689999998</v>
      </c>
      <c r="H11" s="56">
        <f>+G11/C11</f>
        <v>6.5310317233987104E-4</v>
      </c>
      <c r="I11" s="91">
        <f t="shared" si="1"/>
        <v>6.5310317233987104E-4</v>
      </c>
      <c r="J11" s="55">
        <f>SUM(J6:J10)</f>
        <v>0</v>
      </c>
      <c r="K11" s="56">
        <f>+J11/C11</f>
        <v>0</v>
      </c>
      <c r="L11" s="55">
        <f>SUM(L6:L10)</f>
        <v>133752594481.5</v>
      </c>
      <c r="M11" s="136">
        <f>+L11/C11</f>
        <v>0.93460471831535485</v>
      </c>
      <c r="N11" s="55">
        <f>SUM(N6:N10)</f>
        <v>9265344138.2299995</v>
      </c>
      <c r="O11" s="136">
        <f>+N11/C11</f>
        <v>6.4742178512305446E-2</v>
      </c>
    </row>
    <row r="12" spans="1:17" x14ac:dyDescent="0.25">
      <c r="B12" s="78"/>
      <c r="C12" s="44">
        <f>+C11-Estado!C10</f>
        <v>0</v>
      </c>
      <c r="D12" s="44"/>
      <c r="E12" s="44">
        <f>+E11-Estado!E10</f>
        <v>0</v>
      </c>
      <c r="F12" s="44"/>
      <c r="G12" s="44">
        <f>+G11-Estado!G10</f>
        <v>0</v>
      </c>
      <c r="H12" s="44"/>
      <c r="I12" s="44"/>
      <c r="J12" s="44"/>
      <c r="K12" s="44"/>
      <c r="L12" s="44">
        <f>+L11-Estado!K10</f>
        <v>0</v>
      </c>
      <c r="M12" s="44"/>
      <c r="N12" s="44">
        <f>+N11-Estado!O10</f>
        <v>0</v>
      </c>
      <c r="O12" s="43"/>
    </row>
    <row r="13" spans="1:17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81"/>
      <c r="O13" s="78"/>
    </row>
    <row r="17" spans="2:4" x14ac:dyDescent="0.25">
      <c r="B17" s="82"/>
      <c r="C17" s="82"/>
      <c r="D17" s="82"/>
    </row>
    <row r="18" spans="2:4" x14ac:dyDescent="0.25">
      <c r="B18" s="82"/>
      <c r="C18" s="82"/>
      <c r="D18" s="82"/>
    </row>
    <row r="19" spans="2:4" x14ac:dyDescent="0.25">
      <c r="B19" s="82"/>
      <c r="C19" s="82"/>
      <c r="D19" s="82"/>
    </row>
    <row r="20" spans="2:4" x14ac:dyDescent="0.25">
      <c r="B20" s="82"/>
      <c r="C20" s="82"/>
      <c r="D20" s="82"/>
    </row>
  </sheetData>
  <mergeCells count="3">
    <mergeCell ref="B1:O1"/>
    <mergeCell ref="B2:O2"/>
    <mergeCell ref="B3:O3"/>
  </mergeCells>
  <printOptions horizontalCentered="1"/>
  <pageMargins left="0.51181102362204722" right="0.31496062992125984" top="0.35433070866141736" bottom="0.35433070866141736" header="0.31496062992125984" footer="0.31496062992125984"/>
  <pageSetup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"/>
  <sheetViews>
    <sheetView workbookViewId="0">
      <selection activeCell="A25" sqref="A25"/>
    </sheetView>
  </sheetViews>
  <sheetFormatPr baseColWidth="10" defaultRowHeight="15" x14ac:dyDescent="0.25"/>
  <cols>
    <col min="1" max="1" width="37.85546875" bestFit="1" customWidth="1"/>
    <col min="2" max="2" width="20.42578125" bestFit="1" customWidth="1"/>
    <col min="3" max="3" width="22.85546875" bestFit="1" customWidth="1"/>
    <col min="4" max="4" width="30.28515625" bestFit="1" customWidth="1"/>
    <col min="5" max="5" width="18.28515625" bestFit="1" customWidth="1"/>
    <col min="6" max="6" width="14.42578125" customWidth="1"/>
  </cols>
  <sheetData>
    <row r="1" spans="1:6" ht="18" thickBot="1" x14ac:dyDescent="0.3">
      <c r="A1" s="363" t="s">
        <v>44</v>
      </c>
      <c r="B1" s="364"/>
      <c r="C1" s="364"/>
      <c r="D1" s="364"/>
      <c r="E1" s="364"/>
      <c r="F1" s="365"/>
    </row>
    <row r="2" spans="1:6" ht="15.75" thickBot="1" x14ac:dyDescent="0.3"/>
    <row r="3" spans="1:6" ht="33.75" customHeight="1" x14ac:dyDescent="0.25">
      <c r="A3" s="29" t="s">
        <v>0</v>
      </c>
      <c r="B3" s="7" t="s">
        <v>45</v>
      </c>
      <c r="C3" s="7" t="s">
        <v>54</v>
      </c>
      <c r="D3" s="7" t="s">
        <v>46</v>
      </c>
      <c r="E3" s="7" t="s">
        <v>47</v>
      </c>
      <c r="F3" s="30" t="s">
        <v>8</v>
      </c>
    </row>
    <row r="4" spans="1:6" ht="16.5" x14ac:dyDescent="0.25">
      <c r="A4" s="8" t="s">
        <v>9</v>
      </c>
      <c r="B4" s="16" t="e">
        <f>+#REF!</f>
        <v>#REF!</v>
      </c>
      <c r="C4" s="16" t="e">
        <f>+#REF!</f>
        <v>#REF!</v>
      </c>
      <c r="D4" s="16">
        <f>26829389123.4-3461184089.09</f>
        <v>23368205034.310001</v>
      </c>
      <c r="E4" s="16" t="e">
        <f>+C4-D4</f>
        <v>#REF!</v>
      </c>
      <c r="F4" s="31" t="e">
        <f>+E4/B4</f>
        <v>#REF!</v>
      </c>
    </row>
    <row r="5" spans="1:6" ht="16.5" x14ac:dyDescent="0.25">
      <c r="A5" s="8" t="s">
        <v>10</v>
      </c>
      <c r="B5" s="16" t="e">
        <f>+#REF!</f>
        <v>#REF!</v>
      </c>
      <c r="C5" s="16" t="e">
        <f>+#REF!</f>
        <v>#REF!</v>
      </c>
      <c r="D5" s="16">
        <f>1520802352.53-507409539.12+4542543.01</f>
        <v>1017935356.42</v>
      </c>
      <c r="E5" s="16" t="e">
        <f t="shared" ref="E5:E9" si="0">+C5-D5</f>
        <v>#REF!</v>
      </c>
      <c r="F5" s="31" t="e">
        <f t="shared" ref="F5:F10" si="1">+E5/B5</f>
        <v>#REF!</v>
      </c>
    </row>
    <row r="6" spans="1:6" ht="16.5" x14ac:dyDescent="0.25">
      <c r="A6" s="8" t="s">
        <v>11</v>
      </c>
      <c r="B6" s="16" t="e">
        <f>+#REF!</f>
        <v>#REF!</v>
      </c>
      <c r="C6" s="16" t="e">
        <f>+#REF!</f>
        <v>#REF!</v>
      </c>
      <c r="D6" s="16">
        <f>3114532393.51-1046587510.82</f>
        <v>2067944882.6900001</v>
      </c>
      <c r="E6" s="16" t="e">
        <f t="shared" si="0"/>
        <v>#REF!</v>
      </c>
      <c r="F6" s="31" t="e">
        <f t="shared" si="1"/>
        <v>#REF!</v>
      </c>
    </row>
    <row r="7" spans="1:6" ht="16.5" x14ac:dyDescent="0.25">
      <c r="A7" s="8" t="s">
        <v>12</v>
      </c>
      <c r="B7" s="16" t="e">
        <f>+#REF!</f>
        <v>#REF!</v>
      </c>
      <c r="C7" s="16" t="e">
        <f>+#REF!</f>
        <v>#REF!</v>
      </c>
      <c r="D7" s="16">
        <f>381303517.72-155353964</f>
        <v>225949553.72000003</v>
      </c>
      <c r="E7" s="16" t="e">
        <f t="shared" si="0"/>
        <v>#REF!</v>
      </c>
      <c r="F7" s="31" t="e">
        <f t="shared" si="1"/>
        <v>#REF!</v>
      </c>
    </row>
    <row r="8" spans="1:6" ht="16.5" x14ac:dyDescent="0.25">
      <c r="A8" s="8" t="s">
        <v>13</v>
      </c>
      <c r="B8" s="16" t="e">
        <f>+#REF!</f>
        <v>#REF!</v>
      </c>
      <c r="C8" s="16" t="e">
        <f>+#REF!</f>
        <v>#REF!</v>
      </c>
      <c r="D8" s="16">
        <v>970391201.72000003</v>
      </c>
      <c r="E8" s="16" t="e">
        <f t="shared" si="0"/>
        <v>#REF!</v>
      </c>
      <c r="F8" s="31" t="e">
        <f t="shared" si="1"/>
        <v>#REF!</v>
      </c>
    </row>
    <row r="9" spans="1:6" ht="16.5" x14ac:dyDescent="0.25">
      <c r="A9" s="8" t="s">
        <v>14</v>
      </c>
      <c r="B9" s="16" t="e">
        <f>+#REF!</f>
        <v>#REF!</v>
      </c>
      <c r="C9" s="16" t="e">
        <f>+#REF!</f>
        <v>#REF!</v>
      </c>
      <c r="D9" s="16">
        <v>9346324000</v>
      </c>
      <c r="E9" s="16" t="e">
        <f t="shared" si="0"/>
        <v>#REF!</v>
      </c>
      <c r="F9" s="31" t="e">
        <f t="shared" si="1"/>
        <v>#REF!</v>
      </c>
    </row>
    <row r="10" spans="1:6" ht="18" thickBot="1" x14ac:dyDescent="0.3">
      <c r="A10" s="9" t="s">
        <v>15</v>
      </c>
      <c r="B10" s="15" t="e">
        <f>SUM(B4:B9)</f>
        <v>#REF!</v>
      </c>
      <c r="C10" s="15" t="e">
        <f t="shared" ref="C10:E10" si="2">SUM(C4:C9)</f>
        <v>#REF!</v>
      </c>
      <c r="D10" s="15">
        <f t="shared" si="2"/>
        <v>36996750028.860001</v>
      </c>
      <c r="E10" s="15" t="e">
        <f t="shared" si="2"/>
        <v>#REF!</v>
      </c>
      <c r="F10" s="32" t="e">
        <f t="shared" si="1"/>
        <v>#REF!</v>
      </c>
    </row>
    <row r="12" spans="1:6" ht="15" customHeight="1" x14ac:dyDescent="0.25"/>
    <row r="15" spans="1:6" ht="18" thickBot="1" x14ac:dyDescent="0.3">
      <c r="A15" s="363" t="s">
        <v>48</v>
      </c>
      <c r="B15" s="364"/>
      <c r="C15" s="364"/>
      <c r="D15" s="364"/>
      <c r="E15" s="364"/>
      <c r="F15" s="365"/>
    </row>
    <row r="16" spans="1:6" ht="15.75" thickBot="1" x14ac:dyDescent="0.3">
      <c r="C16" s="25"/>
      <c r="D16" s="25"/>
      <c r="E16" s="25"/>
    </row>
    <row r="17" spans="1:6" ht="34.5" x14ac:dyDescent="0.25">
      <c r="A17" s="29" t="s">
        <v>56</v>
      </c>
      <c r="B17" s="7" t="s">
        <v>45</v>
      </c>
      <c r="C17" s="7" t="s">
        <v>54</v>
      </c>
      <c r="D17" s="7" t="s">
        <v>46</v>
      </c>
      <c r="E17" s="7" t="s">
        <v>47</v>
      </c>
      <c r="F17" s="30" t="s">
        <v>8</v>
      </c>
    </row>
    <row r="18" spans="1:6" x14ac:dyDescent="0.25">
      <c r="A18" s="26" t="s">
        <v>49</v>
      </c>
      <c r="B18" s="27">
        <f>+[19]proyeccion!$B$10</f>
        <v>3104857000</v>
      </c>
      <c r="C18" s="27">
        <f>+[19]proyeccion!$C$10</f>
        <v>1064850521.0999999</v>
      </c>
      <c r="D18" s="27">
        <f>+[19]proyeccion!$D$10</f>
        <v>817913281.75999999</v>
      </c>
      <c r="E18" s="27">
        <f>+C18-D18</f>
        <v>246937239.33999991</v>
      </c>
      <c r="F18" s="28">
        <f>+E18/B18</f>
        <v>7.953256441117898E-2</v>
      </c>
    </row>
    <row r="19" spans="1:6" x14ac:dyDescent="0.25">
      <c r="A19" s="26" t="s">
        <v>50</v>
      </c>
      <c r="B19" s="27">
        <f>+[20]Proyeccion!$B$10</f>
        <v>886495000</v>
      </c>
      <c r="C19" s="27">
        <f>+[20]Proyeccion!$C$10</f>
        <v>344496181.24000001</v>
      </c>
      <c r="D19" s="27">
        <f>+[20]Proyeccion!$D$10</f>
        <v>196164904.31</v>
      </c>
      <c r="E19" s="27">
        <f t="shared" ref="E19:E21" si="3">+C19-D19</f>
        <v>148331276.93000001</v>
      </c>
      <c r="F19" s="28">
        <f t="shared" ref="F19:F22" si="4">+E19/B19</f>
        <v>0.16732330913315924</v>
      </c>
    </row>
    <row r="20" spans="1:6" x14ac:dyDescent="0.25">
      <c r="A20" s="26" t="s">
        <v>51</v>
      </c>
      <c r="B20" s="27">
        <f>+[21]proyecion!B$10</f>
        <v>9259897000</v>
      </c>
      <c r="C20" s="27">
        <f>+[21]proyecion!C$10</f>
        <v>2809082347.3700004</v>
      </c>
      <c r="D20" s="27">
        <f>+[21]proyecion!D$10</f>
        <v>2552094589.6900001</v>
      </c>
      <c r="E20" s="27">
        <f t="shared" si="3"/>
        <v>256987757.68000031</v>
      </c>
      <c r="F20" s="28">
        <f t="shared" si="4"/>
        <v>2.7752766329906295E-2</v>
      </c>
    </row>
    <row r="21" spans="1:6" x14ac:dyDescent="0.25">
      <c r="A21" s="26" t="s">
        <v>52</v>
      </c>
      <c r="B21" s="27">
        <f>+[22]proyeccion!B$10</f>
        <v>152948794714.44</v>
      </c>
      <c r="C21" s="27">
        <f>+[22]proyeccion!C$10</f>
        <v>69213232409.300003</v>
      </c>
      <c r="D21" s="27">
        <f>+[22]proyeccion!D$10</f>
        <v>29520016193.59</v>
      </c>
      <c r="E21" s="27">
        <f t="shared" si="3"/>
        <v>39693216215.710007</v>
      </c>
      <c r="F21" s="28">
        <f t="shared" si="4"/>
        <v>0.25951964047718346</v>
      </c>
    </row>
    <row r="22" spans="1:6" x14ac:dyDescent="0.25">
      <c r="A22" s="26" t="s">
        <v>53</v>
      </c>
      <c r="B22" s="27">
        <f>+[23]proyeccion!B$10</f>
        <v>13799039000</v>
      </c>
      <c r="C22" s="27">
        <f>+[23]proyeccion!C$10</f>
        <v>4783423549.5699997</v>
      </c>
      <c r="D22" s="27">
        <f>+[23]proyeccion!D$10</f>
        <v>3910561059.5099998</v>
      </c>
      <c r="E22" s="27">
        <f>+[23]proyeccion!E$10</f>
        <v>872862490.06000042</v>
      </c>
      <c r="F22" s="28">
        <f t="shared" si="4"/>
        <v>6.3255310029923129E-2</v>
      </c>
    </row>
    <row r="23" spans="1:6" ht="18" thickBot="1" x14ac:dyDescent="0.3">
      <c r="A23" s="9" t="s">
        <v>15</v>
      </c>
      <c r="B23" s="15">
        <f>SUM(B18:B22)</f>
        <v>179999082714.44</v>
      </c>
      <c r="C23" s="15">
        <f>SUM(C18:C22)</f>
        <v>78215085008.580017</v>
      </c>
      <c r="D23" s="15">
        <f t="shared" ref="D23:E23" si="5">SUM(D18:D22)</f>
        <v>36996750028.860001</v>
      </c>
      <c r="E23" s="15">
        <f t="shared" si="5"/>
        <v>41218334979.720001</v>
      </c>
      <c r="F23" s="19">
        <f>+E23/B23</f>
        <v>0.22899191683721484</v>
      </c>
    </row>
    <row r="25" spans="1:6" x14ac:dyDescent="0.25">
      <c r="E25" s="33" t="e">
        <f>+E23-E10</f>
        <v>#REF!</v>
      </c>
    </row>
  </sheetData>
  <mergeCells count="2">
    <mergeCell ref="A15:F15"/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E249-5C53-463F-8402-FD40D9B7E400}">
  <dimension ref="A1:R458"/>
  <sheetViews>
    <sheetView topLeftCell="C1" workbookViewId="0">
      <pane ySplit="600" topLeftCell="A460" activePane="bottomLeft"/>
      <selection activeCell="G1" sqref="G1"/>
      <selection pane="bottomLeft" activeCell="J446" sqref="J446"/>
    </sheetView>
  </sheetViews>
  <sheetFormatPr baseColWidth="10" defaultColWidth="9.140625" defaultRowHeight="15" x14ac:dyDescent="0.25"/>
  <cols>
    <col min="1" max="1" width="15" style="256" bestFit="1" customWidth="1"/>
    <col min="2" max="2" width="20" style="256" bestFit="1" customWidth="1"/>
    <col min="3" max="3" width="72.140625" style="256" customWidth="1"/>
    <col min="4" max="4" width="6" style="256" bestFit="1" customWidth="1"/>
    <col min="5" max="5" width="17" style="256" hidden="1" customWidth="1"/>
    <col min="6" max="7" width="17" style="256" bestFit="1" customWidth="1"/>
    <col min="8" max="8" width="14.85546875" style="256" bestFit="1" customWidth="1"/>
    <col min="9" max="9" width="15.85546875" style="256" bestFit="1" customWidth="1"/>
    <col min="10" max="10" width="18" style="256" bestFit="1" customWidth="1"/>
    <col min="11" max="11" width="17" style="256" hidden="1" customWidth="1"/>
    <col min="12" max="12" width="12" style="256" hidden="1" customWidth="1"/>
    <col min="13" max="13" width="17" style="256" hidden="1" customWidth="1"/>
    <col min="14" max="14" width="9.140625" style="256" hidden="1" customWidth="1"/>
    <col min="15" max="15" width="24" style="256" bestFit="1" customWidth="1"/>
    <col min="16" max="16" width="24" style="256" customWidth="1"/>
    <col min="17" max="17" width="21" style="256" bestFit="1" customWidth="1"/>
    <col min="18" max="18" width="21" style="256" customWidth="1"/>
    <col min="19" max="16384" width="9.140625" style="256"/>
  </cols>
  <sheetData>
    <row r="1" spans="1:18" x14ac:dyDescent="0.25">
      <c r="A1" s="254" t="s">
        <v>549</v>
      </c>
      <c r="B1" s="254" t="s">
        <v>550</v>
      </c>
      <c r="C1" s="254" t="s">
        <v>91</v>
      </c>
      <c r="D1" s="254" t="s">
        <v>90</v>
      </c>
      <c r="E1" s="254" t="s">
        <v>551</v>
      </c>
      <c r="F1" s="261" t="s">
        <v>391</v>
      </c>
      <c r="G1" s="261" t="s">
        <v>539</v>
      </c>
      <c r="H1" s="254" t="s">
        <v>27</v>
      </c>
      <c r="I1" s="254" t="s">
        <v>29</v>
      </c>
      <c r="J1" s="255" t="s">
        <v>553</v>
      </c>
      <c r="K1" s="254" t="s">
        <v>33</v>
      </c>
      <c r="L1" s="254" t="s">
        <v>652</v>
      </c>
      <c r="M1" s="254" t="s">
        <v>35</v>
      </c>
      <c r="N1" s="254" t="s">
        <v>36</v>
      </c>
      <c r="O1" s="255" t="s">
        <v>538</v>
      </c>
      <c r="P1" s="255" t="s">
        <v>653</v>
      </c>
      <c r="Q1" s="259" t="s">
        <v>552</v>
      </c>
    </row>
    <row r="2" spans="1:18" x14ac:dyDescent="0.25">
      <c r="A2" s="194" t="s">
        <v>540</v>
      </c>
      <c r="B2" s="194" t="s">
        <v>587</v>
      </c>
      <c r="C2" s="194" t="s">
        <v>587</v>
      </c>
      <c r="D2" s="194" t="s">
        <v>541</v>
      </c>
      <c r="E2" s="195">
        <v>135087133000</v>
      </c>
      <c r="F2" s="195">
        <v>141327177532</v>
      </c>
      <c r="G2" s="195">
        <v>137882481884</v>
      </c>
      <c r="H2" s="195">
        <v>308164622.44999999</v>
      </c>
      <c r="I2" s="195">
        <v>9406204955.1000004</v>
      </c>
      <c r="J2" s="195">
        <v>247946754.78</v>
      </c>
      <c r="K2" s="195">
        <v>102052183451.24001</v>
      </c>
      <c r="L2" s="257">
        <f>+K2/F2</f>
        <v>0.72209878689562623</v>
      </c>
      <c r="M2" s="195">
        <v>101004052697.14999</v>
      </c>
      <c r="N2" s="257">
        <f>+M2/F2</f>
        <v>0.71468244438887318</v>
      </c>
      <c r="O2" s="195">
        <v>29312677748.43</v>
      </c>
      <c r="P2" s="257">
        <f>+O2/F2</f>
        <v>0.20741005559099118</v>
      </c>
      <c r="Q2" s="195">
        <v>25867982100.43</v>
      </c>
    </row>
    <row r="3" spans="1:18" x14ac:dyDescent="0.25">
      <c r="A3" s="194" t="s">
        <v>542</v>
      </c>
      <c r="B3" s="194" t="s">
        <v>587</v>
      </c>
      <c r="C3" s="194" t="s">
        <v>587</v>
      </c>
      <c r="D3" s="194" t="s">
        <v>541</v>
      </c>
      <c r="E3" s="195">
        <v>2519449227</v>
      </c>
      <c r="F3" s="195">
        <v>2519449227</v>
      </c>
      <c r="G3" s="195">
        <v>2385122032</v>
      </c>
      <c r="H3" s="195">
        <v>18819109</v>
      </c>
      <c r="I3" s="195">
        <v>279031111.26999998</v>
      </c>
      <c r="J3" s="195">
        <v>167440.29</v>
      </c>
      <c r="K3" s="195">
        <v>1706013879.1099999</v>
      </c>
      <c r="L3" s="257">
        <f t="shared" ref="L3:L66" si="0">+K3/F3</f>
        <v>0.67713763025159779</v>
      </c>
      <c r="M3" s="195">
        <v>1689426945.8299999</v>
      </c>
      <c r="N3" s="257">
        <f t="shared" ref="N3:N66" si="1">+M3/F3</f>
        <v>0.67055407496409924</v>
      </c>
      <c r="O3" s="195">
        <v>515417687.32999998</v>
      </c>
      <c r="P3" s="257">
        <f t="shared" ref="P3:P66" si="2">+O3/F3</f>
        <v>0.20457554048180865</v>
      </c>
      <c r="Q3" s="195">
        <v>381090492.32999998</v>
      </c>
    </row>
    <row r="4" spans="1:18" x14ac:dyDescent="0.25">
      <c r="A4" s="194" t="s">
        <v>542</v>
      </c>
      <c r="B4" s="194" t="s">
        <v>92</v>
      </c>
      <c r="C4" s="194" t="s">
        <v>93</v>
      </c>
      <c r="D4" s="194" t="s">
        <v>541</v>
      </c>
      <c r="E4" s="195">
        <v>1386097000</v>
      </c>
      <c r="F4" s="195">
        <v>1364477635</v>
      </c>
      <c r="G4" s="195">
        <v>1262321245</v>
      </c>
      <c r="H4" s="195">
        <v>0</v>
      </c>
      <c r="I4" s="195">
        <v>50377340</v>
      </c>
      <c r="J4" s="195">
        <v>0</v>
      </c>
      <c r="K4" s="195">
        <v>879121336.21000004</v>
      </c>
      <c r="L4" s="257">
        <f t="shared" si="0"/>
        <v>0.6442914956315865</v>
      </c>
      <c r="M4" s="195">
        <v>879121336.21000004</v>
      </c>
      <c r="N4" s="257">
        <f t="shared" si="1"/>
        <v>0.6442914956315865</v>
      </c>
      <c r="O4" s="195">
        <v>434978958.79000002</v>
      </c>
      <c r="P4" s="257">
        <f t="shared" si="2"/>
        <v>0.31878789921683109</v>
      </c>
      <c r="Q4" s="195">
        <v>332822568.79000002</v>
      </c>
      <c r="R4" s="260">
        <f>G4-F4</f>
        <v>-102156390</v>
      </c>
    </row>
    <row r="5" spans="1:18" x14ac:dyDescent="0.25">
      <c r="A5" s="194" t="s">
        <v>542</v>
      </c>
      <c r="B5" s="194" t="s">
        <v>94</v>
      </c>
      <c r="C5" s="194" t="s">
        <v>95</v>
      </c>
      <c r="D5" s="194" t="s">
        <v>541</v>
      </c>
      <c r="E5" s="195">
        <v>526394000</v>
      </c>
      <c r="F5" s="195">
        <v>513555100</v>
      </c>
      <c r="G5" s="195">
        <v>496494500</v>
      </c>
      <c r="H5" s="195">
        <v>0</v>
      </c>
      <c r="I5" s="195">
        <v>0</v>
      </c>
      <c r="J5" s="195">
        <v>0</v>
      </c>
      <c r="K5" s="195">
        <v>374429464.41000003</v>
      </c>
      <c r="L5" s="257">
        <f t="shared" si="0"/>
        <v>0.72909306987702005</v>
      </c>
      <c r="M5" s="195">
        <v>374429464.41000003</v>
      </c>
      <c r="N5" s="257">
        <f t="shared" si="1"/>
        <v>0.72909306987702005</v>
      </c>
      <c r="O5" s="195">
        <v>139125635.59</v>
      </c>
      <c r="P5" s="257">
        <f t="shared" si="2"/>
        <v>0.27090693012298001</v>
      </c>
      <c r="Q5" s="195">
        <v>122065035.59</v>
      </c>
      <c r="R5" s="260">
        <f t="shared" ref="R5:R68" si="3">G5-F5</f>
        <v>-17060600</v>
      </c>
    </row>
    <row r="6" spans="1:18" x14ac:dyDescent="0.25">
      <c r="A6" s="194" t="s">
        <v>542</v>
      </c>
      <c r="B6" s="194" t="s">
        <v>96</v>
      </c>
      <c r="C6" s="194" t="s">
        <v>97</v>
      </c>
      <c r="D6" s="194" t="s">
        <v>541</v>
      </c>
      <c r="E6" s="195">
        <v>526394000</v>
      </c>
      <c r="F6" s="195">
        <v>513555100</v>
      </c>
      <c r="G6" s="195">
        <v>496494500</v>
      </c>
      <c r="H6" s="195">
        <v>0</v>
      </c>
      <c r="I6" s="195">
        <v>0</v>
      </c>
      <c r="J6" s="195">
        <v>0</v>
      </c>
      <c r="K6" s="195">
        <v>374429464.41000003</v>
      </c>
      <c r="L6" s="257">
        <f t="shared" si="0"/>
        <v>0.72909306987702005</v>
      </c>
      <c r="M6" s="195">
        <v>374429464.41000003</v>
      </c>
      <c r="N6" s="257">
        <f t="shared" si="1"/>
        <v>0.72909306987702005</v>
      </c>
      <c r="O6" s="195">
        <v>139125635.59</v>
      </c>
      <c r="P6" s="257">
        <f t="shared" si="2"/>
        <v>0.27090693012298001</v>
      </c>
      <c r="Q6" s="195">
        <v>122065035.59</v>
      </c>
      <c r="R6" s="260">
        <f t="shared" si="3"/>
        <v>-17060600</v>
      </c>
    </row>
    <row r="7" spans="1:18" x14ac:dyDescent="0.25">
      <c r="A7" s="194" t="s">
        <v>542</v>
      </c>
      <c r="B7" s="194" t="s">
        <v>102</v>
      </c>
      <c r="C7" s="194" t="s">
        <v>103</v>
      </c>
      <c r="D7" s="194" t="s">
        <v>541</v>
      </c>
      <c r="E7" s="195">
        <v>649722000</v>
      </c>
      <c r="F7" s="195">
        <v>640941535</v>
      </c>
      <c r="G7" s="195">
        <v>571741535</v>
      </c>
      <c r="H7" s="195">
        <v>0</v>
      </c>
      <c r="I7" s="195">
        <v>0</v>
      </c>
      <c r="J7" s="195">
        <v>0</v>
      </c>
      <c r="K7" s="195">
        <v>360984001.80000001</v>
      </c>
      <c r="L7" s="257">
        <f t="shared" si="0"/>
        <v>0.56320893886210699</v>
      </c>
      <c r="M7" s="195">
        <v>360984001.80000001</v>
      </c>
      <c r="N7" s="257">
        <f t="shared" si="1"/>
        <v>0.56320893886210699</v>
      </c>
      <c r="O7" s="195">
        <v>279957533.19999999</v>
      </c>
      <c r="P7" s="257">
        <f t="shared" si="2"/>
        <v>0.43679106113789301</v>
      </c>
      <c r="Q7" s="195">
        <v>210757533.19999999</v>
      </c>
      <c r="R7" s="260">
        <f t="shared" si="3"/>
        <v>-69200000</v>
      </c>
    </row>
    <row r="8" spans="1:18" x14ac:dyDescent="0.25">
      <c r="A8" s="194" t="s">
        <v>542</v>
      </c>
      <c r="B8" s="194" t="s">
        <v>104</v>
      </c>
      <c r="C8" s="194" t="s">
        <v>105</v>
      </c>
      <c r="D8" s="194" t="s">
        <v>541</v>
      </c>
      <c r="E8" s="195">
        <v>138872000</v>
      </c>
      <c r="F8" s="195">
        <v>137710900</v>
      </c>
      <c r="G8" s="195">
        <v>112710900</v>
      </c>
      <c r="H8" s="195">
        <v>0</v>
      </c>
      <c r="I8" s="195">
        <v>0</v>
      </c>
      <c r="J8" s="195">
        <v>0</v>
      </c>
      <c r="K8" s="195">
        <v>83310035.719999999</v>
      </c>
      <c r="L8" s="257">
        <f t="shared" si="0"/>
        <v>0.604963265217205</v>
      </c>
      <c r="M8" s="195">
        <v>83310035.719999999</v>
      </c>
      <c r="N8" s="257">
        <f t="shared" si="1"/>
        <v>0.604963265217205</v>
      </c>
      <c r="O8" s="195">
        <v>54400864.280000001</v>
      </c>
      <c r="P8" s="257">
        <f t="shared" si="2"/>
        <v>0.395036734782795</v>
      </c>
      <c r="Q8" s="195">
        <v>29400864.280000001</v>
      </c>
      <c r="R8" s="260">
        <f t="shared" si="3"/>
        <v>-25000000</v>
      </c>
    </row>
    <row r="9" spans="1:18" x14ac:dyDescent="0.25">
      <c r="A9" s="194" t="s">
        <v>542</v>
      </c>
      <c r="B9" s="194" t="s">
        <v>106</v>
      </c>
      <c r="C9" s="194" t="s">
        <v>107</v>
      </c>
      <c r="D9" s="194" t="s">
        <v>541</v>
      </c>
      <c r="E9" s="195">
        <v>289755000</v>
      </c>
      <c r="F9" s="195">
        <v>282135635</v>
      </c>
      <c r="G9" s="195">
        <v>243135635</v>
      </c>
      <c r="H9" s="195">
        <v>0</v>
      </c>
      <c r="I9" s="195">
        <v>0</v>
      </c>
      <c r="J9" s="195">
        <v>0</v>
      </c>
      <c r="K9" s="195">
        <v>172656696.56999999</v>
      </c>
      <c r="L9" s="257">
        <f t="shared" si="0"/>
        <v>0.61196345002643848</v>
      </c>
      <c r="M9" s="195">
        <v>172656696.56999999</v>
      </c>
      <c r="N9" s="257">
        <f t="shared" si="1"/>
        <v>0.61196345002643848</v>
      </c>
      <c r="O9" s="195">
        <v>109478938.43000001</v>
      </c>
      <c r="P9" s="257">
        <f t="shared" si="2"/>
        <v>0.38803654997356152</v>
      </c>
      <c r="Q9" s="195">
        <v>70478938.430000007</v>
      </c>
      <c r="R9" s="260">
        <f t="shared" si="3"/>
        <v>-39000000</v>
      </c>
    </row>
    <row r="10" spans="1:18" x14ac:dyDescent="0.25">
      <c r="A10" s="194" t="s">
        <v>542</v>
      </c>
      <c r="B10" s="194" t="s">
        <v>112</v>
      </c>
      <c r="C10" s="194" t="s">
        <v>113</v>
      </c>
      <c r="D10" s="194" t="s">
        <v>543</v>
      </c>
      <c r="E10" s="195">
        <v>89807000</v>
      </c>
      <c r="F10" s="195">
        <v>89807000</v>
      </c>
      <c r="G10" s="195">
        <v>89807000</v>
      </c>
      <c r="H10" s="195">
        <v>0</v>
      </c>
      <c r="I10" s="195">
        <v>0</v>
      </c>
      <c r="J10" s="195">
        <v>0</v>
      </c>
      <c r="K10" s="195">
        <v>36779.85</v>
      </c>
      <c r="L10" s="257">
        <f t="shared" si="0"/>
        <v>4.0954324273163558E-4</v>
      </c>
      <c r="M10" s="195">
        <v>36779.85</v>
      </c>
      <c r="N10" s="257">
        <f t="shared" si="1"/>
        <v>4.0954324273163558E-4</v>
      </c>
      <c r="O10" s="195">
        <v>89770220.150000006</v>
      </c>
      <c r="P10" s="257">
        <f t="shared" si="2"/>
        <v>0.99959045675726843</v>
      </c>
      <c r="Q10" s="195">
        <v>89770220.150000006</v>
      </c>
      <c r="R10" s="260">
        <f t="shared" si="3"/>
        <v>0</v>
      </c>
    </row>
    <row r="11" spans="1:18" x14ac:dyDescent="0.25">
      <c r="A11" s="194" t="s">
        <v>542</v>
      </c>
      <c r="B11" s="194" t="s">
        <v>108</v>
      </c>
      <c r="C11" s="194" t="s">
        <v>109</v>
      </c>
      <c r="D11" s="194" t="s">
        <v>541</v>
      </c>
      <c r="E11" s="195">
        <v>83881000</v>
      </c>
      <c r="F11" s="195">
        <v>83881000</v>
      </c>
      <c r="G11" s="195">
        <v>83881000</v>
      </c>
      <c r="H11" s="195">
        <v>0</v>
      </c>
      <c r="I11" s="195">
        <v>0</v>
      </c>
      <c r="J11" s="195">
        <v>0</v>
      </c>
      <c r="K11" s="195">
        <v>74715480.260000005</v>
      </c>
      <c r="L11" s="257">
        <f t="shared" si="0"/>
        <v>0.8907318732490076</v>
      </c>
      <c r="M11" s="195">
        <v>74715480.260000005</v>
      </c>
      <c r="N11" s="257">
        <f t="shared" si="1"/>
        <v>0.8907318732490076</v>
      </c>
      <c r="O11" s="195">
        <v>9165519.7400000002</v>
      </c>
      <c r="P11" s="257">
        <f t="shared" si="2"/>
        <v>0.10926812675099248</v>
      </c>
      <c r="Q11" s="195">
        <v>9165519.7400000002</v>
      </c>
      <c r="R11" s="260">
        <f t="shared" si="3"/>
        <v>0</v>
      </c>
    </row>
    <row r="12" spans="1:18" x14ac:dyDescent="0.25">
      <c r="A12" s="194" t="s">
        <v>542</v>
      </c>
      <c r="B12" s="194" t="s">
        <v>110</v>
      </c>
      <c r="C12" s="194" t="s">
        <v>111</v>
      </c>
      <c r="D12" s="194" t="s">
        <v>541</v>
      </c>
      <c r="E12" s="195">
        <v>47407000</v>
      </c>
      <c r="F12" s="195">
        <v>47407000</v>
      </c>
      <c r="G12" s="195">
        <v>42207000</v>
      </c>
      <c r="H12" s="195">
        <v>0</v>
      </c>
      <c r="I12" s="195">
        <v>0</v>
      </c>
      <c r="J12" s="195">
        <v>0</v>
      </c>
      <c r="K12" s="195">
        <v>30265009.399999999</v>
      </c>
      <c r="L12" s="257">
        <f t="shared" si="0"/>
        <v>0.63840802835024357</v>
      </c>
      <c r="M12" s="195">
        <v>30265009.399999999</v>
      </c>
      <c r="N12" s="257">
        <f t="shared" si="1"/>
        <v>0.63840802835024357</v>
      </c>
      <c r="O12" s="195">
        <v>17141990.600000001</v>
      </c>
      <c r="P12" s="257">
        <f t="shared" si="2"/>
        <v>0.36159197164975637</v>
      </c>
      <c r="Q12" s="195">
        <v>11941990.6</v>
      </c>
      <c r="R12" s="260">
        <f t="shared" si="3"/>
        <v>-5200000</v>
      </c>
    </row>
    <row r="13" spans="1:18" x14ac:dyDescent="0.25">
      <c r="A13" s="194" t="s">
        <v>542</v>
      </c>
      <c r="B13" s="194" t="s">
        <v>114</v>
      </c>
      <c r="C13" s="194" t="s">
        <v>115</v>
      </c>
      <c r="D13" s="194" t="s">
        <v>541</v>
      </c>
      <c r="E13" s="195">
        <v>105914000</v>
      </c>
      <c r="F13" s="195">
        <v>105914000</v>
      </c>
      <c r="G13" s="195">
        <v>97400595</v>
      </c>
      <c r="H13" s="195">
        <v>0</v>
      </c>
      <c r="I13" s="195">
        <v>24911962</v>
      </c>
      <c r="J13" s="195">
        <v>0</v>
      </c>
      <c r="K13" s="195">
        <v>72488633</v>
      </c>
      <c r="L13" s="257">
        <f t="shared" si="0"/>
        <v>0.68441030458674024</v>
      </c>
      <c r="M13" s="195">
        <v>72488633</v>
      </c>
      <c r="N13" s="257">
        <f t="shared" si="1"/>
        <v>0.68441030458674024</v>
      </c>
      <c r="O13" s="195">
        <v>8513405</v>
      </c>
      <c r="P13" s="257">
        <f t="shared" si="2"/>
        <v>8.0380355760333852E-2</v>
      </c>
      <c r="Q13" s="195">
        <v>0</v>
      </c>
      <c r="R13" s="260">
        <f t="shared" si="3"/>
        <v>-8513405</v>
      </c>
    </row>
    <row r="14" spans="1:18" x14ac:dyDescent="0.25">
      <c r="A14" s="194" t="s">
        <v>542</v>
      </c>
      <c r="B14" s="194" t="s">
        <v>116</v>
      </c>
      <c r="C14" s="194" t="s">
        <v>597</v>
      </c>
      <c r="D14" s="194" t="s">
        <v>541</v>
      </c>
      <c r="E14" s="195">
        <v>100483000</v>
      </c>
      <c r="F14" s="195">
        <v>100483000</v>
      </c>
      <c r="G14" s="195">
        <v>92354895</v>
      </c>
      <c r="H14" s="195">
        <v>0</v>
      </c>
      <c r="I14" s="195">
        <v>23583100</v>
      </c>
      <c r="J14" s="195">
        <v>0</v>
      </c>
      <c r="K14" s="195">
        <v>68771795</v>
      </c>
      <c r="L14" s="257">
        <f t="shared" si="0"/>
        <v>0.68441223888617975</v>
      </c>
      <c r="M14" s="195">
        <v>68771795</v>
      </c>
      <c r="N14" s="257">
        <f t="shared" si="1"/>
        <v>0.68441223888617975</v>
      </c>
      <c r="O14" s="195">
        <v>8128105</v>
      </c>
      <c r="P14" s="257">
        <f t="shared" si="2"/>
        <v>8.0890349611377046E-2</v>
      </c>
      <c r="Q14" s="195">
        <v>0</v>
      </c>
      <c r="R14" s="260">
        <f t="shared" si="3"/>
        <v>-8128105</v>
      </c>
    </row>
    <row r="15" spans="1:18" x14ac:dyDescent="0.25">
      <c r="A15" s="194" t="s">
        <v>542</v>
      </c>
      <c r="B15" s="194" t="s">
        <v>117</v>
      </c>
      <c r="C15" s="194" t="s">
        <v>583</v>
      </c>
      <c r="D15" s="194" t="s">
        <v>541</v>
      </c>
      <c r="E15" s="195">
        <v>5431000</v>
      </c>
      <c r="F15" s="195">
        <v>5431000</v>
      </c>
      <c r="G15" s="195">
        <v>5045700</v>
      </c>
      <c r="H15" s="195">
        <v>0</v>
      </c>
      <c r="I15" s="195">
        <v>1328862</v>
      </c>
      <c r="J15" s="195">
        <v>0</v>
      </c>
      <c r="K15" s="195">
        <v>3716838</v>
      </c>
      <c r="L15" s="257">
        <f t="shared" si="0"/>
        <v>0.68437451666359783</v>
      </c>
      <c r="M15" s="195">
        <v>3716838</v>
      </c>
      <c r="N15" s="257">
        <f t="shared" si="1"/>
        <v>0.68437451666359783</v>
      </c>
      <c r="O15" s="195">
        <v>385300</v>
      </c>
      <c r="P15" s="257">
        <f t="shared" si="2"/>
        <v>7.0944577425888417E-2</v>
      </c>
      <c r="Q15" s="195">
        <v>0</v>
      </c>
      <c r="R15" s="260">
        <f t="shared" si="3"/>
        <v>-385300</v>
      </c>
    </row>
    <row r="16" spans="1:18" x14ac:dyDescent="0.25">
      <c r="A16" s="194" t="s">
        <v>542</v>
      </c>
      <c r="B16" s="194" t="s">
        <v>118</v>
      </c>
      <c r="C16" s="194" t="s">
        <v>119</v>
      </c>
      <c r="D16" s="194" t="s">
        <v>541</v>
      </c>
      <c r="E16" s="195">
        <v>104067000</v>
      </c>
      <c r="F16" s="195">
        <v>104067000</v>
      </c>
      <c r="G16" s="195">
        <v>96684615</v>
      </c>
      <c r="H16" s="195">
        <v>0</v>
      </c>
      <c r="I16" s="195">
        <v>25465378</v>
      </c>
      <c r="J16" s="195">
        <v>0</v>
      </c>
      <c r="K16" s="195">
        <v>71219237</v>
      </c>
      <c r="L16" s="257">
        <f t="shared" si="0"/>
        <v>0.68435947034122246</v>
      </c>
      <c r="M16" s="195">
        <v>71219237</v>
      </c>
      <c r="N16" s="257">
        <f t="shared" si="1"/>
        <v>0.68435947034122246</v>
      </c>
      <c r="O16" s="195">
        <v>7382385</v>
      </c>
      <c r="P16" s="257">
        <f t="shared" si="2"/>
        <v>7.0938770215342034E-2</v>
      </c>
      <c r="Q16" s="195">
        <v>0</v>
      </c>
      <c r="R16" s="260">
        <f t="shared" si="3"/>
        <v>-7382385</v>
      </c>
    </row>
    <row r="17" spans="1:18" x14ac:dyDescent="0.25">
      <c r="A17" s="194" t="s">
        <v>542</v>
      </c>
      <c r="B17" s="194" t="s">
        <v>120</v>
      </c>
      <c r="C17" s="194" t="s">
        <v>598</v>
      </c>
      <c r="D17" s="194" t="s">
        <v>541</v>
      </c>
      <c r="E17" s="195">
        <v>55184000</v>
      </c>
      <c r="F17" s="195">
        <v>55184000</v>
      </c>
      <c r="G17" s="195">
        <v>51269325</v>
      </c>
      <c r="H17" s="195">
        <v>0</v>
      </c>
      <c r="I17" s="195">
        <v>13501533</v>
      </c>
      <c r="J17" s="195">
        <v>0</v>
      </c>
      <c r="K17" s="195">
        <v>37767792</v>
      </c>
      <c r="L17" s="257">
        <f t="shared" si="0"/>
        <v>0.68439750652363007</v>
      </c>
      <c r="M17" s="195">
        <v>37767792</v>
      </c>
      <c r="N17" s="257">
        <f t="shared" si="1"/>
        <v>0.68439750652363007</v>
      </c>
      <c r="O17" s="195">
        <v>3914675</v>
      </c>
      <c r="P17" s="257">
        <f t="shared" si="2"/>
        <v>7.0938587271672945E-2</v>
      </c>
      <c r="Q17" s="195">
        <v>0</v>
      </c>
      <c r="R17" s="260">
        <f t="shared" si="3"/>
        <v>-3914675</v>
      </c>
    </row>
    <row r="18" spans="1:18" x14ac:dyDescent="0.25">
      <c r="A18" s="194" t="s">
        <v>542</v>
      </c>
      <c r="B18" s="194" t="s">
        <v>121</v>
      </c>
      <c r="C18" s="194" t="s">
        <v>599</v>
      </c>
      <c r="D18" s="194" t="s">
        <v>541</v>
      </c>
      <c r="E18" s="195">
        <v>16294000</v>
      </c>
      <c r="F18" s="195">
        <v>16294000</v>
      </c>
      <c r="G18" s="195">
        <v>15138100</v>
      </c>
      <c r="H18" s="195">
        <v>0</v>
      </c>
      <c r="I18" s="195">
        <v>3987619</v>
      </c>
      <c r="J18" s="195">
        <v>0</v>
      </c>
      <c r="K18" s="195">
        <v>11150481</v>
      </c>
      <c r="L18" s="257">
        <f t="shared" si="0"/>
        <v>0.68433048975082855</v>
      </c>
      <c r="M18" s="195">
        <v>11150481</v>
      </c>
      <c r="N18" s="257">
        <f t="shared" si="1"/>
        <v>0.68433048975082855</v>
      </c>
      <c r="O18" s="195">
        <v>1155900</v>
      </c>
      <c r="P18" s="257">
        <f t="shared" si="2"/>
        <v>7.0940223395114771E-2</v>
      </c>
      <c r="Q18" s="195">
        <v>0</v>
      </c>
      <c r="R18" s="260">
        <f t="shared" si="3"/>
        <v>-1155900</v>
      </c>
    </row>
    <row r="19" spans="1:18" x14ac:dyDescent="0.25">
      <c r="A19" s="194" t="s">
        <v>542</v>
      </c>
      <c r="B19" s="194" t="s">
        <v>122</v>
      </c>
      <c r="C19" s="194" t="s">
        <v>600</v>
      </c>
      <c r="D19" s="194" t="s">
        <v>541</v>
      </c>
      <c r="E19" s="195">
        <v>32589000</v>
      </c>
      <c r="F19" s="195">
        <v>32589000</v>
      </c>
      <c r="G19" s="195">
        <v>30277190</v>
      </c>
      <c r="H19" s="195">
        <v>0</v>
      </c>
      <c r="I19" s="195">
        <v>7976226</v>
      </c>
      <c r="J19" s="195">
        <v>0</v>
      </c>
      <c r="K19" s="195">
        <v>22300964</v>
      </c>
      <c r="L19" s="257">
        <f t="shared" si="0"/>
        <v>0.68430955230292434</v>
      </c>
      <c r="M19" s="195">
        <v>22300964</v>
      </c>
      <c r="N19" s="257">
        <f t="shared" si="1"/>
        <v>0.68430955230292434</v>
      </c>
      <c r="O19" s="195">
        <v>2311810</v>
      </c>
      <c r="P19" s="257">
        <f t="shared" si="2"/>
        <v>7.0938353432139681E-2</v>
      </c>
      <c r="Q19" s="195">
        <v>0</v>
      </c>
      <c r="R19" s="260">
        <f t="shared" si="3"/>
        <v>-2311810</v>
      </c>
    </row>
    <row r="20" spans="1:18" x14ac:dyDescent="0.25">
      <c r="A20" s="194" t="s">
        <v>542</v>
      </c>
      <c r="B20" s="194" t="s">
        <v>123</v>
      </c>
      <c r="C20" s="194" t="s">
        <v>124</v>
      </c>
      <c r="D20" s="194" t="s">
        <v>541</v>
      </c>
      <c r="E20" s="195">
        <v>342741579</v>
      </c>
      <c r="F20" s="195">
        <v>342741579</v>
      </c>
      <c r="G20" s="195">
        <v>313093844</v>
      </c>
      <c r="H20" s="195">
        <v>1075000</v>
      </c>
      <c r="I20" s="195">
        <v>89614503.319999993</v>
      </c>
      <c r="J20" s="195">
        <v>0</v>
      </c>
      <c r="K20" s="195">
        <v>178821814.13999999</v>
      </c>
      <c r="L20" s="257">
        <f t="shared" si="0"/>
        <v>0.5217394827372257</v>
      </c>
      <c r="M20" s="195">
        <v>163038680.86000001</v>
      </c>
      <c r="N20" s="257">
        <f t="shared" si="1"/>
        <v>0.47568982244783325</v>
      </c>
      <c r="O20" s="195">
        <v>73230261.540000007</v>
      </c>
      <c r="P20" s="257">
        <f t="shared" si="2"/>
        <v>0.21366027942585863</v>
      </c>
      <c r="Q20" s="195">
        <v>43582526.539999999</v>
      </c>
      <c r="R20" s="260">
        <f t="shared" si="3"/>
        <v>-29647735</v>
      </c>
    </row>
    <row r="21" spans="1:18" x14ac:dyDescent="0.25">
      <c r="A21" s="194" t="s">
        <v>542</v>
      </c>
      <c r="B21" s="194" t="s">
        <v>125</v>
      </c>
      <c r="C21" s="194" t="s">
        <v>126</v>
      </c>
      <c r="D21" s="194" t="s">
        <v>541</v>
      </c>
      <c r="E21" s="195">
        <v>125845446</v>
      </c>
      <c r="F21" s="195">
        <v>125845446</v>
      </c>
      <c r="G21" s="195">
        <v>125845446</v>
      </c>
      <c r="H21" s="195">
        <v>0</v>
      </c>
      <c r="I21" s="195">
        <v>32256025.18</v>
      </c>
      <c r="J21" s="195">
        <v>0</v>
      </c>
      <c r="K21" s="195">
        <v>66953314.759999998</v>
      </c>
      <c r="L21" s="257">
        <f t="shared" si="0"/>
        <v>0.53202810978158077</v>
      </c>
      <c r="M21" s="195">
        <v>65264613</v>
      </c>
      <c r="N21" s="257">
        <f t="shared" si="1"/>
        <v>0.51860925503812028</v>
      </c>
      <c r="O21" s="195">
        <v>26636106.059999999</v>
      </c>
      <c r="P21" s="257">
        <f t="shared" si="2"/>
        <v>0.21165729000634634</v>
      </c>
      <c r="Q21" s="195">
        <v>26636106.059999999</v>
      </c>
      <c r="R21" s="260">
        <f t="shared" si="3"/>
        <v>0</v>
      </c>
    </row>
    <row r="22" spans="1:18" x14ac:dyDescent="0.25">
      <c r="A22" s="194" t="s">
        <v>542</v>
      </c>
      <c r="B22" s="194" t="s">
        <v>127</v>
      </c>
      <c r="C22" s="194" t="s">
        <v>128</v>
      </c>
      <c r="D22" s="194" t="s">
        <v>541</v>
      </c>
      <c r="E22" s="195">
        <v>125765446</v>
      </c>
      <c r="F22" s="195">
        <v>125765446</v>
      </c>
      <c r="G22" s="195">
        <v>125765446</v>
      </c>
      <c r="H22" s="195">
        <v>0</v>
      </c>
      <c r="I22" s="195">
        <v>32256025.18</v>
      </c>
      <c r="J22" s="195">
        <v>0</v>
      </c>
      <c r="K22" s="195">
        <v>66878564.759999998</v>
      </c>
      <c r="L22" s="257">
        <f t="shared" si="0"/>
        <v>0.53177217500584384</v>
      </c>
      <c r="M22" s="195">
        <v>65189863</v>
      </c>
      <c r="N22" s="257">
        <f t="shared" si="1"/>
        <v>0.51834478446488397</v>
      </c>
      <c r="O22" s="195">
        <v>26630856.059999999</v>
      </c>
      <c r="P22" s="257">
        <f t="shared" si="2"/>
        <v>0.21175018184247524</v>
      </c>
      <c r="Q22" s="195">
        <v>26630856.059999999</v>
      </c>
      <c r="R22" s="260">
        <f t="shared" si="3"/>
        <v>0</v>
      </c>
    </row>
    <row r="23" spans="1:18" x14ac:dyDescent="0.25">
      <c r="A23" s="194" t="s">
        <v>542</v>
      </c>
      <c r="B23" s="194" t="s">
        <v>129</v>
      </c>
      <c r="C23" s="194" t="s">
        <v>130</v>
      </c>
      <c r="D23" s="194" t="s">
        <v>541</v>
      </c>
      <c r="E23" s="195">
        <v>80000</v>
      </c>
      <c r="F23" s="195">
        <v>80000</v>
      </c>
      <c r="G23" s="195">
        <v>80000</v>
      </c>
      <c r="H23" s="195">
        <v>0</v>
      </c>
      <c r="I23" s="195">
        <v>0</v>
      </c>
      <c r="J23" s="195">
        <v>0</v>
      </c>
      <c r="K23" s="195">
        <v>74750</v>
      </c>
      <c r="L23" s="257">
        <f t="shared" si="0"/>
        <v>0.93437499999999996</v>
      </c>
      <c r="M23" s="195">
        <v>74750</v>
      </c>
      <c r="N23" s="257">
        <f t="shared" si="1"/>
        <v>0.93437499999999996</v>
      </c>
      <c r="O23" s="195">
        <v>5250</v>
      </c>
      <c r="P23" s="257">
        <f t="shared" si="2"/>
        <v>6.5625000000000003E-2</v>
      </c>
      <c r="Q23" s="195">
        <v>5250</v>
      </c>
      <c r="R23" s="260">
        <f t="shared" si="3"/>
        <v>0</v>
      </c>
    </row>
    <row r="24" spans="1:18" x14ac:dyDescent="0.25">
      <c r="A24" s="194" t="s">
        <v>542</v>
      </c>
      <c r="B24" s="194" t="s">
        <v>131</v>
      </c>
      <c r="C24" s="194" t="s">
        <v>132</v>
      </c>
      <c r="D24" s="194" t="s">
        <v>541</v>
      </c>
      <c r="E24" s="195">
        <v>131428353</v>
      </c>
      <c r="F24" s="195">
        <v>131428353</v>
      </c>
      <c r="G24" s="195">
        <v>109241753</v>
      </c>
      <c r="H24" s="195">
        <v>0</v>
      </c>
      <c r="I24" s="195">
        <v>34023408.719999999</v>
      </c>
      <c r="J24" s="195">
        <v>0</v>
      </c>
      <c r="K24" s="195">
        <v>75137817.079999998</v>
      </c>
      <c r="L24" s="257">
        <f t="shared" si="0"/>
        <v>0.57170173227385723</v>
      </c>
      <c r="M24" s="195">
        <v>72110252.560000002</v>
      </c>
      <c r="N24" s="257">
        <f t="shared" si="1"/>
        <v>0.54866587698926728</v>
      </c>
      <c r="O24" s="195">
        <v>22267127.199999999</v>
      </c>
      <c r="P24" s="257">
        <f t="shared" si="2"/>
        <v>0.16942407548849067</v>
      </c>
      <c r="Q24" s="195">
        <v>80527.199999999997</v>
      </c>
      <c r="R24" s="260">
        <f t="shared" si="3"/>
        <v>-22186600</v>
      </c>
    </row>
    <row r="25" spans="1:18" x14ac:dyDescent="0.25">
      <c r="A25" s="194" t="s">
        <v>542</v>
      </c>
      <c r="B25" s="194" t="s">
        <v>133</v>
      </c>
      <c r="C25" s="194" t="s">
        <v>134</v>
      </c>
      <c r="D25" s="194" t="s">
        <v>541</v>
      </c>
      <c r="E25" s="195">
        <v>4971429</v>
      </c>
      <c r="F25" s="195">
        <v>8971429</v>
      </c>
      <c r="G25" s="195">
        <v>8971429</v>
      </c>
      <c r="H25" s="195">
        <v>0</v>
      </c>
      <c r="I25" s="195">
        <v>4672718</v>
      </c>
      <c r="J25" s="195">
        <v>0</v>
      </c>
      <c r="K25" s="195">
        <v>4298711</v>
      </c>
      <c r="L25" s="257">
        <f t="shared" si="0"/>
        <v>0.47915566182377411</v>
      </c>
      <c r="M25" s="195">
        <v>4298711</v>
      </c>
      <c r="N25" s="257">
        <f t="shared" si="1"/>
        <v>0.47915566182377411</v>
      </c>
      <c r="O25" s="195">
        <v>0</v>
      </c>
      <c r="P25" s="257">
        <f t="shared" si="2"/>
        <v>0</v>
      </c>
      <c r="Q25" s="195">
        <v>0</v>
      </c>
      <c r="R25" s="260">
        <f t="shared" si="3"/>
        <v>0</v>
      </c>
    </row>
    <row r="26" spans="1:18" x14ac:dyDescent="0.25">
      <c r="A26" s="194" t="s">
        <v>542</v>
      </c>
      <c r="B26" s="194" t="s">
        <v>135</v>
      </c>
      <c r="C26" s="194" t="s">
        <v>136</v>
      </c>
      <c r="D26" s="194" t="s">
        <v>541</v>
      </c>
      <c r="E26" s="195">
        <v>56000000</v>
      </c>
      <c r="F26" s="195">
        <v>56000000</v>
      </c>
      <c r="G26" s="195">
        <v>56000000</v>
      </c>
      <c r="H26" s="195">
        <v>0</v>
      </c>
      <c r="I26" s="195">
        <v>15989315</v>
      </c>
      <c r="J26" s="195">
        <v>0</v>
      </c>
      <c r="K26" s="195">
        <v>40010685</v>
      </c>
      <c r="L26" s="257">
        <f t="shared" si="0"/>
        <v>0.71447651785714283</v>
      </c>
      <c r="M26" s="195">
        <v>40010685</v>
      </c>
      <c r="N26" s="257">
        <f t="shared" si="1"/>
        <v>0.71447651785714283</v>
      </c>
      <c r="O26" s="195">
        <v>0</v>
      </c>
      <c r="P26" s="257">
        <f t="shared" si="2"/>
        <v>0</v>
      </c>
      <c r="Q26" s="195">
        <v>0</v>
      </c>
      <c r="R26" s="260">
        <f t="shared" si="3"/>
        <v>0</v>
      </c>
    </row>
    <row r="27" spans="1:18" x14ac:dyDescent="0.25">
      <c r="A27" s="194" t="s">
        <v>542</v>
      </c>
      <c r="B27" s="194" t="s">
        <v>137</v>
      </c>
      <c r="C27" s="194" t="s">
        <v>138</v>
      </c>
      <c r="D27" s="194" t="s">
        <v>541</v>
      </c>
      <c r="E27" s="195">
        <v>20000</v>
      </c>
      <c r="F27" s="195">
        <v>20000</v>
      </c>
      <c r="G27" s="195">
        <v>20000</v>
      </c>
      <c r="H27" s="195">
        <v>0</v>
      </c>
      <c r="I27" s="195">
        <v>0</v>
      </c>
      <c r="J27" s="195">
        <v>0</v>
      </c>
      <c r="K27" s="195">
        <v>16400</v>
      </c>
      <c r="L27" s="257">
        <f t="shared" si="0"/>
        <v>0.82</v>
      </c>
      <c r="M27" s="195">
        <v>16400</v>
      </c>
      <c r="N27" s="257">
        <f t="shared" si="1"/>
        <v>0.82</v>
      </c>
      <c r="O27" s="195">
        <v>3600</v>
      </c>
      <c r="P27" s="257">
        <f t="shared" si="2"/>
        <v>0.18</v>
      </c>
      <c r="Q27" s="195">
        <v>3600</v>
      </c>
      <c r="R27" s="260">
        <f t="shared" si="3"/>
        <v>0</v>
      </c>
    </row>
    <row r="28" spans="1:18" x14ac:dyDescent="0.25">
      <c r="A28" s="194" t="s">
        <v>542</v>
      </c>
      <c r="B28" s="194" t="s">
        <v>139</v>
      </c>
      <c r="C28" s="194" t="s">
        <v>140</v>
      </c>
      <c r="D28" s="194" t="s">
        <v>541</v>
      </c>
      <c r="E28" s="195">
        <v>70076924</v>
      </c>
      <c r="F28" s="195">
        <v>66076924</v>
      </c>
      <c r="G28" s="195">
        <v>44076924</v>
      </c>
      <c r="H28" s="195">
        <v>0</v>
      </c>
      <c r="I28" s="195">
        <v>13243575.720000001</v>
      </c>
      <c r="J28" s="195">
        <v>0</v>
      </c>
      <c r="K28" s="195">
        <v>30756421.079999998</v>
      </c>
      <c r="L28" s="257">
        <f t="shared" si="0"/>
        <v>0.46546387480143597</v>
      </c>
      <c r="M28" s="195">
        <v>27756656.559999999</v>
      </c>
      <c r="N28" s="257">
        <f t="shared" si="1"/>
        <v>0.42006580935880122</v>
      </c>
      <c r="O28" s="195">
        <v>22076927.199999999</v>
      </c>
      <c r="P28" s="257">
        <f t="shared" si="2"/>
        <v>0.33410948729998385</v>
      </c>
      <c r="Q28" s="195">
        <v>76927.199999999997</v>
      </c>
      <c r="R28" s="260">
        <f t="shared" si="3"/>
        <v>-22000000</v>
      </c>
    </row>
    <row r="29" spans="1:18" x14ac:dyDescent="0.25">
      <c r="A29" s="194" t="s">
        <v>542</v>
      </c>
      <c r="B29" s="194" t="s">
        <v>141</v>
      </c>
      <c r="C29" s="194" t="s">
        <v>142</v>
      </c>
      <c r="D29" s="194" t="s">
        <v>541</v>
      </c>
      <c r="E29" s="195">
        <v>360000</v>
      </c>
      <c r="F29" s="195">
        <v>360000</v>
      </c>
      <c r="G29" s="195">
        <v>173400</v>
      </c>
      <c r="H29" s="195">
        <v>0</v>
      </c>
      <c r="I29" s="195">
        <v>117800</v>
      </c>
      <c r="J29" s="195">
        <v>0</v>
      </c>
      <c r="K29" s="195">
        <v>55600</v>
      </c>
      <c r="L29" s="257">
        <f t="shared" si="0"/>
        <v>0.15444444444444444</v>
      </c>
      <c r="M29" s="195">
        <v>27800</v>
      </c>
      <c r="N29" s="257">
        <f t="shared" si="1"/>
        <v>7.722222222222222E-2</v>
      </c>
      <c r="O29" s="195">
        <v>186600</v>
      </c>
      <c r="P29" s="257">
        <f t="shared" si="2"/>
        <v>0.51833333333333331</v>
      </c>
      <c r="Q29" s="195">
        <v>0</v>
      </c>
      <c r="R29" s="260">
        <f t="shared" si="3"/>
        <v>-186600</v>
      </c>
    </row>
    <row r="30" spans="1:18" x14ac:dyDescent="0.25">
      <c r="A30" s="194" t="s">
        <v>542</v>
      </c>
      <c r="B30" s="194" t="s">
        <v>143</v>
      </c>
      <c r="C30" s="194" t="s">
        <v>144</v>
      </c>
      <c r="D30" s="194" t="s">
        <v>541</v>
      </c>
      <c r="E30" s="195">
        <v>8700000</v>
      </c>
      <c r="F30" s="195">
        <v>9250000</v>
      </c>
      <c r="G30" s="195">
        <v>9200000</v>
      </c>
      <c r="H30" s="195">
        <v>1075000</v>
      </c>
      <c r="I30" s="195">
        <v>130719.26</v>
      </c>
      <c r="J30" s="195">
        <v>0</v>
      </c>
      <c r="K30" s="195">
        <v>7051610</v>
      </c>
      <c r="L30" s="257">
        <f t="shared" si="0"/>
        <v>0.76233621621621617</v>
      </c>
      <c r="M30" s="195">
        <v>6169960</v>
      </c>
      <c r="N30" s="257">
        <f t="shared" si="1"/>
        <v>0.6670227027027027</v>
      </c>
      <c r="O30" s="195">
        <v>992670.74</v>
      </c>
      <c r="P30" s="257">
        <f t="shared" si="2"/>
        <v>0.10731575567567568</v>
      </c>
      <c r="Q30" s="195">
        <v>942670.74</v>
      </c>
      <c r="R30" s="260">
        <f t="shared" si="3"/>
        <v>-50000</v>
      </c>
    </row>
    <row r="31" spans="1:18" x14ac:dyDescent="0.25">
      <c r="A31" s="194" t="s">
        <v>542</v>
      </c>
      <c r="B31" s="194" t="s">
        <v>145</v>
      </c>
      <c r="C31" s="194" t="s">
        <v>146</v>
      </c>
      <c r="D31" s="194" t="s">
        <v>541</v>
      </c>
      <c r="E31" s="195">
        <v>7000000</v>
      </c>
      <c r="F31" s="195">
        <v>7000000</v>
      </c>
      <c r="G31" s="195">
        <v>7000000</v>
      </c>
      <c r="H31" s="195">
        <v>0</v>
      </c>
      <c r="I31" s="195">
        <v>130719.26</v>
      </c>
      <c r="J31" s="195">
        <v>0</v>
      </c>
      <c r="K31" s="195">
        <v>6676610</v>
      </c>
      <c r="L31" s="257">
        <f t="shared" si="0"/>
        <v>0.95380142857142858</v>
      </c>
      <c r="M31" s="195">
        <v>5794960</v>
      </c>
      <c r="N31" s="257">
        <f t="shared" si="1"/>
        <v>0.82785142857142857</v>
      </c>
      <c r="O31" s="195">
        <v>192670.74</v>
      </c>
      <c r="P31" s="257">
        <f t="shared" si="2"/>
        <v>2.7524391428571427E-2</v>
      </c>
      <c r="Q31" s="195">
        <v>192670.74</v>
      </c>
      <c r="R31" s="260">
        <f t="shared" si="3"/>
        <v>0</v>
      </c>
    </row>
    <row r="32" spans="1:18" x14ac:dyDescent="0.25">
      <c r="A32" s="194" t="s">
        <v>542</v>
      </c>
      <c r="B32" s="194" t="s">
        <v>147</v>
      </c>
      <c r="C32" s="194" t="s">
        <v>148</v>
      </c>
      <c r="D32" s="194" t="s">
        <v>541</v>
      </c>
      <c r="E32" s="195">
        <v>1650000</v>
      </c>
      <c r="F32" s="195">
        <v>1650000</v>
      </c>
      <c r="G32" s="195">
        <v>1650000</v>
      </c>
      <c r="H32" s="195">
        <v>1075000</v>
      </c>
      <c r="I32" s="195">
        <v>0</v>
      </c>
      <c r="J32" s="195">
        <v>0</v>
      </c>
      <c r="K32" s="195">
        <v>375000</v>
      </c>
      <c r="L32" s="257">
        <f t="shared" si="0"/>
        <v>0.22727272727272727</v>
      </c>
      <c r="M32" s="195">
        <v>375000</v>
      </c>
      <c r="N32" s="257">
        <f t="shared" si="1"/>
        <v>0.22727272727272727</v>
      </c>
      <c r="O32" s="195">
        <v>200000</v>
      </c>
      <c r="P32" s="257">
        <f t="shared" si="2"/>
        <v>0.12121212121212122</v>
      </c>
      <c r="Q32" s="195">
        <v>200000</v>
      </c>
      <c r="R32" s="260">
        <f t="shared" si="3"/>
        <v>0</v>
      </c>
    </row>
    <row r="33" spans="1:18" x14ac:dyDescent="0.25">
      <c r="A33" s="194" t="s">
        <v>542</v>
      </c>
      <c r="B33" s="194" t="s">
        <v>149</v>
      </c>
      <c r="C33" s="194" t="s">
        <v>150</v>
      </c>
      <c r="D33" s="194" t="s">
        <v>541</v>
      </c>
      <c r="E33" s="195">
        <v>50000</v>
      </c>
      <c r="F33" s="195">
        <v>50000</v>
      </c>
      <c r="G33" s="195">
        <v>0</v>
      </c>
      <c r="H33" s="195">
        <v>0</v>
      </c>
      <c r="I33" s="195">
        <v>0</v>
      </c>
      <c r="J33" s="195">
        <v>0</v>
      </c>
      <c r="K33" s="195">
        <v>0</v>
      </c>
      <c r="L33" s="257">
        <f t="shared" si="0"/>
        <v>0</v>
      </c>
      <c r="M33" s="195">
        <v>0</v>
      </c>
      <c r="N33" s="257">
        <f t="shared" si="1"/>
        <v>0</v>
      </c>
      <c r="O33" s="195">
        <v>50000</v>
      </c>
      <c r="P33" s="257">
        <f t="shared" si="2"/>
        <v>1</v>
      </c>
      <c r="Q33" s="195">
        <v>0</v>
      </c>
      <c r="R33" s="260">
        <f t="shared" si="3"/>
        <v>-50000</v>
      </c>
    </row>
    <row r="34" spans="1:18" x14ac:dyDescent="0.25">
      <c r="A34" s="194" t="s">
        <v>542</v>
      </c>
      <c r="B34" s="194" t="s">
        <v>326</v>
      </c>
      <c r="C34" s="194" t="s">
        <v>327</v>
      </c>
      <c r="D34" s="194" t="s">
        <v>541</v>
      </c>
      <c r="E34" s="195">
        <v>0</v>
      </c>
      <c r="F34" s="195">
        <v>550000</v>
      </c>
      <c r="G34" s="195">
        <v>550000</v>
      </c>
      <c r="H34" s="195">
        <v>0</v>
      </c>
      <c r="I34" s="195">
        <v>0</v>
      </c>
      <c r="J34" s="195">
        <v>0</v>
      </c>
      <c r="K34" s="195">
        <v>0</v>
      </c>
      <c r="L34" s="257">
        <f t="shared" si="0"/>
        <v>0</v>
      </c>
      <c r="M34" s="195">
        <v>0</v>
      </c>
      <c r="N34" s="257">
        <f t="shared" si="1"/>
        <v>0</v>
      </c>
      <c r="O34" s="195">
        <v>550000</v>
      </c>
      <c r="P34" s="257">
        <f t="shared" si="2"/>
        <v>1</v>
      </c>
      <c r="Q34" s="195">
        <v>550000</v>
      </c>
      <c r="R34" s="260">
        <f t="shared" si="3"/>
        <v>0</v>
      </c>
    </row>
    <row r="35" spans="1:18" x14ac:dyDescent="0.25">
      <c r="A35" s="194" t="s">
        <v>542</v>
      </c>
      <c r="B35" s="194" t="s">
        <v>151</v>
      </c>
      <c r="C35" s="194" t="s">
        <v>152</v>
      </c>
      <c r="D35" s="194" t="s">
        <v>541</v>
      </c>
      <c r="E35" s="195">
        <v>5851429</v>
      </c>
      <c r="F35" s="195">
        <v>5851429</v>
      </c>
      <c r="G35" s="195">
        <v>1771429</v>
      </c>
      <c r="H35" s="195">
        <v>0</v>
      </c>
      <c r="I35" s="195">
        <v>330173</v>
      </c>
      <c r="J35" s="195">
        <v>0</v>
      </c>
      <c r="K35" s="195">
        <v>971912</v>
      </c>
      <c r="L35" s="257">
        <f t="shared" si="0"/>
        <v>0.16609823002210231</v>
      </c>
      <c r="M35" s="195">
        <v>971912</v>
      </c>
      <c r="N35" s="257">
        <f t="shared" si="1"/>
        <v>0.16609823002210231</v>
      </c>
      <c r="O35" s="195">
        <v>4549344</v>
      </c>
      <c r="P35" s="257">
        <f t="shared" si="2"/>
        <v>0.77747572430597722</v>
      </c>
      <c r="Q35" s="195">
        <v>469344</v>
      </c>
      <c r="R35" s="260">
        <f t="shared" si="3"/>
        <v>-4080000</v>
      </c>
    </row>
    <row r="36" spans="1:18" x14ac:dyDescent="0.25">
      <c r="A36" s="194" t="s">
        <v>542</v>
      </c>
      <c r="B36" s="194" t="s">
        <v>154</v>
      </c>
      <c r="C36" s="194" t="s">
        <v>155</v>
      </c>
      <c r="D36" s="194" t="s">
        <v>541</v>
      </c>
      <c r="E36" s="195">
        <v>3080000</v>
      </c>
      <c r="F36" s="195">
        <v>3080000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257">
        <f t="shared" si="0"/>
        <v>0</v>
      </c>
      <c r="M36" s="195">
        <v>0</v>
      </c>
      <c r="N36" s="257">
        <f t="shared" si="1"/>
        <v>0</v>
      </c>
      <c r="O36" s="195">
        <v>3080000</v>
      </c>
      <c r="P36" s="257">
        <f t="shared" si="2"/>
        <v>1</v>
      </c>
      <c r="Q36" s="195">
        <v>0</v>
      </c>
      <c r="R36" s="260">
        <f t="shared" si="3"/>
        <v>-3080000</v>
      </c>
    </row>
    <row r="37" spans="1:18" x14ac:dyDescent="0.25">
      <c r="A37" s="194" t="s">
        <v>542</v>
      </c>
      <c r="B37" s="194" t="s">
        <v>156</v>
      </c>
      <c r="C37" s="194" t="s">
        <v>157</v>
      </c>
      <c r="D37" s="194" t="s">
        <v>541</v>
      </c>
      <c r="E37" s="195">
        <v>2771429</v>
      </c>
      <c r="F37" s="195">
        <v>2771429</v>
      </c>
      <c r="G37" s="195">
        <v>1771429</v>
      </c>
      <c r="H37" s="195">
        <v>0</v>
      </c>
      <c r="I37" s="195">
        <v>330173</v>
      </c>
      <c r="J37" s="195">
        <v>0</v>
      </c>
      <c r="K37" s="195">
        <v>971912</v>
      </c>
      <c r="L37" s="257">
        <f t="shared" si="0"/>
        <v>0.35068984267682846</v>
      </c>
      <c r="M37" s="195">
        <v>971912</v>
      </c>
      <c r="N37" s="257">
        <f t="shared" si="1"/>
        <v>0.35068984267682846</v>
      </c>
      <c r="O37" s="195">
        <v>1469344</v>
      </c>
      <c r="P37" s="257">
        <f t="shared" si="2"/>
        <v>0.53017558811717713</v>
      </c>
      <c r="Q37" s="195">
        <v>469344</v>
      </c>
      <c r="R37" s="260">
        <f t="shared" si="3"/>
        <v>-1000000</v>
      </c>
    </row>
    <row r="38" spans="1:18" x14ac:dyDescent="0.25">
      <c r="A38" s="194" t="s">
        <v>542</v>
      </c>
      <c r="B38" s="194" t="s">
        <v>158</v>
      </c>
      <c r="C38" s="194" t="s">
        <v>159</v>
      </c>
      <c r="D38" s="194" t="s">
        <v>541</v>
      </c>
      <c r="E38" s="195">
        <v>17774865</v>
      </c>
      <c r="F38" s="195">
        <v>17774865</v>
      </c>
      <c r="G38" s="195">
        <v>17774865</v>
      </c>
      <c r="H38" s="195">
        <v>0</v>
      </c>
      <c r="I38" s="195">
        <v>5023535.16</v>
      </c>
      <c r="J38" s="195">
        <v>0</v>
      </c>
      <c r="K38" s="195">
        <v>10230699.130000001</v>
      </c>
      <c r="L38" s="257">
        <f t="shared" si="0"/>
        <v>0.57557112979479741</v>
      </c>
      <c r="M38" s="195">
        <v>9535390.1300000008</v>
      </c>
      <c r="N38" s="257">
        <f t="shared" si="1"/>
        <v>0.53645358938028509</v>
      </c>
      <c r="O38" s="195">
        <v>2520630.71</v>
      </c>
      <c r="P38" s="257">
        <f t="shared" si="2"/>
        <v>0.14180871190864178</v>
      </c>
      <c r="Q38" s="195">
        <v>2520630.71</v>
      </c>
      <c r="R38" s="260">
        <f t="shared" si="3"/>
        <v>0</v>
      </c>
    </row>
    <row r="39" spans="1:18" x14ac:dyDescent="0.25">
      <c r="A39" s="194" t="s">
        <v>542</v>
      </c>
      <c r="B39" s="194" t="s">
        <v>160</v>
      </c>
      <c r="C39" s="194" t="s">
        <v>161</v>
      </c>
      <c r="D39" s="194" t="s">
        <v>541</v>
      </c>
      <c r="E39" s="195">
        <v>100000</v>
      </c>
      <c r="F39" s="195">
        <v>100000</v>
      </c>
      <c r="G39" s="195">
        <v>100000</v>
      </c>
      <c r="H39" s="195">
        <v>0</v>
      </c>
      <c r="I39" s="195">
        <v>0</v>
      </c>
      <c r="J39" s="195">
        <v>0</v>
      </c>
      <c r="K39" s="195">
        <v>0</v>
      </c>
      <c r="L39" s="257">
        <f t="shared" si="0"/>
        <v>0</v>
      </c>
      <c r="M39" s="195">
        <v>0</v>
      </c>
      <c r="N39" s="257">
        <f t="shared" si="1"/>
        <v>0</v>
      </c>
      <c r="O39" s="195">
        <v>100000</v>
      </c>
      <c r="P39" s="257">
        <f t="shared" si="2"/>
        <v>1</v>
      </c>
      <c r="Q39" s="195">
        <v>100000</v>
      </c>
      <c r="R39" s="260">
        <f t="shared" si="3"/>
        <v>0</v>
      </c>
    </row>
    <row r="40" spans="1:18" x14ac:dyDescent="0.25">
      <c r="A40" s="194" t="s">
        <v>542</v>
      </c>
      <c r="B40" s="194" t="s">
        <v>162</v>
      </c>
      <c r="C40" s="194" t="s">
        <v>163</v>
      </c>
      <c r="D40" s="194" t="s">
        <v>541</v>
      </c>
      <c r="E40" s="195">
        <v>6685715</v>
      </c>
      <c r="F40" s="195">
        <v>6685715</v>
      </c>
      <c r="G40" s="195">
        <v>6685715</v>
      </c>
      <c r="H40" s="195">
        <v>0</v>
      </c>
      <c r="I40" s="195">
        <v>795215</v>
      </c>
      <c r="J40" s="195">
        <v>0</v>
      </c>
      <c r="K40" s="195">
        <v>5890500</v>
      </c>
      <c r="L40" s="257">
        <f t="shared" si="0"/>
        <v>0.88105759817760698</v>
      </c>
      <c r="M40" s="195">
        <v>5864500</v>
      </c>
      <c r="N40" s="257">
        <f t="shared" si="1"/>
        <v>0.87716870970419769</v>
      </c>
      <c r="O40" s="195">
        <v>0</v>
      </c>
      <c r="P40" s="257">
        <f t="shared" si="2"/>
        <v>0</v>
      </c>
      <c r="Q40" s="195">
        <v>0</v>
      </c>
      <c r="R40" s="260">
        <f t="shared" si="3"/>
        <v>0</v>
      </c>
    </row>
    <row r="41" spans="1:18" x14ac:dyDescent="0.25">
      <c r="A41" s="194" t="s">
        <v>542</v>
      </c>
      <c r="B41" s="194" t="s">
        <v>164</v>
      </c>
      <c r="C41" s="194" t="s">
        <v>165</v>
      </c>
      <c r="D41" s="194" t="s">
        <v>541</v>
      </c>
      <c r="E41" s="195">
        <v>5170968</v>
      </c>
      <c r="F41" s="195">
        <v>5170968</v>
      </c>
      <c r="G41" s="195">
        <v>5170968</v>
      </c>
      <c r="H41" s="195">
        <v>0</v>
      </c>
      <c r="I41" s="195">
        <v>60320.160000000003</v>
      </c>
      <c r="J41" s="195">
        <v>0</v>
      </c>
      <c r="K41" s="195">
        <v>2690945.72</v>
      </c>
      <c r="L41" s="257">
        <f t="shared" si="0"/>
        <v>0.52039496666774965</v>
      </c>
      <c r="M41" s="195">
        <v>2021636.72</v>
      </c>
      <c r="N41" s="257">
        <f t="shared" si="1"/>
        <v>0.39095904673941129</v>
      </c>
      <c r="O41" s="195">
        <v>2419702.12</v>
      </c>
      <c r="P41" s="257">
        <f t="shared" si="2"/>
        <v>0.46793987508721774</v>
      </c>
      <c r="Q41" s="195">
        <v>2419702.12</v>
      </c>
      <c r="R41" s="260">
        <f t="shared" si="3"/>
        <v>0</v>
      </c>
    </row>
    <row r="42" spans="1:18" x14ac:dyDescent="0.25">
      <c r="A42" s="194" t="s">
        <v>542</v>
      </c>
      <c r="B42" s="194" t="s">
        <v>166</v>
      </c>
      <c r="C42" s="194" t="s">
        <v>167</v>
      </c>
      <c r="D42" s="194" t="s">
        <v>541</v>
      </c>
      <c r="E42" s="195">
        <v>5818182</v>
      </c>
      <c r="F42" s="195">
        <v>5818182</v>
      </c>
      <c r="G42" s="195">
        <v>5818182</v>
      </c>
      <c r="H42" s="195">
        <v>0</v>
      </c>
      <c r="I42" s="195">
        <v>4168000</v>
      </c>
      <c r="J42" s="195">
        <v>0</v>
      </c>
      <c r="K42" s="195">
        <v>1649253.41</v>
      </c>
      <c r="L42" s="257">
        <f t="shared" si="0"/>
        <v>0.28346542098545557</v>
      </c>
      <c r="M42" s="195">
        <v>1649253.41</v>
      </c>
      <c r="N42" s="257">
        <f t="shared" si="1"/>
        <v>0.28346542098545557</v>
      </c>
      <c r="O42" s="195">
        <v>928.59</v>
      </c>
      <c r="P42" s="257">
        <f t="shared" si="2"/>
        <v>1.5960140126245622E-4</v>
      </c>
      <c r="Q42" s="195">
        <v>928.59</v>
      </c>
      <c r="R42" s="260">
        <f t="shared" si="3"/>
        <v>0</v>
      </c>
    </row>
    <row r="43" spans="1:18" x14ac:dyDescent="0.25">
      <c r="A43" s="194" t="s">
        <v>542</v>
      </c>
      <c r="B43" s="194" t="s">
        <v>168</v>
      </c>
      <c r="C43" s="194" t="s">
        <v>169</v>
      </c>
      <c r="D43" s="194" t="s">
        <v>541</v>
      </c>
      <c r="E43" s="195">
        <v>32290000</v>
      </c>
      <c r="F43" s="195">
        <v>32290000</v>
      </c>
      <c r="G43" s="195">
        <v>32290000</v>
      </c>
      <c r="H43" s="195">
        <v>0</v>
      </c>
      <c r="I43" s="195">
        <v>8490937</v>
      </c>
      <c r="J43" s="195">
        <v>0</v>
      </c>
      <c r="K43" s="195">
        <v>13639088</v>
      </c>
      <c r="L43" s="257">
        <f t="shared" si="0"/>
        <v>0.42239355837720655</v>
      </c>
      <c r="M43" s="195">
        <v>6107846</v>
      </c>
      <c r="N43" s="257">
        <f t="shared" si="1"/>
        <v>0.18915596159801795</v>
      </c>
      <c r="O43" s="195">
        <v>10159975</v>
      </c>
      <c r="P43" s="257">
        <f t="shared" si="2"/>
        <v>0.31464772375348404</v>
      </c>
      <c r="Q43" s="195">
        <v>10159975</v>
      </c>
      <c r="R43" s="260">
        <f t="shared" si="3"/>
        <v>0</v>
      </c>
    </row>
    <row r="44" spans="1:18" x14ac:dyDescent="0.25">
      <c r="A44" s="194" t="s">
        <v>542</v>
      </c>
      <c r="B44" s="194" t="s">
        <v>170</v>
      </c>
      <c r="C44" s="194" t="s">
        <v>171</v>
      </c>
      <c r="D44" s="194" t="s">
        <v>541</v>
      </c>
      <c r="E44" s="195">
        <v>32290000</v>
      </c>
      <c r="F44" s="195">
        <v>32290000</v>
      </c>
      <c r="G44" s="195">
        <v>32290000</v>
      </c>
      <c r="H44" s="195">
        <v>0</v>
      </c>
      <c r="I44" s="195">
        <v>8490937</v>
      </c>
      <c r="J44" s="195">
        <v>0</v>
      </c>
      <c r="K44" s="195">
        <v>13639088</v>
      </c>
      <c r="L44" s="257">
        <f t="shared" si="0"/>
        <v>0.42239355837720655</v>
      </c>
      <c r="M44" s="195">
        <v>6107846</v>
      </c>
      <c r="N44" s="257">
        <f t="shared" si="1"/>
        <v>0.18915596159801795</v>
      </c>
      <c r="O44" s="195">
        <v>10159975</v>
      </c>
      <c r="P44" s="257">
        <f t="shared" si="2"/>
        <v>0.31464772375348404</v>
      </c>
      <c r="Q44" s="195">
        <v>10159975</v>
      </c>
      <c r="R44" s="260">
        <f t="shared" si="3"/>
        <v>0</v>
      </c>
    </row>
    <row r="45" spans="1:18" x14ac:dyDescent="0.25">
      <c r="A45" s="252" t="s">
        <v>542</v>
      </c>
      <c r="B45" s="252" t="s">
        <v>172</v>
      </c>
      <c r="C45" s="252" t="s">
        <v>173</v>
      </c>
      <c r="D45" s="252" t="s">
        <v>541</v>
      </c>
      <c r="E45" s="253">
        <v>2150000</v>
      </c>
      <c r="F45" s="253">
        <v>1031135</v>
      </c>
      <c r="G45" s="253">
        <v>0</v>
      </c>
      <c r="H45" s="253">
        <v>0</v>
      </c>
      <c r="I45" s="253">
        <v>0</v>
      </c>
      <c r="J45" s="253">
        <v>0</v>
      </c>
      <c r="K45" s="253">
        <v>0</v>
      </c>
      <c r="L45" s="258">
        <f t="shared" si="0"/>
        <v>0</v>
      </c>
      <c r="M45" s="253">
        <v>0</v>
      </c>
      <c r="N45" s="258">
        <f t="shared" si="1"/>
        <v>0</v>
      </c>
      <c r="O45" s="253">
        <v>1031135</v>
      </c>
      <c r="P45" s="258">
        <f t="shared" si="2"/>
        <v>1</v>
      </c>
      <c r="Q45" s="253">
        <v>0</v>
      </c>
      <c r="R45" s="260">
        <f t="shared" si="3"/>
        <v>-1031135</v>
      </c>
    </row>
    <row r="46" spans="1:18" x14ac:dyDescent="0.25">
      <c r="A46" s="194" t="s">
        <v>542</v>
      </c>
      <c r="B46" s="194" t="s">
        <v>309</v>
      </c>
      <c r="C46" s="194" t="s">
        <v>310</v>
      </c>
      <c r="D46" s="194" t="s">
        <v>541</v>
      </c>
      <c r="E46" s="195">
        <v>0</v>
      </c>
      <c r="F46" s="195">
        <v>0</v>
      </c>
      <c r="G46" s="195">
        <v>0</v>
      </c>
      <c r="H46" s="195">
        <v>0</v>
      </c>
      <c r="I46" s="195">
        <v>0</v>
      </c>
      <c r="J46" s="195">
        <v>0</v>
      </c>
      <c r="K46" s="195">
        <v>0</v>
      </c>
      <c r="L46" s="257" t="e">
        <f t="shared" si="0"/>
        <v>#DIV/0!</v>
      </c>
      <c r="M46" s="195">
        <v>0</v>
      </c>
      <c r="N46" s="257" t="e">
        <f t="shared" si="1"/>
        <v>#DIV/0!</v>
      </c>
      <c r="O46" s="195">
        <v>0</v>
      </c>
      <c r="P46" s="257" t="e">
        <f t="shared" si="2"/>
        <v>#DIV/0!</v>
      </c>
      <c r="Q46" s="195">
        <v>0</v>
      </c>
      <c r="R46" s="260">
        <f t="shared" si="3"/>
        <v>0</v>
      </c>
    </row>
    <row r="47" spans="1:18" x14ac:dyDescent="0.25">
      <c r="A47" s="194" t="s">
        <v>542</v>
      </c>
      <c r="B47" s="194" t="s">
        <v>174</v>
      </c>
      <c r="C47" s="194" t="s">
        <v>175</v>
      </c>
      <c r="D47" s="194" t="s">
        <v>541</v>
      </c>
      <c r="E47" s="195">
        <v>1550000</v>
      </c>
      <c r="F47" s="195">
        <v>431135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257">
        <f t="shared" si="0"/>
        <v>0</v>
      </c>
      <c r="M47" s="195">
        <v>0</v>
      </c>
      <c r="N47" s="257">
        <f t="shared" si="1"/>
        <v>0</v>
      </c>
      <c r="O47" s="195">
        <v>431135</v>
      </c>
      <c r="P47" s="257">
        <f t="shared" si="2"/>
        <v>1</v>
      </c>
      <c r="Q47" s="195">
        <v>0</v>
      </c>
      <c r="R47" s="260">
        <f t="shared" si="3"/>
        <v>-431135</v>
      </c>
    </row>
    <row r="48" spans="1:18" x14ac:dyDescent="0.25">
      <c r="A48" s="194" t="s">
        <v>542</v>
      </c>
      <c r="B48" s="194" t="s">
        <v>176</v>
      </c>
      <c r="C48" s="194" t="s">
        <v>177</v>
      </c>
      <c r="D48" s="194" t="s">
        <v>541</v>
      </c>
      <c r="E48" s="195">
        <v>600000</v>
      </c>
      <c r="F48" s="195">
        <v>600000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257">
        <f t="shared" si="0"/>
        <v>0</v>
      </c>
      <c r="M48" s="195">
        <v>0</v>
      </c>
      <c r="N48" s="257">
        <f t="shared" si="1"/>
        <v>0</v>
      </c>
      <c r="O48" s="195">
        <v>600000</v>
      </c>
      <c r="P48" s="257">
        <f t="shared" si="2"/>
        <v>1</v>
      </c>
      <c r="Q48" s="195">
        <v>0</v>
      </c>
      <c r="R48" s="260">
        <f t="shared" si="3"/>
        <v>-600000</v>
      </c>
    </row>
    <row r="49" spans="1:18" x14ac:dyDescent="0.25">
      <c r="A49" s="194" t="s">
        <v>542</v>
      </c>
      <c r="B49" s="194" t="s">
        <v>178</v>
      </c>
      <c r="C49" s="194" t="s">
        <v>179</v>
      </c>
      <c r="D49" s="194" t="s">
        <v>541</v>
      </c>
      <c r="E49" s="195">
        <v>17019667</v>
      </c>
      <c r="F49" s="195">
        <v>17019667</v>
      </c>
      <c r="G49" s="195">
        <v>14719667</v>
      </c>
      <c r="H49" s="195">
        <v>0</v>
      </c>
      <c r="I49" s="195">
        <v>8325375</v>
      </c>
      <c r="J49" s="195">
        <v>0</v>
      </c>
      <c r="K49" s="195">
        <v>4482902.17</v>
      </c>
      <c r="L49" s="257">
        <f t="shared" si="0"/>
        <v>0.26339541014521611</v>
      </c>
      <c r="M49" s="195">
        <v>2524236.17</v>
      </c>
      <c r="N49" s="257">
        <f t="shared" si="1"/>
        <v>0.14831290001149847</v>
      </c>
      <c r="O49" s="195">
        <v>4211389.83</v>
      </c>
      <c r="P49" s="257">
        <f t="shared" si="2"/>
        <v>0.24744255160808964</v>
      </c>
      <c r="Q49" s="195">
        <v>1911389.83</v>
      </c>
      <c r="R49" s="260">
        <f t="shared" si="3"/>
        <v>-2300000</v>
      </c>
    </row>
    <row r="50" spans="1:18" x14ac:dyDescent="0.25">
      <c r="A50" s="194" t="s">
        <v>542</v>
      </c>
      <c r="B50" s="194" t="s">
        <v>332</v>
      </c>
      <c r="C50" s="194" t="s">
        <v>333</v>
      </c>
      <c r="D50" s="194" t="s">
        <v>541</v>
      </c>
      <c r="E50" s="195">
        <v>300000</v>
      </c>
      <c r="F50" s="195">
        <v>300000</v>
      </c>
      <c r="G50" s="195">
        <v>0</v>
      </c>
      <c r="H50" s="195">
        <v>0</v>
      </c>
      <c r="I50" s="195">
        <v>0</v>
      </c>
      <c r="J50" s="195">
        <v>0</v>
      </c>
      <c r="K50" s="195">
        <v>0</v>
      </c>
      <c r="L50" s="257">
        <f t="shared" si="0"/>
        <v>0</v>
      </c>
      <c r="M50" s="195">
        <v>0</v>
      </c>
      <c r="N50" s="257">
        <f t="shared" si="1"/>
        <v>0</v>
      </c>
      <c r="O50" s="195">
        <v>300000</v>
      </c>
      <c r="P50" s="257">
        <f t="shared" si="2"/>
        <v>1</v>
      </c>
      <c r="Q50" s="195">
        <v>0</v>
      </c>
      <c r="R50" s="260">
        <f t="shared" si="3"/>
        <v>-300000</v>
      </c>
    </row>
    <row r="51" spans="1:18" x14ac:dyDescent="0.25">
      <c r="A51" s="194" t="s">
        <v>542</v>
      </c>
      <c r="B51" s="194" t="s">
        <v>182</v>
      </c>
      <c r="C51" s="194" t="s">
        <v>183</v>
      </c>
      <c r="D51" s="194" t="s">
        <v>541</v>
      </c>
      <c r="E51" s="195">
        <v>9066667</v>
      </c>
      <c r="F51" s="195">
        <v>9066667</v>
      </c>
      <c r="G51" s="195">
        <v>9066667</v>
      </c>
      <c r="H51" s="195">
        <v>0</v>
      </c>
      <c r="I51" s="195">
        <v>7316800</v>
      </c>
      <c r="J51" s="195">
        <v>0</v>
      </c>
      <c r="K51" s="195">
        <v>1729267</v>
      </c>
      <c r="L51" s="257">
        <f t="shared" si="0"/>
        <v>0.19072797092911872</v>
      </c>
      <c r="M51" s="195">
        <v>98201</v>
      </c>
      <c r="N51" s="257">
        <f t="shared" si="1"/>
        <v>1.0830992248860579E-2</v>
      </c>
      <c r="O51" s="195">
        <v>20600</v>
      </c>
      <c r="P51" s="257">
        <f t="shared" si="2"/>
        <v>2.2720587399978403E-3</v>
      </c>
      <c r="Q51" s="195">
        <v>20600</v>
      </c>
      <c r="R51" s="260">
        <f t="shared" si="3"/>
        <v>0</v>
      </c>
    </row>
    <row r="52" spans="1:18" x14ac:dyDescent="0.25">
      <c r="A52" s="194" t="s">
        <v>542</v>
      </c>
      <c r="B52" s="194" t="s">
        <v>186</v>
      </c>
      <c r="C52" s="194" t="s">
        <v>187</v>
      </c>
      <c r="D52" s="194" t="s">
        <v>541</v>
      </c>
      <c r="E52" s="195">
        <v>2900000</v>
      </c>
      <c r="F52" s="195">
        <v>2900000</v>
      </c>
      <c r="G52" s="195">
        <v>2900000</v>
      </c>
      <c r="H52" s="195">
        <v>0</v>
      </c>
      <c r="I52" s="195">
        <v>486000</v>
      </c>
      <c r="J52" s="195">
        <v>0</v>
      </c>
      <c r="K52" s="195">
        <v>1907000</v>
      </c>
      <c r="L52" s="257">
        <f t="shared" si="0"/>
        <v>0.65758620689655167</v>
      </c>
      <c r="M52" s="195">
        <v>1579400</v>
      </c>
      <c r="N52" s="257">
        <f t="shared" si="1"/>
        <v>0.54462068965517241</v>
      </c>
      <c r="O52" s="195">
        <v>507000</v>
      </c>
      <c r="P52" s="257">
        <f t="shared" si="2"/>
        <v>0.17482758620689656</v>
      </c>
      <c r="Q52" s="195">
        <v>507000</v>
      </c>
      <c r="R52" s="260">
        <f t="shared" si="3"/>
        <v>0</v>
      </c>
    </row>
    <row r="53" spans="1:18" x14ac:dyDescent="0.25">
      <c r="A53" s="194" t="s">
        <v>542</v>
      </c>
      <c r="B53" s="194" t="s">
        <v>188</v>
      </c>
      <c r="C53" s="194" t="s">
        <v>189</v>
      </c>
      <c r="D53" s="194" t="s">
        <v>541</v>
      </c>
      <c r="E53" s="195">
        <v>393000</v>
      </c>
      <c r="F53" s="195">
        <v>393000</v>
      </c>
      <c r="G53" s="195">
        <v>393000</v>
      </c>
      <c r="H53" s="195">
        <v>0</v>
      </c>
      <c r="I53" s="195">
        <v>322575</v>
      </c>
      <c r="J53" s="195">
        <v>0</v>
      </c>
      <c r="K53" s="195">
        <v>0</v>
      </c>
      <c r="L53" s="257">
        <f t="shared" si="0"/>
        <v>0</v>
      </c>
      <c r="M53" s="195">
        <v>0</v>
      </c>
      <c r="N53" s="257">
        <f t="shared" si="1"/>
        <v>0</v>
      </c>
      <c r="O53" s="195">
        <v>70425</v>
      </c>
      <c r="P53" s="257">
        <f t="shared" si="2"/>
        <v>0.17919847328244276</v>
      </c>
      <c r="Q53" s="195">
        <v>70425</v>
      </c>
      <c r="R53" s="260">
        <f t="shared" si="3"/>
        <v>0</v>
      </c>
    </row>
    <row r="54" spans="1:18" x14ac:dyDescent="0.25">
      <c r="A54" s="194" t="s">
        <v>542</v>
      </c>
      <c r="B54" s="194" t="s">
        <v>190</v>
      </c>
      <c r="C54" s="194" t="s">
        <v>191</v>
      </c>
      <c r="D54" s="194" t="s">
        <v>541</v>
      </c>
      <c r="E54" s="195">
        <v>4360000</v>
      </c>
      <c r="F54" s="195">
        <v>4360000</v>
      </c>
      <c r="G54" s="195">
        <v>2360000</v>
      </c>
      <c r="H54" s="195">
        <v>0</v>
      </c>
      <c r="I54" s="195">
        <v>200000</v>
      </c>
      <c r="J54" s="195">
        <v>0</v>
      </c>
      <c r="K54" s="195">
        <v>846635.17</v>
      </c>
      <c r="L54" s="257">
        <f t="shared" si="0"/>
        <v>0.19418237844036698</v>
      </c>
      <c r="M54" s="195">
        <v>846635.17</v>
      </c>
      <c r="N54" s="257">
        <f t="shared" si="1"/>
        <v>0.19418237844036698</v>
      </c>
      <c r="O54" s="195">
        <v>3313364.83</v>
      </c>
      <c r="P54" s="257">
        <f t="shared" si="2"/>
        <v>0.75994606192660552</v>
      </c>
      <c r="Q54" s="195">
        <v>1313364.83</v>
      </c>
      <c r="R54" s="260">
        <f t="shared" si="3"/>
        <v>-2000000</v>
      </c>
    </row>
    <row r="55" spans="1:18" x14ac:dyDescent="0.25">
      <c r="A55" s="194" t="s">
        <v>542</v>
      </c>
      <c r="B55" s="194" t="s">
        <v>192</v>
      </c>
      <c r="C55" s="194" t="s">
        <v>193</v>
      </c>
      <c r="D55" s="194" t="s">
        <v>541</v>
      </c>
      <c r="E55" s="195">
        <v>681819</v>
      </c>
      <c r="F55" s="195">
        <v>1250684</v>
      </c>
      <c r="G55" s="195">
        <v>1250684</v>
      </c>
      <c r="H55" s="195">
        <v>0</v>
      </c>
      <c r="I55" s="195">
        <v>34330</v>
      </c>
      <c r="J55" s="195">
        <v>0</v>
      </c>
      <c r="K55" s="195">
        <v>354471</v>
      </c>
      <c r="L55" s="257">
        <f t="shared" si="0"/>
        <v>0.28342171163939095</v>
      </c>
      <c r="M55" s="195">
        <v>354471</v>
      </c>
      <c r="N55" s="257">
        <f t="shared" si="1"/>
        <v>0.28342171163939095</v>
      </c>
      <c r="O55" s="195">
        <v>861883</v>
      </c>
      <c r="P55" s="257">
        <f t="shared" si="2"/>
        <v>0.68912930844242026</v>
      </c>
      <c r="Q55" s="195">
        <v>861883</v>
      </c>
      <c r="R55" s="260">
        <f t="shared" si="3"/>
        <v>0</v>
      </c>
    </row>
    <row r="56" spans="1:18" x14ac:dyDescent="0.25">
      <c r="A56" s="194" t="s">
        <v>542</v>
      </c>
      <c r="B56" s="194" t="s">
        <v>194</v>
      </c>
      <c r="C56" s="194" t="s">
        <v>195</v>
      </c>
      <c r="D56" s="194" t="s">
        <v>541</v>
      </c>
      <c r="E56" s="195">
        <v>681819</v>
      </c>
      <c r="F56" s="195">
        <v>1250684</v>
      </c>
      <c r="G56" s="195">
        <v>1250684</v>
      </c>
      <c r="H56" s="195">
        <v>0</v>
      </c>
      <c r="I56" s="195">
        <v>34330</v>
      </c>
      <c r="J56" s="195">
        <v>0</v>
      </c>
      <c r="K56" s="195">
        <v>354471</v>
      </c>
      <c r="L56" s="257">
        <f t="shared" si="0"/>
        <v>0.28342171163939095</v>
      </c>
      <c r="M56" s="195">
        <v>354471</v>
      </c>
      <c r="N56" s="257">
        <f t="shared" si="1"/>
        <v>0.28342171163939095</v>
      </c>
      <c r="O56" s="195">
        <v>861883</v>
      </c>
      <c r="P56" s="257">
        <f t="shared" si="2"/>
        <v>0.68912930844242026</v>
      </c>
      <c r="Q56" s="195">
        <v>861883</v>
      </c>
      <c r="R56" s="260">
        <f t="shared" si="3"/>
        <v>0</v>
      </c>
    </row>
    <row r="57" spans="1:18" x14ac:dyDescent="0.25">
      <c r="A57" s="194" t="s">
        <v>542</v>
      </c>
      <c r="B57" s="194" t="s">
        <v>196</v>
      </c>
      <c r="C57" s="194" t="s">
        <v>197</v>
      </c>
      <c r="D57" s="194" t="s">
        <v>541</v>
      </c>
      <c r="E57" s="195">
        <v>1000000</v>
      </c>
      <c r="F57" s="195">
        <v>1000000</v>
      </c>
      <c r="G57" s="195">
        <v>1000000</v>
      </c>
      <c r="H57" s="195">
        <v>0</v>
      </c>
      <c r="I57" s="195">
        <v>1000000</v>
      </c>
      <c r="J57" s="195">
        <v>0</v>
      </c>
      <c r="K57" s="195">
        <v>0</v>
      </c>
      <c r="L57" s="257">
        <f t="shared" si="0"/>
        <v>0</v>
      </c>
      <c r="M57" s="195">
        <v>0</v>
      </c>
      <c r="N57" s="257">
        <f t="shared" si="1"/>
        <v>0</v>
      </c>
      <c r="O57" s="195">
        <v>0</v>
      </c>
      <c r="P57" s="257">
        <f t="shared" si="2"/>
        <v>0</v>
      </c>
      <c r="Q57" s="195">
        <v>0</v>
      </c>
      <c r="R57" s="260">
        <f t="shared" si="3"/>
        <v>0</v>
      </c>
    </row>
    <row r="58" spans="1:18" x14ac:dyDescent="0.25">
      <c r="A58" s="194" t="s">
        <v>542</v>
      </c>
      <c r="B58" s="194" t="s">
        <v>334</v>
      </c>
      <c r="C58" s="194" t="s">
        <v>335</v>
      </c>
      <c r="D58" s="194" t="s">
        <v>541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257" t="e">
        <f t="shared" si="0"/>
        <v>#DIV/0!</v>
      </c>
      <c r="M58" s="195">
        <v>0</v>
      </c>
      <c r="N58" s="257" t="e">
        <f t="shared" si="1"/>
        <v>#DIV/0!</v>
      </c>
      <c r="O58" s="195">
        <v>0</v>
      </c>
      <c r="P58" s="257" t="e">
        <f t="shared" si="2"/>
        <v>#DIV/0!</v>
      </c>
      <c r="Q58" s="195">
        <v>0</v>
      </c>
      <c r="R58" s="260">
        <f t="shared" si="3"/>
        <v>0</v>
      </c>
    </row>
    <row r="59" spans="1:18" x14ac:dyDescent="0.25">
      <c r="A59" s="194" t="s">
        <v>542</v>
      </c>
      <c r="B59" s="194" t="s">
        <v>198</v>
      </c>
      <c r="C59" s="194" t="s">
        <v>199</v>
      </c>
      <c r="D59" s="194" t="s">
        <v>541</v>
      </c>
      <c r="E59" s="195">
        <v>1000000</v>
      </c>
      <c r="F59" s="195">
        <v>1000000</v>
      </c>
      <c r="G59" s="195">
        <v>1000000</v>
      </c>
      <c r="H59" s="195">
        <v>0</v>
      </c>
      <c r="I59" s="195">
        <v>1000000</v>
      </c>
      <c r="J59" s="195">
        <v>0</v>
      </c>
      <c r="K59" s="195">
        <v>0</v>
      </c>
      <c r="L59" s="257">
        <f t="shared" si="0"/>
        <v>0</v>
      </c>
      <c r="M59" s="195">
        <v>0</v>
      </c>
      <c r="N59" s="257">
        <f t="shared" si="1"/>
        <v>0</v>
      </c>
      <c r="O59" s="195">
        <v>0</v>
      </c>
      <c r="P59" s="257">
        <f t="shared" si="2"/>
        <v>0</v>
      </c>
      <c r="Q59" s="195">
        <v>0</v>
      </c>
      <c r="R59" s="260">
        <f t="shared" si="3"/>
        <v>0</v>
      </c>
    </row>
    <row r="60" spans="1:18" x14ac:dyDescent="0.25">
      <c r="A60" s="194" t="s">
        <v>542</v>
      </c>
      <c r="B60" s="194" t="s">
        <v>200</v>
      </c>
      <c r="C60" s="194" t="s">
        <v>201</v>
      </c>
      <c r="D60" s="194" t="s">
        <v>541</v>
      </c>
      <c r="E60" s="195">
        <v>42229000</v>
      </c>
      <c r="F60" s="195">
        <v>42229000</v>
      </c>
      <c r="G60" s="195">
        <v>40854130</v>
      </c>
      <c r="H60" s="195">
        <v>9678750</v>
      </c>
      <c r="I60" s="195">
        <v>5709014</v>
      </c>
      <c r="J60" s="195">
        <v>167440.29</v>
      </c>
      <c r="K60" s="195">
        <v>24561731.420000002</v>
      </c>
      <c r="L60" s="257">
        <f t="shared" si="0"/>
        <v>0.58163185062397882</v>
      </c>
      <c r="M60" s="195">
        <v>24561731.420000002</v>
      </c>
      <c r="N60" s="257">
        <f t="shared" si="1"/>
        <v>0.58163185062397882</v>
      </c>
      <c r="O60" s="195">
        <v>2112064.29</v>
      </c>
      <c r="P60" s="257">
        <f t="shared" si="2"/>
        <v>5.0014546638565915E-2</v>
      </c>
      <c r="Q60" s="195">
        <v>737194.29</v>
      </c>
      <c r="R60" s="260">
        <f t="shared" si="3"/>
        <v>-1374870</v>
      </c>
    </row>
    <row r="61" spans="1:18" x14ac:dyDescent="0.25">
      <c r="A61" s="194" t="s">
        <v>542</v>
      </c>
      <c r="B61" s="194" t="s">
        <v>202</v>
      </c>
      <c r="C61" s="194" t="s">
        <v>203</v>
      </c>
      <c r="D61" s="194" t="s">
        <v>541</v>
      </c>
      <c r="E61" s="195">
        <v>17137000</v>
      </c>
      <c r="F61" s="195">
        <v>17137000</v>
      </c>
      <c r="G61" s="195">
        <v>16174905</v>
      </c>
      <c r="H61" s="195">
        <v>0</v>
      </c>
      <c r="I61" s="195">
        <v>4214402</v>
      </c>
      <c r="J61" s="195">
        <v>0</v>
      </c>
      <c r="K61" s="195">
        <v>11937283</v>
      </c>
      <c r="L61" s="257">
        <f t="shared" si="0"/>
        <v>0.69657950633132992</v>
      </c>
      <c r="M61" s="195">
        <v>11937283</v>
      </c>
      <c r="N61" s="257">
        <f t="shared" si="1"/>
        <v>0.69657950633132992</v>
      </c>
      <c r="O61" s="195">
        <v>985315</v>
      </c>
      <c r="P61" s="257">
        <f t="shared" si="2"/>
        <v>5.7496352920581195E-2</v>
      </c>
      <c r="Q61" s="195">
        <v>23220</v>
      </c>
      <c r="R61" s="260">
        <f t="shared" si="3"/>
        <v>-962095</v>
      </c>
    </row>
    <row r="62" spans="1:18" x14ac:dyDescent="0.25">
      <c r="A62" s="194" t="s">
        <v>542</v>
      </c>
      <c r="B62" s="194" t="s">
        <v>204</v>
      </c>
      <c r="C62" s="194" t="s">
        <v>205</v>
      </c>
      <c r="D62" s="194" t="s">
        <v>541</v>
      </c>
      <c r="E62" s="195">
        <v>11100000</v>
      </c>
      <c r="F62" s="195">
        <v>11100000</v>
      </c>
      <c r="G62" s="195">
        <v>11100000</v>
      </c>
      <c r="H62" s="195">
        <v>0</v>
      </c>
      <c r="I62" s="195">
        <v>4214402</v>
      </c>
      <c r="J62" s="195">
        <v>0</v>
      </c>
      <c r="K62" s="195">
        <v>6885598</v>
      </c>
      <c r="L62" s="257">
        <f t="shared" si="0"/>
        <v>0.62032414414414416</v>
      </c>
      <c r="M62" s="195">
        <v>6885598</v>
      </c>
      <c r="N62" s="257">
        <f t="shared" si="1"/>
        <v>0.62032414414414416</v>
      </c>
      <c r="O62" s="195">
        <v>0</v>
      </c>
      <c r="P62" s="257">
        <f t="shared" si="2"/>
        <v>0</v>
      </c>
      <c r="Q62" s="195">
        <v>0</v>
      </c>
      <c r="R62" s="260">
        <f t="shared" si="3"/>
        <v>0</v>
      </c>
    </row>
    <row r="63" spans="1:18" x14ac:dyDescent="0.25">
      <c r="A63" s="194" t="s">
        <v>542</v>
      </c>
      <c r="B63" s="194" t="s">
        <v>206</v>
      </c>
      <c r="C63" s="194" t="s">
        <v>207</v>
      </c>
      <c r="D63" s="194" t="s">
        <v>541</v>
      </c>
      <c r="E63" s="195">
        <v>5000000</v>
      </c>
      <c r="F63" s="195">
        <v>5000000</v>
      </c>
      <c r="G63" s="195">
        <v>4948905</v>
      </c>
      <c r="H63" s="195">
        <v>0</v>
      </c>
      <c r="I63" s="195">
        <v>0</v>
      </c>
      <c r="J63" s="195">
        <v>0</v>
      </c>
      <c r="K63" s="195">
        <v>4948905</v>
      </c>
      <c r="L63" s="257">
        <f t="shared" si="0"/>
        <v>0.98978100000000002</v>
      </c>
      <c r="M63" s="195">
        <v>4948905</v>
      </c>
      <c r="N63" s="257">
        <f t="shared" si="1"/>
        <v>0.98978100000000002</v>
      </c>
      <c r="O63" s="195">
        <v>51095</v>
      </c>
      <c r="P63" s="257">
        <f t="shared" si="2"/>
        <v>1.0219000000000001E-2</v>
      </c>
      <c r="Q63" s="195">
        <v>0</v>
      </c>
      <c r="R63" s="260">
        <f t="shared" si="3"/>
        <v>-51095</v>
      </c>
    </row>
    <row r="64" spans="1:18" x14ac:dyDescent="0.25">
      <c r="A64" s="194" t="s">
        <v>542</v>
      </c>
      <c r="B64" s="194" t="s">
        <v>208</v>
      </c>
      <c r="C64" s="194" t="s">
        <v>209</v>
      </c>
      <c r="D64" s="194" t="s">
        <v>541</v>
      </c>
      <c r="E64" s="195">
        <v>126000</v>
      </c>
      <c r="F64" s="195">
        <v>126000</v>
      </c>
      <c r="G64" s="195">
        <v>126000</v>
      </c>
      <c r="H64" s="195">
        <v>0</v>
      </c>
      <c r="I64" s="195">
        <v>0</v>
      </c>
      <c r="J64" s="195">
        <v>0</v>
      </c>
      <c r="K64" s="195">
        <v>102780</v>
      </c>
      <c r="L64" s="257">
        <f t="shared" si="0"/>
        <v>0.81571428571428573</v>
      </c>
      <c r="M64" s="195">
        <v>102780</v>
      </c>
      <c r="N64" s="257">
        <f t="shared" si="1"/>
        <v>0.81571428571428573</v>
      </c>
      <c r="O64" s="195">
        <v>23220</v>
      </c>
      <c r="P64" s="257">
        <f t="shared" si="2"/>
        <v>0.18428571428571427</v>
      </c>
      <c r="Q64" s="195">
        <v>23220</v>
      </c>
      <c r="R64" s="260">
        <f t="shared" si="3"/>
        <v>0</v>
      </c>
    </row>
    <row r="65" spans="1:18" x14ac:dyDescent="0.25">
      <c r="A65" s="252" t="s">
        <v>542</v>
      </c>
      <c r="B65" s="252" t="s">
        <v>210</v>
      </c>
      <c r="C65" s="252" t="s">
        <v>211</v>
      </c>
      <c r="D65" s="252" t="s">
        <v>541</v>
      </c>
      <c r="E65" s="253">
        <v>911000</v>
      </c>
      <c r="F65" s="253">
        <v>911000</v>
      </c>
      <c r="G65" s="253">
        <v>0</v>
      </c>
      <c r="H65" s="253">
        <v>0</v>
      </c>
      <c r="I65" s="253">
        <v>0</v>
      </c>
      <c r="J65" s="253">
        <v>0</v>
      </c>
      <c r="K65" s="253">
        <v>0</v>
      </c>
      <c r="L65" s="258">
        <f t="shared" si="0"/>
        <v>0</v>
      </c>
      <c r="M65" s="253">
        <v>0</v>
      </c>
      <c r="N65" s="258">
        <f t="shared" si="1"/>
        <v>0</v>
      </c>
      <c r="O65" s="253">
        <v>911000</v>
      </c>
      <c r="P65" s="258">
        <f t="shared" si="2"/>
        <v>1</v>
      </c>
      <c r="Q65" s="253">
        <v>0</v>
      </c>
      <c r="R65" s="260">
        <f t="shared" si="3"/>
        <v>-911000</v>
      </c>
    </row>
    <row r="66" spans="1:18" x14ac:dyDescent="0.25">
      <c r="A66" s="194" t="s">
        <v>542</v>
      </c>
      <c r="B66" s="194" t="s">
        <v>212</v>
      </c>
      <c r="C66" s="194" t="s">
        <v>213</v>
      </c>
      <c r="D66" s="194" t="s">
        <v>541</v>
      </c>
      <c r="E66" s="195">
        <v>3000000</v>
      </c>
      <c r="F66" s="195">
        <v>3000000</v>
      </c>
      <c r="G66" s="195">
        <v>3000000</v>
      </c>
      <c r="H66" s="195">
        <v>0</v>
      </c>
      <c r="I66" s="195">
        <v>987462</v>
      </c>
      <c r="J66" s="195">
        <v>0</v>
      </c>
      <c r="K66" s="195">
        <v>2007355</v>
      </c>
      <c r="L66" s="257">
        <f t="shared" si="0"/>
        <v>0.66911833333333337</v>
      </c>
      <c r="M66" s="195">
        <v>2007355</v>
      </c>
      <c r="N66" s="257">
        <f t="shared" si="1"/>
        <v>0.66911833333333337</v>
      </c>
      <c r="O66" s="195">
        <v>5183</v>
      </c>
      <c r="P66" s="257">
        <f t="shared" si="2"/>
        <v>1.7276666666666666E-3</v>
      </c>
      <c r="Q66" s="195">
        <v>5183</v>
      </c>
      <c r="R66" s="260">
        <f t="shared" si="3"/>
        <v>0</v>
      </c>
    </row>
    <row r="67" spans="1:18" x14ac:dyDescent="0.25">
      <c r="A67" s="194" t="s">
        <v>542</v>
      </c>
      <c r="B67" s="194" t="s">
        <v>214</v>
      </c>
      <c r="C67" s="194" t="s">
        <v>215</v>
      </c>
      <c r="D67" s="194" t="s">
        <v>541</v>
      </c>
      <c r="E67" s="195">
        <v>3000000</v>
      </c>
      <c r="F67" s="195">
        <v>3000000</v>
      </c>
      <c r="G67" s="195">
        <v>3000000</v>
      </c>
      <c r="H67" s="195">
        <v>0</v>
      </c>
      <c r="I67" s="195">
        <v>987462</v>
      </c>
      <c r="J67" s="195">
        <v>0</v>
      </c>
      <c r="K67" s="195">
        <v>2007355</v>
      </c>
      <c r="L67" s="257">
        <f t="shared" ref="L67:L130" si="4">+K67/F67</f>
        <v>0.66911833333333337</v>
      </c>
      <c r="M67" s="195">
        <v>2007355</v>
      </c>
      <c r="N67" s="257">
        <f t="shared" ref="N67:N130" si="5">+M67/F67</f>
        <v>0.66911833333333337</v>
      </c>
      <c r="O67" s="195">
        <v>5183</v>
      </c>
      <c r="P67" s="257">
        <f t="shared" ref="P67:P130" si="6">+O67/F67</f>
        <v>1.7276666666666666E-3</v>
      </c>
      <c r="Q67" s="195">
        <v>5183</v>
      </c>
      <c r="R67" s="260">
        <f t="shared" si="3"/>
        <v>0</v>
      </c>
    </row>
    <row r="68" spans="1:18" x14ac:dyDescent="0.25">
      <c r="A68" s="194" t="s">
        <v>542</v>
      </c>
      <c r="B68" s="194" t="s">
        <v>216</v>
      </c>
      <c r="C68" s="194" t="s">
        <v>217</v>
      </c>
      <c r="D68" s="194" t="s">
        <v>541</v>
      </c>
      <c r="E68" s="195">
        <v>936000</v>
      </c>
      <c r="F68" s="195">
        <v>936000</v>
      </c>
      <c r="G68" s="195">
        <v>753225</v>
      </c>
      <c r="H68" s="195">
        <v>0</v>
      </c>
      <c r="I68" s="195">
        <v>0</v>
      </c>
      <c r="J68" s="195">
        <v>0</v>
      </c>
      <c r="K68" s="195">
        <v>739656.5</v>
      </c>
      <c r="L68" s="257">
        <f t="shared" si="4"/>
        <v>0.79023130341880343</v>
      </c>
      <c r="M68" s="195">
        <v>739656.5</v>
      </c>
      <c r="N68" s="257">
        <f t="shared" si="5"/>
        <v>0.79023130341880343</v>
      </c>
      <c r="O68" s="195">
        <v>196343.5</v>
      </c>
      <c r="P68" s="257">
        <f t="shared" si="6"/>
        <v>0.20976869658119657</v>
      </c>
      <c r="Q68" s="195">
        <v>13568.5</v>
      </c>
      <c r="R68" s="260">
        <f t="shared" si="3"/>
        <v>-182775</v>
      </c>
    </row>
    <row r="69" spans="1:18" x14ac:dyDescent="0.25">
      <c r="A69" s="194" t="s">
        <v>542</v>
      </c>
      <c r="B69" s="194" t="s">
        <v>220</v>
      </c>
      <c r="C69" s="194" t="s">
        <v>221</v>
      </c>
      <c r="D69" s="194" t="s">
        <v>541</v>
      </c>
      <c r="E69" s="195">
        <v>771000</v>
      </c>
      <c r="F69" s="195">
        <v>771000</v>
      </c>
      <c r="G69" s="195">
        <v>588225</v>
      </c>
      <c r="H69" s="195">
        <v>0</v>
      </c>
      <c r="I69" s="195">
        <v>0</v>
      </c>
      <c r="J69" s="195">
        <v>0</v>
      </c>
      <c r="K69" s="195">
        <v>577109.30000000005</v>
      </c>
      <c r="L69" s="257">
        <f t="shared" si="4"/>
        <v>0.74852049286640732</v>
      </c>
      <c r="M69" s="195">
        <v>577109.30000000005</v>
      </c>
      <c r="N69" s="257">
        <f t="shared" si="5"/>
        <v>0.74852049286640732</v>
      </c>
      <c r="O69" s="195">
        <v>193890.7</v>
      </c>
      <c r="P69" s="257">
        <f t="shared" si="6"/>
        <v>0.25147950713359274</v>
      </c>
      <c r="Q69" s="195">
        <v>11115.7</v>
      </c>
      <c r="R69" s="260">
        <f t="shared" ref="R69:R132" si="7">G69-F69</f>
        <v>-182775</v>
      </c>
    </row>
    <row r="70" spans="1:18" x14ac:dyDescent="0.25">
      <c r="A70" s="194" t="s">
        <v>542</v>
      </c>
      <c r="B70" s="194" t="s">
        <v>224</v>
      </c>
      <c r="C70" s="194" t="s">
        <v>225</v>
      </c>
      <c r="D70" s="194" t="s">
        <v>541</v>
      </c>
      <c r="E70" s="195">
        <v>165000</v>
      </c>
      <c r="F70" s="195">
        <v>165000</v>
      </c>
      <c r="G70" s="195">
        <v>165000</v>
      </c>
      <c r="H70" s="195">
        <v>0</v>
      </c>
      <c r="I70" s="195">
        <v>0</v>
      </c>
      <c r="J70" s="195">
        <v>0</v>
      </c>
      <c r="K70" s="195">
        <v>162547.20000000001</v>
      </c>
      <c r="L70" s="257">
        <f t="shared" si="4"/>
        <v>0.98513454545454548</v>
      </c>
      <c r="M70" s="195">
        <v>162547.20000000001</v>
      </c>
      <c r="N70" s="257">
        <f t="shared" si="5"/>
        <v>0.98513454545454548</v>
      </c>
      <c r="O70" s="195">
        <v>2452.8000000000002</v>
      </c>
      <c r="P70" s="257">
        <f t="shared" si="6"/>
        <v>1.4865454545454546E-2</v>
      </c>
      <c r="Q70" s="195">
        <v>2452.8000000000002</v>
      </c>
      <c r="R70" s="260">
        <f t="shared" si="7"/>
        <v>0</v>
      </c>
    </row>
    <row r="71" spans="1:18" x14ac:dyDescent="0.25">
      <c r="A71" s="194" t="s">
        <v>542</v>
      </c>
      <c r="B71" s="194" t="s">
        <v>228</v>
      </c>
      <c r="C71" s="194" t="s">
        <v>229</v>
      </c>
      <c r="D71" s="194" t="s">
        <v>541</v>
      </c>
      <c r="E71" s="195">
        <v>312000</v>
      </c>
      <c r="F71" s="195">
        <v>312000</v>
      </c>
      <c r="G71" s="195">
        <v>312000</v>
      </c>
      <c r="H71" s="195">
        <v>89250</v>
      </c>
      <c r="I71" s="195">
        <v>154825</v>
      </c>
      <c r="J71" s="195">
        <v>0</v>
      </c>
      <c r="K71" s="195">
        <v>0</v>
      </c>
      <c r="L71" s="257">
        <f t="shared" si="4"/>
        <v>0</v>
      </c>
      <c r="M71" s="195">
        <v>0</v>
      </c>
      <c r="N71" s="257">
        <f t="shared" si="5"/>
        <v>0</v>
      </c>
      <c r="O71" s="195">
        <v>67925</v>
      </c>
      <c r="P71" s="257">
        <f t="shared" si="6"/>
        <v>0.21770833333333334</v>
      </c>
      <c r="Q71" s="195">
        <v>67925</v>
      </c>
      <c r="R71" s="260">
        <f t="shared" si="7"/>
        <v>0</v>
      </c>
    </row>
    <row r="72" spans="1:18" x14ac:dyDescent="0.25">
      <c r="A72" s="252" t="s">
        <v>542</v>
      </c>
      <c r="B72" s="252" t="s">
        <v>230</v>
      </c>
      <c r="C72" s="252" t="s">
        <v>231</v>
      </c>
      <c r="D72" s="252" t="s">
        <v>541</v>
      </c>
      <c r="E72" s="253">
        <v>206000</v>
      </c>
      <c r="F72" s="253">
        <v>206000</v>
      </c>
      <c r="G72" s="253">
        <v>206000</v>
      </c>
      <c r="H72" s="253">
        <v>0</v>
      </c>
      <c r="I72" s="253">
        <v>154825</v>
      </c>
      <c r="J72" s="253">
        <v>0</v>
      </c>
      <c r="K72" s="253">
        <v>0</v>
      </c>
      <c r="L72" s="258">
        <f t="shared" si="4"/>
        <v>0</v>
      </c>
      <c r="M72" s="253">
        <v>0</v>
      </c>
      <c r="N72" s="258">
        <f t="shared" si="5"/>
        <v>0</v>
      </c>
      <c r="O72" s="253">
        <v>51175</v>
      </c>
      <c r="P72" s="258">
        <f t="shared" si="6"/>
        <v>0.24842233009708739</v>
      </c>
      <c r="Q72" s="253">
        <v>51175</v>
      </c>
      <c r="R72" s="260">
        <f t="shared" si="7"/>
        <v>0</v>
      </c>
    </row>
    <row r="73" spans="1:18" x14ac:dyDescent="0.25">
      <c r="A73" s="194" t="s">
        <v>542</v>
      </c>
      <c r="B73" s="194" t="s">
        <v>232</v>
      </c>
      <c r="C73" s="194" t="s">
        <v>233</v>
      </c>
      <c r="D73" s="194" t="s">
        <v>541</v>
      </c>
      <c r="E73" s="195">
        <v>106000</v>
      </c>
      <c r="F73" s="195">
        <v>106000</v>
      </c>
      <c r="G73" s="195">
        <v>106000</v>
      </c>
      <c r="H73" s="195">
        <v>89250</v>
      </c>
      <c r="I73" s="195">
        <v>0</v>
      </c>
      <c r="J73" s="195">
        <v>0</v>
      </c>
      <c r="K73" s="195">
        <v>0</v>
      </c>
      <c r="L73" s="257">
        <f t="shared" si="4"/>
        <v>0</v>
      </c>
      <c r="M73" s="195">
        <v>0</v>
      </c>
      <c r="N73" s="257">
        <f t="shared" si="5"/>
        <v>0</v>
      </c>
      <c r="O73" s="195">
        <v>16750</v>
      </c>
      <c r="P73" s="257">
        <f t="shared" si="6"/>
        <v>0.15801886792452829</v>
      </c>
      <c r="Q73" s="195">
        <v>16750</v>
      </c>
      <c r="R73" s="260">
        <f t="shared" si="7"/>
        <v>0</v>
      </c>
    </row>
    <row r="74" spans="1:18" x14ac:dyDescent="0.25">
      <c r="A74" s="194" t="s">
        <v>542</v>
      </c>
      <c r="B74" s="194" t="s">
        <v>234</v>
      </c>
      <c r="C74" s="194" t="s">
        <v>601</v>
      </c>
      <c r="D74" s="194" t="s">
        <v>541</v>
      </c>
      <c r="E74" s="195">
        <v>20844000</v>
      </c>
      <c r="F74" s="195">
        <v>20844000</v>
      </c>
      <c r="G74" s="195">
        <v>20614000</v>
      </c>
      <c r="H74" s="195">
        <v>9589500</v>
      </c>
      <c r="I74" s="195">
        <v>352325</v>
      </c>
      <c r="J74" s="195">
        <v>167440.29</v>
      </c>
      <c r="K74" s="195">
        <v>9877436.9199999999</v>
      </c>
      <c r="L74" s="257">
        <f t="shared" si="4"/>
        <v>0.4738743484935713</v>
      </c>
      <c r="M74" s="195">
        <v>9877436.9199999999</v>
      </c>
      <c r="N74" s="257">
        <f t="shared" si="5"/>
        <v>0.4738743484935713</v>
      </c>
      <c r="O74" s="195">
        <v>857297.79</v>
      </c>
      <c r="P74" s="257">
        <f t="shared" si="6"/>
        <v>4.1129235751295339E-2</v>
      </c>
      <c r="Q74" s="195">
        <v>627297.79</v>
      </c>
      <c r="R74" s="260">
        <f t="shared" si="7"/>
        <v>-230000</v>
      </c>
    </row>
    <row r="75" spans="1:18" x14ac:dyDescent="0.25">
      <c r="A75" s="194" t="s">
        <v>542</v>
      </c>
      <c r="B75" s="194" t="s">
        <v>235</v>
      </c>
      <c r="C75" s="194" t="s">
        <v>236</v>
      </c>
      <c r="D75" s="194" t="s">
        <v>541</v>
      </c>
      <c r="E75" s="195">
        <v>3000000</v>
      </c>
      <c r="F75" s="195">
        <v>3000000</v>
      </c>
      <c r="G75" s="195">
        <v>3000000</v>
      </c>
      <c r="H75" s="195">
        <v>0</v>
      </c>
      <c r="I75" s="195">
        <v>181700</v>
      </c>
      <c r="J75" s="195">
        <v>167440.29</v>
      </c>
      <c r="K75" s="195">
        <v>2585795.56</v>
      </c>
      <c r="L75" s="257">
        <f t="shared" si="4"/>
        <v>0.86193185333333333</v>
      </c>
      <c r="M75" s="195">
        <v>2585795.56</v>
      </c>
      <c r="N75" s="257">
        <f t="shared" si="5"/>
        <v>0.86193185333333333</v>
      </c>
      <c r="O75" s="195">
        <v>65064.15</v>
      </c>
      <c r="P75" s="257">
        <f t="shared" si="6"/>
        <v>2.168805E-2</v>
      </c>
      <c r="Q75" s="195">
        <v>65064.15</v>
      </c>
      <c r="R75" s="260">
        <f t="shared" si="7"/>
        <v>0</v>
      </c>
    </row>
    <row r="76" spans="1:18" x14ac:dyDescent="0.25">
      <c r="A76" s="194" t="s">
        <v>542</v>
      </c>
      <c r="B76" s="194" t="s">
        <v>237</v>
      </c>
      <c r="C76" s="194" t="s">
        <v>238</v>
      </c>
      <c r="D76" s="194" t="s">
        <v>541</v>
      </c>
      <c r="E76" s="195">
        <v>271000</v>
      </c>
      <c r="F76" s="195">
        <v>271000</v>
      </c>
      <c r="G76" s="195">
        <v>271000</v>
      </c>
      <c r="H76" s="195">
        <v>0</v>
      </c>
      <c r="I76" s="195">
        <v>0</v>
      </c>
      <c r="J76" s="195">
        <v>0</v>
      </c>
      <c r="K76" s="195">
        <v>264500</v>
      </c>
      <c r="L76" s="257">
        <f t="shared" si="4"/>
        <v>0.97601476014760147</v>
      </c>
      <c r="M76" s="195">
        <v>264500</v>
      </c>
      <c r="N76" s="257">
        <f t="shared" si="5"/>
        <v>0.97601476014760147</v>
      </c>
      <c r="O76" s="195">
        <v>6500</v>
      </c>
      <c r="P76" s="257">
        <f t="shared" si="6"/>
        <v>2.3985239852398525E-2</v>
      </c>
      <c r="Q76" s="195">
        <v>6500</v>
      </c>
      <c r="R76" s="260">
        <f t="shared" si="7"/>
        <v>0</v>
      </c>
    </row>
    <row r="77" spans="1:18" x14ac:dyDescent="0.25">
      <c r="A77" s="194" t="s">
        <v>542</v>
      </c>
      <c r="B77" s="194" t="s">
        <v>239</v>
      </c>
      <c r="C77" s="194" t="s">
        <v>240</v>
      </c>
      <c r="D77" s="194" t="s">
        <v>541</v>
      </c>
      <c r="E77" s="195">
        <v>12000000</v>
      </c>
      <c r="F77" s="195">
        <v>4000000</v>
      </c>
      <c r="G77" s="195">
        <v>4000000</v>
      </c>
      <c r="H77" s="195">
        <v>0</v>
      </c>
      <c r="I77" s="195">
        <v>59765</v>
      </c>
      <c r="J77" s="195">
        <v>0</v>
      </c>
      <c r="K77" s="195">
        <v>3929866.42</v>
      </c>
      <c r="L77" s="257">
        <f t="shared" si="4"/>
        <v>0.98246660499999994</v>
      </c>
      <c r="M77" s="195">
        <v>3929866.42</v>
      </c>
      <c r="N77" s="257">
        <f t="shared" si="5"/>
        <v>0.98246660499999994</v>
      </c>
      <c r="O77" s="195">
        <v>10368.58</v>
      </c>
      <c r="P77" s="257">
        <f t="shared" si="6"/>
        <v>2.5921450000000001E-3</v>
      </c>
      <c r="Q77" s="195">
        <v>10368.58</v>
      </c>
      <c r="R77" s="260">
        <f t="shared" si="7"/>
        <v>0</v>
      </c>
    </row>
    <row r="78" spans="1:18" x14ac:dyDescent="0.25">
      <c r="A78" s="194" t="s">
        <v>542</v>
      </c>
      <c r="B78" s="194" t="s">
        <v>241</v>
      </c>
      <c r="C78" s="194" t="s">
        <v>242</v>
      </c>
      <c r="D78" s="194" t="s">
        <v>541</v>
      </c>
      <c r="E78" s="195">
        <v>1445000</v>
      </c>
      <c r="F78" s="195">
        <v>1445000</v>
      </c>
      <c r="G78" s="195">
        <v>1445000</v>
      </c>
      <c r="H78" s="195">
        <v>1433100</v>
      </c>
      <c r="I78" s="195">
        <v>0</v>
      </c>
      <c r="J78" s="195">
        <v>0</v>
      </c>
      <c r="K78" s="195">
        <v>0</v>
      </c>
      <c r="L78" s="257">
        <f t="shared" si="4"/>
        <v>0</v>
      </c>
      <c r="M78" s="195">
        <v>0</v>
      </c>
      <c r="N78" s="257">
        <f t="shared" si="5"/>
        <v>0</v>
      </c>
      <c r="O78" s="195">
        <v>11900</v>
      </c>
      <c r="P78" s="257">
        <f t="shared" si="6"/>
        <v>8.2352941176470594E-3</v>
      </c>
      <c r="Q78" s="195">
        <v>11900</v>
      </c>
      <c r="R78" s="260">
        <f t="shared" si="7"/>
        <v>0</v>
      </c>
    </row>
    <row r="79" spans="1:18" x14ac:dyDescent="0.25">
      <c r="A79" s="194" t="s">
        <v>542</v>
      </c>
      <c r="B79" s="194" t="s">
        <v>243</v>
      </c>
      <c r="C79" s="194" t="s">
        <v>244</v>
      </c>
      <c r="D79" s="194" t="s">
        <v>541</v>
      </c>
      <c r="E79" s="195">
        <v>2500000</v>
      </c>
      <c r="F79" s="195">
        <v>10500000</v>
      </c>
      <c r="G79" s="195">
        <v>10500000</v>
      </c>
      <c r="H79" s="195">
        <v>8156400</v>
      </c>
      <c r="I79" s="195">
        <v>0</v>
      </c>
      <c r="J79" s="195">
        <v>0</v>
      </c>
      <c r="K79" s="195">
        <v>1823105.44</v>
      </c>
      <c r="L79" s="257">
        <f t="shared" si="4"/>
        <v>0.17362908952380951</v>
      </c>
      <c r="M79" s="195">
        <v>1823105.44</v>
      </c>
      <c r="N79" s="257">
        <f t="shared" si="5"/>
        <v>0.17362908952380951</v>
      </c>
      <c r="O79" s="195">
        <v>520494.56</v>
      </c>
      <c r="P79" s="257">
        <f t="shared" si="6"/>
        <v>4.9570910476190479E-2</v>
      </c>
      <c r="Q79" s="195">
        <v>520494.56</v>
      </c>
      <c r="R79" s="260">
        <f t="shared" si="7"/>
        <v>0</v>
      </c>
    </row>
    <row r="80" spans="1:18" x14ac:dyDescent="0.25">
      <c r="A80" s="194" t="s">
        <v>542</v>
      </c>
      <c r="B80" s="194" t="s">
        <v>245</v>
      </c>
      <c r="C80" s="194" t="s">
        <v>246</v>
      </c>
      <c r="D80" s="194" t="s">
        <v>541</v>
      </c>
      <c r="E80" s="195">
        <v>66000</v>
      </c>
      <c r="F80" s="195">
        <v>66000</v>
      </c>
      <c r="G80" s="195">
        <v>66000</v>
      </c>
      <c r="H80" s="195">
        <v>0</v>
      </c>
      <c r="I80" s="195">
        <v>0</v>
      </c>
      <c r="J80" s="195">
        <v>0</v>
      </c>
      <c r="K80" s="195">
        <v>63800</v>
      </c>
      <c r="L80" s="257">
        <f t="shared" si="4"/>
        <v>0.96666666666666667</v>
      </c>
      <c r="M80" s="195">
        <v>63800</v>
      </c>
      <c r="N80" s="257">
        <f t="shared" si="5"/>
        <v>0.96666666666666667</v>
      </c>
      <c r="O80" s="195">
        <v>2200</v>
      </c>
      <c r="P80" s="257">
        <f t="shared" si="6"/>
        <v>3.3333333333333333E-2</v>
      </c>
      <c r="Q80" s="195">
        <v>2200</v>
      </c>
      <c r="R80" s="260">
        <f t="shared" si="7"/>
        <v>0</v>
      </c>
    </row>
    <row r="81" spans="1:18" x14ac:dyDescent="0.25">
      <c r="A81" s="194" t="s">
        <v>542</v>
      </c>
      <c r="B81" s="194" t="s">
        <v>247</v>
      </c>
      <c r="C81" s="194" t="s">
        <v>248</v>
      </c>
      <c r="D81" s="194" t="s">
        <v>541</v>
      </c>
      <c r="E81" s="195">
        <v>562000</v>
      </c>
      <c r="F81" s="195">
        <v>562000</v>
      </c>
      <c r="G81" s="195">
        <v>332000</v>
      </c>
      <c r="H81" s="195">
        <v>0</v>
      </c>
      <c r="I81" s="195">
        <v>0</v>
      </c>
      <c r="J81" s="195">
        <v>0</v>
      </c>
      <c r="K81" s="195">
        <v>328670</v>
      </c>
      <c r="L81" s="257">
        <f t="shared" si="4"/>
        <v>0.58482206405693948</v>
      </c>
      <c r="M81" s="195">
        <v>328670</v>
      </c>
      <c r="N81" s="257">
        <f t="shared" si="5"/>
        <v>0.58482206405693948</v>
      </c>
      <c r="O81" s="195">
        <v>233330</v>
      </c>
      <c r="P81" s="257">
        <f t="shared" si="6"/>
        <v>0.41517793594306052</v>
      </c>
      <c r="Q81" s="195">
        <v>3330</v>
      </c>
      <c r="R81" s="260">
        <f t="shared" si="7"/>
        <v>-230000</v>
      </c>
    </row>
    <row r="82" spans="1:18" x14ac:dyDescent="0.25">
      <c r="A82" s="194" t="s">
        <v>542</v>
      </c>
      <c r="B82" s="194" t="s">
        <v>249</v>
      </c>
      <c r="C82" s="194" t="s">
        <v>250</v>
      </c>
      <c r="D82" s="194" t="s">
        <v>541</v>
      </c>
      <c r="E82" s="195">
        <v>1000000</v>
      </c>
      <c r="F82" s="195">
        <v>1000000</v>
      </c>
      <c r="G82" s="195">
        <v>1000000</v>
      </c>
      <c r="H82" s="195">
        <v>0</v>
      </c>
      <c r="I82" s="195">
        <v>110860</v>
      </c>
      <c r="J82" s="195">
        <v>0</v>
      </c>
      <c r="K82" s="195">
        <v>881699.5</v>
      </c>
      <c r="L82" s="257">
        <f t="shared" si="4"/>
        <v>0.88169949999999997</v>
      </c>
      <c r="M82" s="195">
        <v>881699.5</v>
      </c>
      <c r="N82" s="257">
        <f t="shared" si="5"/>
        <v>0.88169949999999997</v>
      </c>
      <c r="O82" s="195">
        <v>7440.5</v>
      </c>
      <c r="P82" s="257">
        <f t="shared" si="6"/>
        <v>7.4405000000000001E-3</v>
      </c>
      <c r="Q82" s="195">
        <v>7440.5</v>
      </c>
      <c r="R82" s="260">
        <f t="shared" si="7"/>
        <v>0</v>
      </c>
    </row>
    <row r="83" spans="1:18" x14ac:dyDescent="0.25">
      <c r="A83" s="194" t="s">
        <v>542</v>
      </c>
      <c r="B83" s="194" t="s">
        <v>279</v>
      </c>
      <c r="C83" s="194" t="s">
        <v>280</v>
      </c>
      <c r="D83" s="194" t="s">
        <v>543</v>
      </c>
      <c r="E83" s="195">
        <v>17098648</v>
      </c>
      <c r="F83" s="195">
        <v>17098648</v>
      </c>
      <c r="G83" s="195">
        <v>17098648</v>
      </c>
      <c r="H83" s="195">
        <v>8065359</v>
      </c>
      <c r="I83" s="195">
        <v>1773400</v>
      </c>
      <c r="J83" s="195">
        <v>0</v>
      </c>
      <c r="K83" s="195">
        <v>4724420.09</v>
      </c>
      <c r="L83" s="257">
        <f t="shared" si="4"/>
        <v>0.27630372237617851</v>
      </c>
      <c r="M83" s="195">
        <v>3920620.09</v>
      </c>
      <c r="N83" s="257">
        <f t="shared" si="5"/>
        <v>0.22929415764334116</v>
      </c>
      <c r="O83" s="195">
        <v>2535468.91</v>
      </c>
      <c r="P83" s="257">
        <f t="shared" si="6"/>
        <v>0.14828475970731722</v>
      </c>
      <c r="Q83" s="195">
        <v>2535468.91</v>
      </c>
      <c r="R83" s="260">
        <f t="shared" si="7"/>
        <v>0</v>
      </c>
    </row>
    <row r="84" spans="1:18" x14ac:dyDescent="0.25">
      <c r="A84" s="252" t="s">
        <v>542</v>
      </c>
      <c r="B84" s="252" t="s">
        <v>281</v>
      </c>
      <c r="C84" s="252" t="s">
        <v>282</v>
      </c>
      <c r="D84" s="252" t="s">
        <v>543</v>
      </c>
      <c r="E84" s="253">
        <v>16598648</v>
      </c>
      <c r="F84" s="253">
        <v>16598648</v>
      </c>
      <c r="G84" s="253">
        <v>16598648</v>
      </c>
      <c r="H84" s="253">
        <v>8065359</v>
      </c>
      <c r="I84" s="253">
        <v>1773400</v>
      </c>
      <c r="J84" s="253">
        <v>0</v>
      </c>
      <c r="K84" s="253">
        <v>4724420.09</v>
      </c>
      <c r="L84" s="258">
        <f t="shared" si="4"/>
        <v>0.28462680153226938</v>
      </c>
      <c r="M84" s="253">
        <v>3920620.09</v>
      </c>
      <c r="N84" s="258">
        <f t="shared" si="5"/>
        <v>0.23620117072185637</v>
      </c>
      <c r="O84" s="253">
        <v>2035468.91</v>
      </c>
      <c r="P84" s="258">
        <f t="shared" si="6"/>
        <v>0.12262859661823058</v>
      </c>
      <c r="Q84" s="253">
        <v>2035468.91</v>
      </c>
      <c r="R84" s="260">
        <f t="shared" si="7"/>
        <v>0</v>
      </c>
    </row>
    <row r="85" spans="1:18" x14ac:dyDescent="0.25">
      <c r="A85" s="194" t="s">
        <v>542</v>
      </c>
      <c r="B85" s="194" t="s">
        <v>283</v>
      </c>
      <c r="C85" s="194" t="s">
        <v>284</v>
      </c>
      <c r="D85" s="194" t="s">
        <v>543</v>
      </c>
      <c r="E85" s="195">
        <v>3000000</v>
      </c>
      <c r="F85" s="195">
        <v>3000000</v>
      </c>
      <c r="G85" s="195">
        <v>3000000</v>
      </c>
      <c r="H85" s="195">
        <v>2395000</v>
      </c>
      <c r="I85" s="195">
        <v>0</v>
      </c>
      <c r="J85" s="195">
        <v>0</v>
      </c>
      <c r="K85" s="195">
        <v>0</v>
      </c>
      <c r="L85" s="257">
        <f t="shared" si="4"/>
        <v>0</v>
      </c>
      <c r="M85" s="195">
        <v>0</v>
      </c>
      <c r="N85" s="257">
        <f t="shared" si="5"/>
        <v>0</v>
      </c>
      <c r="O85" s="195">
        <v>605000</v>
      </c>
      <c r="P85" s="257">
        <f t="shared" si="6"/>
        <v>0.20166666666666666</v>
      </c>
      <c r="Q85" s="195">
        <v>605000</v>
      </c>
      <c r="R85" s="260">
        <f t="shared" si="7"/>
        <v>0</v>
      </c>
    </row>
    <row r="86" spans="1:18" x14ac:dyDescent="0.25">
      <c r="A86" s="194" t="s">
        <v>542</v>
      </c>
      <c r="B86" s="194" t="s">
        <v>285</v>
      </c>
      <c r="C86" s="194" t="s">
        <v>286</v>
      </c>
      <c r="D86" s="194" t="s">
        <v>543</v>
      </c>
      <c r="E86" s="195">
        <v>4000000</v>
      </c>
      <c r="F86" s="195">
        <v>4000000</v>
      </c>
      <c r="G86" s="195">
        <v>4000000</v>
      </c>
      <c r="H86" s="195">
        <v>3725000</v>
      </c>
      <c r="I86" s="195">
        <v>0</v>
      </c>
      <c r="J86" s="195">
        <v>0</v>
      </c>
      <c r="K86" s="195">
        <v>0</v>
      </c>
      <c r="L86" s="257">
        <f t="shared" si="4"/>
        <v>0</v>
      </c>
      <c r="M86" s="195">
        <v>0</v>
      </c>
      <c r="N86" s="257">
        <f t="shared" si="5"/>
        <v>0</v>
      </c>
      <c r="O86" s="195">
        <v>275000</v>
      </c>
      <c r="P86" s="257">
        <f t="shared" si="6"/>
        <v>6.8750000000000006E-2</v>
      </c>
      <c r="Q86" s="195">
        <v>275000</v>
      </c>
      <c r="R86" s="260">
        <f t="shared" si="7"/>
        <v>0</v>
      </c>
    </row>
    <row r="87" spans="1:18" x14ac:dyDescent="0.25">
      <c r="A87" s="194" t="s">
        <v>542</v>
      </c>
      <c r="B87" s="194" t="s">
        <v>287</v>
      </c>
      <c r="C87" s="194" t="s">
        <v>288</v>
      </c>
      <c r="D87" s="194" t="s">
        <v>543</v>
      </c>
      <c r="E87" s="195">
        <v>6337648</v>
      </c>
      <c r="F87" s="195">
        <v>6337648</v>
      </c>
      <c r="G87" s="195">
        <v>6337648</v>
      </c>
      <c r="H87" s="195">
        <v>950359</v>
      </c>
      <c r="I87" s="195">
        <v>0</v>
      </c>
      <c r="J87" s="195">
        <v>0</v>
      </c>
      <c r="K87" s="195">
        <v>4724420.09</v>
      </c>
      <c r="L87" s="257">
        <f t="shared" si="4"/>
        <v>0.74545321702940903</v>
      </c>
      <c r="M87" s="195">
        <v>3920620.09</v>
      </c>
      <c r="N87" s="257">
        <f t="shared" si="5"/>
        <v>0.61862383174325863</v>
      </c>
      <c r="O87" s="195">
        <v>662868.91</v>
      </c>
      <c r="P87" s="257">
        <f t="shared" si="6"/>
        <v>0.1045922572537951</v>
      </c>
      <c r="Q87" s="195">
        <v>662868.91</v>
      </c>
      <c r="R87" s="260">
        <f t="shared" si="7"/>
        <v>0</v>
      </c>
    </row>
    <row r="88" spans="1:18" x14ac:dyDescent="0.25">
      <c r="A88" s="194" t="s">
        <v>542</v>
      </c>
      <c r="B88" s="194" t="s">
        <v>293</v>
      </c>
      <c r="C88" s="194" t="s">
        <v>294</v>
      </c>
      <c r="D88" s="194" t="s">
        <v>543</v>
      </c>
      <c r="E88" s="195">
        <v>2261000</v>
      </c>
      <c r="F88" s="195">
        <v>2261000</v>
      </c>
      <c r="G88" s="195">
        <v>2261000</v>
      </c>
      <c r="H88" s="195">
        <v>0</v>
      </c>
      <c r="I88" s="195">
        <v>1773400</v>
      </c>
      <c r="J88" s="195">
        <v>0</v>
      </c>
      <c r="K88" s="195">
        <v>0</v>
      </c>
      <c r="L88" s="257">
        <f t="shared" si="4"/>
        <v>0</v>
      </c>
      <c r="M88" s="195">
        <v>0</v>
      </c>
      <c r="N88" s="257">
        <f t="shared" si="5"/>
        <v>0</v>
      </c>
      <c r="O88" s="195">
        <v>487600</v>
      </c>
      <c r="P88" s="257">
        <f t="shared" si="6"/>
        <v>0.21565678903140204</v>
      </c>
      <c r="Q88" s="195">
        <v>487600</v>
      </c>
      <c r="R88" s="260">
        <f t="shared" si="7"/>
        <v>0</v>
      </c>
    </row>
    <row r="89" spans="1:18" x14ac:dyDescent="0.25">
      <c r="A89" s="194" t="s">
        <v>542</v>
      </c>
      <c r="B89" s="194" t="s">
        <v>295</v>
      </c>
      <c r="C89" s="194" t="s">
        <v>296</v>
      </c>
      <c r="D89" s="194" t="s">
        <v>543</v>
      </c>
      <c r="E89" s="195">
        <v>1000000</v>
      </c>
      <c r="F89" s="195">
        <v>1000000</v>
      </c>
      <c r="G89" s="195">
        <v>1000000</v>
      </c>
      <c r="H89" s="195">
        <v>995000</v>
      </c>
      <c r="I89" s="195">
        <v>0</v>
      </c>
      <c r="J89" s="195">
        <v>0</v>
      </c>
      <c r="K89" s="195">
        <v>0</v>
      </c>
      <c r="L89" s="257">
        <f t="shared" si="4"/>
        <v>0</v>
      </c>
      <c r="M89" s="195">
        <v>0</v>
      </c>
      <c r="N89" s="257">
        <f t="shared" si="5"/>
        <v>0</v>
      </c>
      <c r="O89" s="195">
        <v>5000</v>
      </c>
      <c r="P89" s="257">
        <f t="shared" si="6"/>
        <v>5.0000000000000001E-3</v>
      </c>
      <c r="Q89" s="195">
        <v>5000</v>
      </c>
      <c r="R89" s="260">
        <f t="shared" si="7"/>
        <v>0</v>
      </c>
    </row>
    <row r="90" spans="1:18" x14ac:dyDescent="0.25">
      <c r="A90" s="194" t="s">
        <v>542</v>
      </c>
      <c r="B90" s="194" t="s">
        <v>340</v>
      </c>
      <c r="C90" s="194" t="s">
        <v>341</v>
      </c>
      <c r="D90" s="194" t="s">
        <v>543</v>
      </c>
      <c r="E90" s="195">
        <v>500000</v>
      </c>
      <c r="F90" s="195">
        <v>500000</v>
      </c>
      <c r="G90" s="195">
        <v>500000</v>
      </c>
      <c r="H90" s="195">
        <v>0</v>
      </c>
      <c r="I90" s="195">
        <v>0</v>
      </c>
      <c r="J90" s="195">
        <v>0</v>
      </c>
      <c r="K90" s="195">
        <v>0</v>
      </c>
      <c r="L90" s="257">
        <f t="shared" si="4"/>
        <v>0</v>
      </c>
      <c r="M90" s="195">
        <v>0</v>
      </c>
      <c r="N90" s="257">
        <f t="shared" si="5"/>
        <v>0</v>
      </c>
      <c r="O90" s="195">
        <v>500000</v>
      </c>
      <c r="P90" s="257">
        <f t="shared" si="6"/>
        <v>1</v>
      </c>
      <c r="Q90" s="195">
        <v>500000</v>
      </c>
      <c r="R90" s="260">
        <f t="shared" si="7"/>
        <v>0</v>
      </c>
    </row>
    <row r="91" spans="1:18" x14ac:dyDescent="0.25">
      <c r="A91" s="252" t="s">
        <v>542</v>
      </c>
      <c r="B91" s="252" t="s">
        <v>342</v>
      </c>
      <c r="C91" s="252" t="s">
        <v>343</v>
      </c>
      <c r="D91" s="252" t="s">
        <v>543</v>
      </c>
      <c r="E91" s="253">
        <v>500000</v>
      </c>
      <c r="F91" s="253">
        <v>500000</v>
      </c>
      <c r="G91" s="253">
        <v>500000</v>
      </c>
      <c r="H91" s="253">
        <v>0</v>
      </c>
      <c r="I91" s="253">
        <v>0</v>
      </c>
      <c r="J91" s="253">
        <v>0</v>
      </c>
      <c r="K91" s="253">
        <v>0</v>
      </c>
      <c r="L91" s="258">
        <f t="shared" si="4"/>
        <v>0</v>
      </c>
      <c r="M91" s="253">
        <v>0</v>
      </c>
      <c r="N91" s="258">
        <f t="shared" si="5"/>
        <v>0</v>
      </c>
      <c r="O91" s="253">
        <v>500000</v>
      </c>
      <c r="P91" s="258">
        <f t="shared" si="6"/>
        <v>1</v>
      </c>
      <c r="Q91" s="253">
        <v>500000</v>
      </c>
      <c r="R91" s="260">
        <f t="shared" si="7"/>
        <v>0</v>
      </c>
    </row>
    <row r="92" spans="1:18" x14ac:dyDescent="0.25">
      <c r="A92" s="194" t="s">
        <v>542</v>
      </c>
      <c r="B92" s="194" t="s">
        <v>251</v>
      </c>
      <c r="C92" s="194" t="s">
        <v>252</v>
      </c>
      <c r="D92" s="194" t="s">
        <v>541</v>
      </c>
      <c r="E92" s="195">
        <v>731283000</v>
      </c>
      <c r="F92" s="195">
        <v>752902365</v>
      </c>
      <c r="G92" s="195">
        <v>751754165</v>
      </c>
      <c r="H92" s="195">
        <v>0</v>
      </c>
      <c r="I92" s="195">
        <v>131556853.95</v>
      </c>
      <c r="J92" s="195">
        <v>0</v>
      </c>
      <c r="K92" s="195">
        <v>618784577.25</v>
      </c>
      <c r="L92" s="257">
        <f t="shared" si="4"/>
        <v>0.82186563094406007</v>
      </c>
      <c r="M92" s="195">
        <v>618784577.25</v>
      </c>
      <c r="N92" s="257">
        <f t="shared" si="5"/>
        <v>0.82186563094406007</v>
      </c>
      <c r="O92" s="195">
        <v>2560933.7999999998</v>
      </c>
      <c r="P92" s="257">
        <f t="shared" si="6"/>
        <v>3.4014155341376829E-3</v>
      </c>
      <c r="Q92" s="195">
        <v>1412733.8</v>
      </c>
      <c r="R92" s="260">
        <f t="shared" si="7"/>
        <v>-1148200</v>
      </c>
    </row>
    <row r="93" spans="1:18" x14ac:dyDescent="0.25">
      <c r="A93" s="194" t="s">
        <v>542</v>
      </c>
      <c r="B93" s="194" t="s">
        <v>253</v>
      </c>
      <c r="C93" s="194" t="s">
        <v>254</v>
      </c>
      <c r="D93" s="194" t="s">
        <v>541</v>
      </c>
      <c r="E93" s="195">
        <v>268185000</v>
      </c>
      <c r="F93" s="195">
        <v>268185000</v>
      </c>
      <c r="G93" s="195">
        <v>267036800</v>
      </c>
      <c r="H93" s="195">
        <v>0</v>
      </c>
      <c r="I93" s="195">
        <v>57532089.75</v>
      </c>
      <c r="J93" s="195">
        <v>0</v>
      </c>
      <c r="K93" s="195">
        <v>209504710.25</v>
      </c>
      <c r="L93" s="257">
        <f t="shared" si="4"/>
        <v>0.78119473590991295</v>
      </c>
      <c r="M93" s="195">
        <v>209504710.25</v>
      </c>
      <c r="N93" s="257">
        <f t="shared" si="5"/>
        <v>0.78119473590991295</v>
      </c>
      <c r="O93" s="195">
        <v>1148200</v>
      </c>
      <c r="P93" s="257">
        <f t="shared" si="6"/>
        <v>4.2813729328635081E-3</v>
      </c>
      <c r="Q93" s="195">
        <v>0</v>
      </c>
      <c r="R93" s="260">
        <f t="shared" si="7"/>
        <v>-1148200</v>
      </c>
    </row>
    <row r="94" spans="1:18" x14ac:dyDescent="0.25">
      <c r="A94" s="194" t="s">
        <v>542</v>
      </c>
      <c r="B94" s="194" t="s">
        <v>255</v>
      </c>
      <c r="C94" s="194" t="s">
        <v>256</v>
      </c>
      <c r="D94" s="194" t="s">
        <v>541</v>
      </c>
      <c r="E94" s="195">
        <v>2000000</v>
      </c>
      <c r="F94" s="195">
        <v>2000000</v>
      </c>
      <c r="G94" s="195">
        <v>2000000</v>
      </c>
      <c r="H94" s="195">
        <v>0</v>
      </c>
      <c r="I94" s="195">
        <v>0</v>
      </c>
      <c r="J94" s="195">
        <v>0</v>
      </c>
      <c r="K94" s="195">
        <v>2000000</v>
      </c>
      <c r="L94" s="257">
        <f t="shared" si="4"/>
        <v>1</v>
      </c>
      <c r="M94" s="195">
        <v>2000000</v>
      </c>
      <c r="N94" s="257">
        <f t="shared" si="5"/>
        <v>1</v>
      </c>
      <c r="O94" s="195">
        <v>0</v>
      </c>
      <c r="P94" s="257">
        <f t="shared" si="6"/>
        <v>0</v>
      </c>
      <c r="Q94" s="195">
        <v>0</v>
      </c>
      <c r="R94" s="260">
        <f t="shared" si="7"/>
        <v>0</v>
      </c>
    </row>
    <row r="95" spans="1:18" x14ac:dyDescent="0.25">
      <c r="A95" s="194" t="s">
        <v>542</v>
      </c>
      <c r="B95" s="194" t="s">
        <v>257</v>
      </c>
      <c r="C95" s="194" t="s">
        <v>258</v>
      </c>
      <c r="D95" s="194" t="s">
        <v>541</v>
      </c>
      <c r="E95" s="195">
        <v>250000000</v>
      </c>
      <c r="F95" s="195">
        <v>250000000</v>
      </c>
      <c r="G95" s="195">
        <v>250000000</v>
      </c>
      <c r="H95" s="195">
        <v>0</v>
      </c>
      <c r="I95" s="195">
        <v>53571427.75</v>
      </c>
      <c r="J95" s="195">
        <v>0</v>
      </c>
      <c r="K95" s="195">
        <v>196428572.25</v>
      </c>
      <c r="L95" s="257">
        <f t="shared" si="4"/>
        <v>0.78571428899999995</v>
      </c>
      <c r="M95" s="195">
        <v>196428572.25</v>
      </c>
      <c r="N95" s="257">
        <f t="shared" si="5"/>
        <v>0.78571428899999995</v>
      </c>
      <c r="O95" s="195">
        <v>0</v>
      </c>
      <c r="P95" s="257">
        <f t="shared" si="6"/>
        <v>0</v>
      </c>
      <c r="Q95" s="195">
        <v>0</v>
      </c>
      <c r="R95" s="260">
        <f t="shared" si="7"/>
        <v>0</v>
      </c>
    </row>
    <row r="96" spans="1:18" x14ac:dyDescent="0.25">
      <c r="A96" s="194" t="s">
        <v>542</v>
      </c>
      <c r="B96" s="194" t="s">
        <v>259</v>
      </c>
      <c r="C96" s="194" t="s">
        <v>602</v>
      </c>
      <c r="D96" s="194" t="s">
        <v>541</v>
      </c>
      <c r="E96" s="195">
        <v>13470000</v>
      </c>
      <c r="F96" s="195">
        <v>13470000</v>
      </c>
      <c r="G96" s="195">
        <v>12514450</v>
      </c>
      <c r="H96" s="195">
        <v>0</v>
      </c>
      <c r="I96" s="195">
        <v>3296725</v>
      </c>
      <c r="J96" s="195">
        <v>0</v>
      </c>
      <c r="K96" s="195">
        <v>9217725</v>
      </c>
      <c r="L96" s="257">
        <f t="shared" si="4"/>
        <v>0.68431514476614697</v>
      </c>
      <c r="M96" s="195">
        <v>9217725</v>
      </c>
      <c r="N96" s="257">
        <f t="shared" si="5"/>
        <v>0.68431514476614697</v>
      </c>
      <c r="O96" s="195">
        <v>955550</v>
      </c>
      <c r="P96" s="257">
        <f t="shared" si="6"/>
        <v>7.0939123979213065E-2</v>
      </c>
      <c r="Q96" s="195">
        <v>0</v>
      </c>
      <c r="R96" s="260">
        <f t="shared" si="7"/>
        <v>-955550</v>
      </c>
    </row>
    <row r="97" spans="1:18" x14ac:dyDescent="0.25">
      <c r="A97" s="194" t="s">
        <v>542</v>
      </c>
      <c r="B97" s="194" t="s">
        <v>260</v>
      </c>
      <c r="C97" s="194" t="s">
        <v>603</v>
      </c>
      <c r="D97" s="194" t="s">
        <v>541</v>
      </c>
      <c r="E97" s="195">
        <v>2715000</v>
      </c>
      <c r="F97" s="195">
        <v>2715000</v>
      </c>
      <c r="G97" s="195">
        <v>2522350</v>
      </c>
      <c r="H97" s="195">
        <v>0</v>
      </c>
      <c r="I97" s="195">
        <v>663937</v>
      </c>
      <c r="J97" s="195">
        <v>0</v>
      </c>
      <c r="K97" s="195">
        <v>1858413</v>
      </c>
      <c r="L97" s="257">
        <f t="shared" si="4"/>
        <v>0.68449834254143649</v>
      </c>
      <c r="M97" s="195">
        <v>1858413</v>
      </c>
      <c r="N97" s="257">
        <f t="shared" si="5"/>
        <v>0.68449834254143649</v>
      </c>
      <c r="O97" s="195">
        <v>192650</v>
      </c>
      <c r="P97" s="257">
        <f t="shared" si="6"/>
        <v>7.0957642725598527E-2</v>
      </c>
      <c r="Q97" s="195">
        <v>0</v>
      </c>
      <c r="R97" s="260">
        <f t="shared" si="7"/>
        <v>-192650</v>
      </c>
    </row>
    <row r="98" spans="1:18" x14ac:dyDescent="0.25">
      <c r="A98" s="194" t="s">
        <v>542</v>
      </c>
      <c r="B98" s="194" t="s">
        <v>261</v>
      </c>
      <c r="C98" s="194" t="s">
        <v>262</v>
      </c>
      <c r="D98" s="194" t="s">
        <v>541</v>
      </c>
      <c r="E98" s="195">
        <v>39757000</v>
      </c>
      <c r="F98" s="195">
        <v>61376365</v>
      </c>
      <c r="G98" s="195">
        <v>61376365</v>
      </c>
      <c r="H98" s="195">
        <v>0</v>
      </c>
      <c r="I98" s="195">
        <v>1024072.91</v>
      </c>
      <c r="J98" s="195">
        <v>0</v>
      </c>
      <c r="K98" s="195">
        <v>59117277.789999999</v>
      </c>
      <c r="L98" s="257">
        <f t="shared" si="4"/>
        <v>0.96319288035386263</v>
      </c>
      <c r="M98" s="195">
        <v>59117277.789999999</v>
      </c>
      <c r="N98" s="257">
        <f t="shared" si="5"/>
        <v>0.96319288035386263</v>
      </c>
      <c r="O98" s="195">
        <v>1235014.3</v>
      </c>
      <c r="P98" s="257">
        <f t="shared" si="6"/>
        <v>2.0121985067053091E-2</v>
      </c>
      <c r="Q98" s="195">
        <v>1235014.3</v>
      </c>
      <c r="R98" s="260">
        <f t="shared" si="7"/>
        <v>0</v>
      </c>
    </row>
    <row r="99" spans="1:18" x14ac:dyDescent="0.25">
      <c r="A99" s="194" t="s">
        <v>542</v>
      </c>
      <c r="B99" s="194" t="s">
        <v>263</v>
      </c>
      <c r="C99" s="194" t="s">
        <v>264</v>
      </c>
      <c r="D99" s="194" t="s">
        <v>541</v>
      </c>
      <c r="E99" s="195">
        <v>30000000</v>
      </c>
      <c r="F99" s="195">
        <v>51619365</v>
      </c>
      <c r="G99" s="195">
        <v>51619365</v>
      </c>
      <c r="H99" s="195">
        <v>0</v>
      </c>
      <c r="I99" s="195">
        <v>1024072.91</v>
      </c>
      <c r="J99" s="195">
        <v>0</v>
      </c>
      <c r="K99" s="195">
        <v>50595291.789999999</v>
      </c>
      <c r="L99" s="257">
        <f t="shared" si="4"/>
        <v>0.98016106532887415</v>
      </c>
      <c r="M99" s="195">
        <v>50595291.789999999</v>
      </c>
      <c r="N99" s="257">
        <f t="shared" si="5"/>
        <v>0.98016106532887415</v>
      </c>
      <c r="O99" s="195">
        <v>0.3</v>
      </c>
      <c r="P99" s="257">
        <f t="shared" si="6"/>
        <v>5.8117723842592795E-9</v>
      </c>
      <c r="Q99" s="195">
        <v>0.3</v>
      </c>
      <c r="R99" s="260">
        <f t="shared" si="7"/>
        <v>0</v>
      </c>
    </row>
    <row r="100" spans="1:18" x14ac:dyDescent="0.25">
      <c r="A100" s="194" t="s">
        <v>542</v>
      </c>
      <c r="B100" s="194" t="s">
        <v>265</v>
      </c>
      <c r="C100" s="194" t="s">
        <v>266</v>
      </c>
      <c r="D100" s="194" t="s">
        <v>541</v>
      </c>
      <c r="E100" s="195">
        <v>9757000</v>
      </c>
      <c r="F100" s="195">
        <v>9757000</v>
      </c>
      <c r="G100" s="195">
        <v>9757000</v>
      </c>
      <c r="H100" s="195">
        <v>0</v>
      </c>
      <c r="I100" s="195">
        <v>0</v>
      </c>
      <c r="J100" s="195">
        <v>0</v>
      </c>
      <c r="K100" s="195">
        <v>8521986</v>
      </c>
      <c r="L100" s="257">
        <f t="shared" si="4"/>
        <v>0.87342277339346108</v>
      </c>
      <c r="M100" s="195">
        <v>8521986</v>
      </c>
      <c r="N100" s="257">
        <f t="shared" si="5"/>
        <v>0.87342277339346108</v>
      </c>
      <c r="O100" s="195">
        <v>1235014</v>
      </c>
      <c r="P100" s="257">
        <f t="shared" si="6"/>
        <v>0.12657722660653889</v>
      </c>
      <c r="Q100" s="195">
        <v>1235014</v>
      </c>
      <c r="R100" s="260">
        <f t="shared" si="7"/>
        <v>0</v>
      </c>
    </row>
    <row r="101" spans="1:18" x14ac:dyDescent="0.25">
      <c r="A101" s="194" t="s">
        <v>542</v>
      </c>
      <c r="B101" s="194" t="s">
        <v>273</v>
      </c>
      <c r="C101" s="194" t="s">
        <v>274</v>
      </c>
      <c r="D101" s="194" t="s">
        <v>541</v>
      </c>
      <c r="E101" s="195">
        <v>423341000</v>
      </c>
      <c r="F101" s="195">
        <v>423341000</v>
      </c>
      <c r="G101" s="195">
        <v>423341000</v>
      </c>
      <c r="H101" s="195">
        <v>0</v>
      </c>
      <c r="I101" s="195">
        <v>73000691.290000007</v>
      </c>
      <c r="J101" s="195">
        <v>0</v>
      </c>
      <c r="K101" s="195">
        <v>350162589.20999998</v>
      </c>
      <c r="L101" s="257">
        <f t="shared" si="4"/>
        <v>0.8271407428290668</v>
      </c>
      <c r="M101" s="195">
        <v>350162589.20999998</v>
      </c>
      <c r="N101" s="257">
        <f t="shared" si="5"/>
        <v>0.8271407428290668</v>
      </c>
      <c r="O101" s="195">
        <v>177719.5</v>
      </c>
      <c r="P101" s="257">
        <f t="shared" si="6"/>
        <v>4.1980223980195633E-4</v>
      </c>
      <c r="Q101" s="195">
        <v>177719.5</v>
      </c>
      <c r="R101" s="260">
        <f t="shared" si="7"/>
        <v>0</v>
      </c>
    </row>
    <row r="102" spans="1:18" x14ac:dyDescent="0.25">
      <c r="A102" s="194" t="s">
        <v>542</v>
      </c>
      <c r="B102" s="194" t="s">
        <v>275</v>
      </c>
      <c r="C102" s="194" t="s">
        <v>276</v>
      </c>
      <c r="D102" s="194" t="s">
        <v>541</v>
      </c>
      <c r="E102" s="195">
        <v>406300000</v>
      </c>
      <c r="F102" s="195">
        <v>406300000</v>
      </c>
      <c r="G102" s="195">
        <v>406300000</v>
      </c>
      <c r="H102" s="195">
        <v>0</v>
      </c>
      <c r="I102" s="195">
        <v>70556835</v>
      </c>
      <c r="J102" s="195">
        <v>0</v>
      </c>
      <c r="K102" s="195">
        <v>335743165</v>
      </c>
      <c r="L102" s="257">
        <f t="shared" si="4"/>
        <v>0.8263430100910657</v>
      </c>
      <c r="M102" s="195">
        <v>335743165</v>
      </c>
      <c r="N102" s="257">
        <f t="shared" si="5"/>
        <v>0.8263430100910657</v>
      </c>
      <c r="O102" s="195">
        <v>0</v>
      </c>
      <c r="P102" s="257">
        <f t="shared" si="6"/>
        <v>0</v>
      </c>
      <c r="Q102" s="195">
        <v>0</v>
      </c>
      <c r="R102" s="260">
        <f t="shared" si="7"/>
        <v>0</v>
      </c>
    </row>
    <row r="103" spans="1:18" x14ac:dyDescent="0.25">
      <c r="A103" s="194" t="s">
        <v>542</v>
      </c>
      <c r="B103" s="194" t="s">
        <v>561</v>
      </c>
      <c r="C103" s="194" t="s">
        <v>584</v>
      </c>
      <c r="D103" s="194" t="s">
        <v>541</v>
      </c>
      <c r="E103" s="195">
        <v>13364000</v>
      </c>
      <c r="F103" s="195">
        <v>13364000</v>
      </c>
      <c r="G103" s="195">
        <v>13364000</v>
      </c>
      <c r="H103" s="195">
        <v>0</v>
      </c>
      <c r="I103" s="195">
        <v>2443856.29</v>
      </c>
      <c r="J103" s="195">
        <v>0</v>
      </c>
      <c r="K103" s="195">
        <v>10920143.710000001</v>
      </c>
      <c r="L103" s="257">
        <f t="shared" si="4"/>
        <v>0.81713137608500452</v>
      </c>
      <c r="M103" s="195">
        <v>10920143.710000001</v>
      </c>
      <c r="N103" s="257">
        <f t="shared" si="5"/>
        <v>0.81713137608500452</v>
      </c>
      <c r="O103" s="195">
        <v>0</v>
      </c>
      <c r="P103" s="257">
        <f t="shared" si="6"/>
        <v>0</v>
      </c>
      <c r="Q103" s="195">
        <v>0</v>
      </c>
      <c r="R103" s="260">
        <f t="shared" si="7"/>
        <v>0</v>
      </c>
    </row>
    <row r="104" spans="1:18" x14ac:dyDescent="0.25">
      <c r="A104" s="194" t="s">
        <v>542</v>
      </c>
      <c r="B104" s="194" t="s">
        <v>277</v>
      </c>
      <c r="C104" s="194" t="s">
        <v>278</v>
      </c>
      <c r="D104" s="194" t="s">
        <v>541</v>
      </c>
      <c r="E104" s="195">
        <v>3677000</v>
      </c>
      <c r="F104" s="195">
        <v>3677000</v>
      </c>
      <c r="G104" s="195">
        <v>3677000</v>
      </c>
      <c r="H104" s="195">
        <v>0</v>
      </c>
      <c r="I104" s="195">
        <v>0</v>
      </c>
      <c r="J104" s="195">
        <v>0</v>
      </c>
      <c r="K104" s="195">
        <v>3499280.5</v>
      </c>
      <c r="L104" s="257">
        <f t="shared" si="4"/>
        <v>0.95166725591514822</v>
      </c>
      <c r="M104" s="195">
        <v>3499280.5</v>
      </c>
      <c r="N104" s="257">
        <f t="shared" si="5"/>
        <v>0.95166725591514822</v>
      </c>
      <c r="O104" s="195">
        <v>177719.5</v>
      </c>
      <c r="P104" s="257">
        <f t="shared" si="6"/>
        <v>4.8332744084851782E-2</v>
      </c>
      <c r="Q104" s="195">
        <v>177719.5</v>
      </c>
      <c r="R104" s="260">
        <f t="shared" si="7"/>
        <v>0</v>
      </c>
    </row>
    <row r="105" spans="1:18" x14ac:dyDescent="0.25">
      <c r="A105" s="194" t="s">
        <v>544</v>
      </c>
      <c r="B105" s="194" t="s">
        <v>587</v>
      </c>
      <c r="C105" s="194" t="s">
        <v>587</v>
      </c>
      <c r="D105" s="194" t="s">
        <v>541</v>
      </c>
      <c r="E105" s="195">
        <v>1241247489</v>
      </c>
      <c r="F105" s="195">
        <v>1241247489</v>
      </c>
      <c r="G105" s="195">
        <v>1168888174</v>
      </c>
      <c r="H105" s="195">
        <v>29843298.239999998</v>
      </c>
      <c r="I105" s="195">
        <v>72877892.620000005</v>
      </c>
      <c r="J105" s="195">
        <v>3219390.17</v>
      </c>
      <c r="K105" s="195">
        <v>794364674.12</v>
      </c>
      <c r="L105" s="257">
        <f t="shared" si="4"/>
        <v>0.6399728347164455</v>
      </c>
      <c r="M105" s="195">
        <v>785156604.83000004</v>
      </c>
      <c r="N105" s="257">
        <f t="shared" si="5"/>
        <v>0.63255443558846958</v>
      </c>
      <c r="O105" s="195">
        <v>340942233.85000002</v>
      </c>
      <c r="P105" s="257">
        <f t="shared" si="6"/>
        <v>0.2746770784001159</v>
      </c>
      <c r="Q105" s="195">
        <v>268582918.85000002</v>
      </c>
      <c r="R105" s="260">
        <f t="shared" si="7"/>
        <v>-72359315</v>
      </c>
    </row>
    <row r="106" spans="1:18" x14ac:dyDescent="0.25">
      <c r="A106" s="194" t="s">
        <v>544</v>
      </c>
      <c r="B106" s="194" t="s">
        <v>92</v>
      </c>
      <c r="C106" s="194" t="s">
        <v>93</v>
      </c>
      <c r="D106" s="194" t="s">
        <v>541</v>
      </c>
      <c r="E106" s="195">
        <v>953910000</v>
      </c>
      <c r="F106" s="195">
        <v>953910000</v>
      </c>
      <c r="G106" s="195">
        <v>909547900</v>
      </c>
      <c r="H106" s="195">
        <v>0</v>
      </c>
      <c r="I106" s="195">
        <v>34292583</v>
      </c>
      <c r="J106" s="195">
        <v>0</v>
      </c>
      <c r="K106" s="195">
        <v>640628839.58000004</v>
      </c>
      <c r="L106" s="257">
        <f t="shared" si="4"/>
        <v>0.6715820565671814</v>
      </c>
      <c r="M106" s="195">
        <v>640628839.58000004</v>
      </c>
      <c r="N106" s="257">
        <f t="shared" si="5"/>
        <v>0.6715820565671814</v>
      </c>
      <c r="O106" s="195">
        <v>278988577.42000002</v>
      </c>
      <c r="P106" s="257">
        <f t="shared" si="6"/>
        <v>0.29246844819741907</v>
      </c>
      <c r="Q106" s="195">
        <v>234626477.41999999</v>
      </c>
      <c r="R106" s="260">
        <f t="shared" si="7"/>
        <v>-44362100</v>
      </c>
    </row>
    <row r="107" spans="1:18" x14ac:dyDescent="0.25">
      <c r="A107" s="194" t="s">
        <v>544</v>
      </c>
      <c r="B107" s="194" t="s">
        <v>94</v>
      </c>
      <c r="C107" s="194" t="s">
        <v>95</v>
      </c>
      <c r="D107" s="194" t="s">
        <v>541</v>
      </c>
      <c r="E107" s="195">
        <v>383841000</v>
      </c>
      <c r="F107" s="195">
        <v>383841000</v>
      </c>
      <c r="G107" s="195">
        <v>374422200</v>
      </c>
      <c r="H107" s="195">
        <v>0</v>
      </c>
      <c r="I107" s="195">
        <v>0</v>
      </c>
      <c r="J107" s="195">
        <v>0</v>
      </c>
      <c r="K107" s="195">
        <v>280423406.86000001</v>
      </c>
      <c r="L107" s="257">
        <f t="shared" si="4"/>
        <v>0.73057179108016079</v>
      </c>
      <c r="M107" s="195">
        <v>280423406.86000001</v>
      </c>
      <c r="N107" s="257">
        <f t="shared" si="5"/>
        <v>0.73057179108016079</v>
      </c>
      <c r="O107" s="195">
        <v>103417593.14</v>
      </c>
      <c r="P107" s="257">
        <f t="shared" si="6"/>
        <v>0.26942820891983921</v>
      </c>
      <c r="Q107" s="195">
        <v>93998793.140000001</v>
      </c>
      <c r="R107" s="260">
        <f t="shared" si="7"/>
        <v>-9418800</v>
      </c>
    </row>
    <row r="108" spans="1:18" x14ac:dyDescent="0.25">
      <c r="A108" s="194" t="s">
        <v>544</v>
      </c>
      <c r="B108" s="194" t="s">
        <v>96</v>
      </c>
      <c r="C108" s="194" t="s">
        <v>97</v>
      </c>
      <c r="D108" s="194" t="s">
        <v>541</v>
      </c>
      <c r="E108" s="195">
        <v>383841000</v>
      </c>
      <c r="F108" s="195">
        <v>383841000</v>
      </c>
      <c r="G108" s="195">
        <v>374422200</v>
      </c>
      <c r="H108" s="195">
        <v>0</v>
      </c>
      <c r="I108" s="195">
        <v>0</v>
      </c>
      <c r="J108" s="195">
        <v>0</v>
      </c>
      <c r="K108" s="195">
        <v>280423406.86000001</v>
      </c>
      <c r="L108" s="257">
        <f t="shared" si="4"/>
        <v>0.73057179108016079</v>
      </c>
      <c r="M108" s="195">
        <v>280423406.86000001</v>
      </c>
      <c r="N108" s="257">
        <f t="shared" si="5"/>
        <v>0.73057179108016079</v>
      </c>
      <c r="O108" s="195">
        <v>103417593.14</v>
      </c>
      <c r="P108" s="257">
        <f t="shared" si="6"/>
        <v>0.26942820891983921</v>
      </c>
      <c r="Q108" s="195">
        <v>93998793.140000001</v>
      </c>
      <c r="R108" s="260">
        <f t="shared" si="7"/>
        <v>-9418800</v>
      </c>
    </row>
    <row r="109" spans="1:18" x14ac:dyDescent="0.25">
      <c r="A109" s="194" t="s">
        <v>544</v>
      </c>
      <c r="B109" s="194" t="s">
        <v>102</v>
      </c>
      <c r="C109" s="194" t="s">
        <v>103</v>
      </c>
      <c r="D109" s="194" t="s">
        <v>541</v>
      </c>
      <c r="E109" s="195">
        <v>425514000</v>
      </c>
      <c r="F109" s="195">
        <v>425514000</v>
      </c>
      <c r="G109" s="195">
        <v>397514000</v>
      </c>
      <c r="H109" s="195">
        <v>0</v>
      </c>
      <c r="I109" s="195">
        <v>0</v>
      </c>
      <c r="J109" s="195">
        <v>0</v>
      </c>
      <c r="K109" s="195">
        <v>256886315.72</v>
      </c>
      <c r="L109" s="257">
        <f t="shared" si="4"/>
        <v>0.60370825805966433</v>
      </c>
      <c r="M109" s="195">
        <v>256886315.72</v>
      </c>
      <c r="N109" s="257">
        <f t="shared" si="5"/>
        <v>0.60370825805966433</v>
      </c>
      <c r="O109" s="195">
        <v>168627684.28</v>
      </c>
      <c r="P109" s="257">
        <f t="shared" si="6"/>
        <v>0.39629174194033567</v>
      </c>
      <c r="Q109" s="195">
        <v>140627684.28</v>
      </c>
      <c r="R109" s="260">
        <f t="shared" si="7"/>
        <v>-28000000</v>
      </c>
    </row>
    <row r="110" spans="1:18" x14ac:dyDescent="0.25">
      <c r="A110" s="194" t="s">
        <v>544</v>
      </c>
      <c r="B110" s="194" t="s">
        <v>104</v>
      </c>
      <c r="C110" s="194" t="s">
        <v>105</v>
      </c>
      <c r="D110" s="194" t="s">
        <v>541</v>
      </c>
      <c r="E110" s="195">
        <v>70660000</v>
      </c>
      <c r="F110" s="195">
        <v>70660000</v>
      </c>
      <c r="G110" s="195">
        <v>66660000</v>
      </c>
      <c r="H110" s="195">
        <v>0</v>
      </c>
      <c r="I110" s="195">
        <v>0</v>
      </c>
      <c r="J110" s="195">
        <v>0</v>
      </c>
      <c r="K110" s="195">
        <v>49921789.479999997</v>
      </c>
      <c r="L110" s="257">
        <f t="shared" si="4"/>
        <v>0.70650706878007352</v>
      </c>
      <c r="M110" s="195">
        <v>49921789.479999997</v>
      </c>
      <c r="N110" s="257">
        <f t="shared" si="5"/>
        <v>0.70650706878007352</v>
      </c>
      <c r="O110" s="195">
        <v>20738210.52</v>
      </c>
      <c r="P110" s="257">
        <f t="shared" si="6"/>
        <v>0.29349293121992642</v>
      </c>
      <c r="Q110" s="195">
        <v>16738210.52</v>
      </c>
      <c r="R110" s="260">
        <f t="shared" si="7"/>
        <v>-4000000</v>
      </c>
    </row>
    <row r="111" spans="1:18" x14ac:dyDescent="0.25">
      <c r="A111" s="194" t="s">
        <v>544</v>
      </c>
      <c r="B111" s="194" t="s">
        <v>106</v>
      </c>
      <c r="C111" s="194" t="s">
        <v>107</v>
      </c>
      <c r="D111" s="194" t="s">
        <v>541</v>
      </c>
      <c r="E111" s="195">
        <v>211191000</v>
      </c>
      <c r="F111" s="195">
        <v>211191000</v>
      </c>
      <c r="G111" s="195">
        <v>187191000</v>
      </c>
      <c r="H111" s="195">
        <v>0</v>
      </c>
      <c r="I111" s="195">
        <v>0</v>
      </c>
      <c r="J111" s="195">
        <v>0</v>
      </c>
      <c r="K111" s="195">
        <v>136808306.69</v>
      </c>
      <c r="L111" s="257">
        <f t="shared" si="4"/>
        <v>0.64779420851267333</v>
      </c>
      <c r="M111" s="195">
        <v>136808306.69</v>
      </c>
      <c r="N111" s="257">
        <f t="shared" si="5"/>
        <v>0.64779420851267333</v>
      </c>
      <c r="O111" s="195">
        <v>74382693.310000002</v>
      </c>
      <c r="P111" s="257">
        <f t="shared" si="6"/>
        <v>0.35220579148732667</v>
      </c>
      <c r="Q111" s="195">
        <v>50382693.310000002</v>
      </c>
      <c r="R111" s="260">
        <f t="shared" si="7"/>
        <v>-24000000</v>
      </c>
    </row>
    <row r="112" spans="1:18" x14ac:dyDescent="0.25">
      <c r="A112" s="194" t="s">
        <v>544</v>
      </c>
      <c r="B112" s="194" t="s">
        <v>112</v>
      </c>
      <c r="C112" s="194" t="s">
        <v>113</v>
      </c>
      <c r="D112" s="194" t="s">
        <v>543</v>
      </c>
      <c r="E112" s="195">
        <v>61518000</v>
      </c>
      <c r="F112" s="195">
        <v>61518000</v>
      </c>
      <c r="G112" s="195">
        <v>61518000</v>
      </c>
      <c r="H112" s="195">
        <v>0</v>
      </c>
      <c r="I112" s="195">
        <v>0</v>
      </c>
      <c r="J112" s="195">
        <v>0</v>
      </c>
      <c r="K112" s="195">
        <v>0</v>
      </c>
      <c r="L112" s="257">
        <f t="shared" si="4"/>
        <v>0</v>
      </c>
      <c r="M112" s="195">
        <v>0</v>
      </c>
      <c r="N112" s="257">
        <f t="shared" si="5"/>
        <v>0</v>
      </c>
      <c r="O112" s="195">
        <v>61518000</v>
      </c>
      <c r="P112" s="257">
        <f t="shared" si="6"/>
        <v>1</v>
      </c>
      <c r="Q112" s="195">
        <v>61518000</v>
      </c>
      <c r="R112" s="260">
        <f t="shared" si="7"/>
        <v>0</v>
      </c>
    </row>
    <row r="113" spans="1:18" x14ac:dyDescent="0.25">
      <c r="A113" s="194" t="s">
        <v>544</v>
      </c>
      <c r="B113" s="194" t="s">
        <v>108</v>
      </c>
      <c r="C113" s="194" t="s">
        <v>109</v>
      </c>
      <c r="D113" s="194" t="s">
        <v>541</v>
      </c>
      <c r="E113" s="195">
        <v>46480000</v>
      </c>
      <c r="F113" s="195">
        <v>46480000</v>
      </c>
      <c r="G113" s="195">
        <v>46480000</v>
      </c>
      <c r="H113" s="195">
        <v>0</v>
      </c>
      <c r="I113" s="195">
        <v>0</v>
      </c>
      <c r="J113" s="195">
        <v>0</v>
      </c>
      <c r="K113" s="195">
        <v>44448031.07</v>
      </c>
      <c r="L113" s="257">
        <f t="shared" si="4"/>
        <v>0.95628294040447503</v>
      </c>
      <c r="M113" s="195">
        <v>44448031.07</v>
      </c>
      <c r="N113" s="257">
        <f t="shared" si="5"/>
        <v>0.95628294040447503</v>
      </c>
      <c r="O113" s="195">
        <v>2031968.93</v>
      </c>
      <c r="P113" s="257">
        <f t="shared" si="6"/>
        <v>4.3717059595524958E-2</v>
      </c>
      <c r="Q113" s="195">
        <v>2031968.93</v>
      </c>
      <c r="R113" s="260">
        <f t="shared" si="7"/>
        <v>0</v>
      </c>
    </row>
    <row r="114" spans="1:18" x14ac:dyDescent="0.25">
      <c r="A114" s="194" t="s">
        <v>544</v>
      </c>
      <c r="B114" s="194" t="s">
        <v>110</v>
      </c>
      <c r="C114" s="194" t="s">
        <v>111</v>
      </c>
      <c r="D114" s="194" t="s">
        <v>541</v>
      </c>
      <c r="E114" s="195">
        <v>35665000</v>
      </c>
      <c r="F114" s="195">
        <v>35665000</v>
      </c>
      <c r="G114" s="195">
        <v>35665000</v>
      </c>
      <c r="H114" s="195">
        <v>0</v>
      </c>
      <c r="I114" s="195">
        <v>0</v>
      </c>
      <c r="J114" s="195">
        <v>0</v>
      </c>
      <c r="K114" s="195">
        <v>25708188.48</v>
      </c>
      <c r="L114" s="257">
        <f t="shared" si="4"/>
        <v>0.72082401458012058</v>
      </c>
      <c r="M114" s="195">
        <v>25708188.48</v>
      </c>
      <c r="N114" s="257">
        <f t="shared" si="5"/>
        <v>0.72082401458012058</v>
      </c>
      <c r="O114" s="195">
        <v>9956811.5199999996</v>
      </c>
      <c r="P114" s="257">
        <f t="shared" si="6"/>
        <v>0.27917598541987942</v>
      </c>
      <c r="Q114" s="195">
        <v>9956811.5199999996</v>
      </c>
      <c r="R114" s="260">
        <f t="shared" si="7"/>
        <v>0</v>
      </c>
    </row>
    <row r="115" spans="1:18" x14ac:dyDescent="0.25">
      <c r="A115" s="194" t="s">
        <v>544</v>
      </c>
      <c r="B115" s="194" t="s">
        <v>114</v>
      </c>
      <c r="C115" s="194" t="s">
        <v>115</v>
      </c>
      <c r="D115" s="194" t="s">
        <v>541</v>
      </c>
      <c r="E115" s="195">
        <v>72913000</v>
      </c>
      <c r="F115" s="195">
        <v>72913000</v>
      </c>
      <c r="G115" s="195">
        <v>69410800</v>
      </c>
      <c r="H115" s="195">
        <v>0</v>
      </c>
      <c r="I115" s="195">
        <v>17294218</v>
      </c>
      <c r="J115" s="195">
        <v>0</v>
      </c>
      <c r="K115" s="195">
        <v>52116582</v>
      </c>
      <c r="L115" s="257">
        <f t="shared" si="4"/>
        <v>0.71477763910413783</v>
      </c>
      <c r="M115" s="195">
        <v>52116582</v>
      </c>
      <c r="N115" s="257">
        <f t="shared" si="5"/>
        <v>0.71477763910413783</v>
      </c>
      <c r="O115" s="195">
        <v>3502200</v>
      </c>
      <c r="P115" s="257">
        <f t="shared" si="6"/>
        <v>4.803258678150673E-2</v>
      </c>
      <c r="Q115" s="195">
        <v>0</v>
      </c>
      <c r="R115" s="260">
        <f t="shared" si="7"/>
        <v>-3502200</v>
      </c>
    </row>
    <row r="116" spans="1:18" x14ac:dyDescent="0.25">
      <c r="A116" s="194" t="s">
        <v>544</v>
      </c>
      <c r="B116" s="194" t="s">
        <v>301</v>
      </c>
      <c r="C116" s="194" t="s">
        <v>597</v>
      </c>
      <c r="D116" s="194" t="s">
        <v>541</v>
      </c>
      <c r="E116" s="195">
        <v>69174000</v>
      </c>
      <c r="F116" s="195">
        <v>69174000</v>
      </c>
      <c r="G116" s="195">
        <v>65851400</v>
      </c>
      <c r="H116" s="195">
        <v>0</v>
      </c>
      <c r="I116" s="195">
        <v>16407065</v>
      </c>
      <c r="J116" s="195">
        <v>0</v>
      </c>
      <c r="K116" s="195">
        <v>49444335</v>
      </c>
      <c r="L116" s="257">
        <f t="shared" si="4"/>
        <v>0.71478207129846472</v>
      </c>
      <c r="M116" s="195">
        <v>49444335</v>
      </c>
      <c r="N116" s="257">
        <f t="shared" si="5"/>
        <v>0.71478207129846472</v>
      </c>
      <c r="O116" s="195">
        <v>3322600</v>
      </c>
      <c r="P116" s="257">
        <f t="shared" si="6"/>
        <v>4.8032497759273714E-2</v>
      </c>
      <c r="Q116" s="195">
        <v>0</v>
      </c>
      <c r="R116" s="260">
        <f t="shared" si="7"/>
        <v>-3322600</v>
      </c>
    </row>
    <row r="117" spans="1:18" x14ac:dyDescent="0.25">
      <c r="A117" s="194" t="s">
        <v>544</v>
      </c>
      <c r="B117" s="194" t="s">
        <v>302</v>
      </c>
      <c r="C117" s="194" t="s">
        <v>583</v>
      </c>
      <c r="D117" s="194" t="s">
        <v>541</v>
      </c>
      <c r="E117" s="195">
        <v>3739000</v>
      </c>
      <c r="F117" s="195">
        <v>3739000</v>
      </c>
      <c r="G117" s="195">
        <v>3559400</v>
      </c>
      <c r="H117" s="195">
        <v>0</v>
      </c>
      <c r="I117" s="195">
        <v>887153</v>
      </c>
      <c r="J117" s="195">
        <v>0</v>
      </c>
      <c r="K117" s="195">
        <v>2672247</v>
      </c>
      <c r="L117" s="257">
        <f t="shared" si="4"/>
        <v>0.71469564054560042</v>
      </c>
      <c r="M117" s="195">
        <v>2672247</v>
      </c>
      <c r="N117" s="257">
        <f t="shared" si="5"/>
        <v>0.71469564054560042</v>
      </c>
      <c r="O117" s="195">
        <v>179600</v>
      </c>
      <c r="P117" s="257">
        <f t="shared" si="6"/>
        <v>4.80342337523402E-2</v>
      </c>
      <c r="Q117" s="195">
        <v>0</v>
      </c>
      <c r="R117" s="260">
        <f t="shared" si="7"/>
        <v>-179600</v>
      </c>
    </row>
    <row r="118" spans="1:18" x14ac:dyDescent="0.25">
      <c r="A118" s="194" t="s">
        <v>544</v>
      </c>
      <c r="B118" s="194" t="s">
        <v>118</v>
      </c>
      <c r="C118" s="194" t="s">
        <v>119</v>
      </c>
      <c r="D118" s="194" t="s">
        <v>541</v>
      </c>
      <c r="E118" s="195">
        <v>71642000</v>
      </c>
      <c r="F118" s="195">
        <v>71642000</v>
      </c>
      <c r="G118" s="195">
        <v>68200900</v>
      </c>
      <c r="H118" s="195">
        <v>0</v>
      </c>
      <c r="I118" s="195">
        <v>16998365</v>
      </c>
      <c r="J118" s="195">
        <v>0</v>
      </c>
      <c r="K118" s="195">
        <v>51202535</v>
      </c>
      <c r="L118" s="257">
        <f t="shared" si="4"/>
        <v>0.71469996650009771</v>
      </c>
      <c r="M118" s="195">
        <v>51202535</v>
      </c>
      <c r="N118" s="257">
        <f t="shared" si="5"/>
        <v>0.71469996650009771</v>
      </c>
      <c r="O118" s="195">
        <v>3441100</v>
      </c>
      <c r="P118" s="257">
        <f t="shared" si="6"/>
        <v>4.8031880740347838E-2</v>
      </c>
      <c r="Q118" s="195">
        <v>0</v>
      </c>
      <c r="R118" s="260">
        <f t="shared" si="7"/>
        <v>-3441100</v>
      </c>
    </row>
    <row r="119" spans="1:18" x14ac:dyDescent="0.25">
      <c r="A119" s="194" t="s">
        <v>544</v>
      </c>
      <c r="B119" s="194" t="s">
        <v>303</v>
      </c>
      <c r="C119" s="194" t="s">
        <v>598</v>
      </c>
      <c r="D119" s="194" t="s">
        <v>541</v>
      </c>
      <c r="E119" s="195">
        <v>37990000</v>
      </c>
      <c r="F119" s="195">
        <v>37990000</v>
      </c>
      <c r="G119" s="195">
        <v>36165300</v>
      </c>
      <c r="H119" s="195">
        <v>0</v>
      </c>
      <c r="I119" s="195">
        <v>9012924</v>
      </c>
      <c r="J119" s="195">
        <v>0</v>
      </c>
      <c r="K119" s="195">
        <v>27152376</v>
      </c>
      <c r="L119" s="257">
        <f t="shared" si="4"/>
        <v>0.71472429586733355</v>
      </c>
      <c r="M119" s="195">
        <v>27152376</v>
      </c>
      <c r="N119" s="257">
        <f t="shared" si="5"/>
        <v>0.71472429586733355</v>
      </c>
      <c r="O119" s="195">
        <v>1824700</v>
      </c>
      <c r="P119" s="257">
        <f t="shared" si="6"/>
        <v>4.8031060805475125E-2</v>
      </c>
      <c r="Q119" s="195">
        <v>0</v>
      </c>
      <c r="R119" s="260">
        <f t="shared" si="7"/>
        <v>-1824700</v>
      </c>
    </row>
    <row r="120" spans="1:18" x14ac:dyDescent="0.25">
      <c r="A120" s="194" t="s">
        <v>544</v>
      </c>
      <c r="B120" s="194" t="s">
        <v>304</v>
      </c>
      <c r="C120" s="194" t="s">
        <v>599</v>
      </c>
      <c r="D120" s="194" t="s">
        <v>541</v>
      </c>
      <c r="E120" s="195">
        <v>11217000</v>
      </c>
      <c r="F120" s="195">
        <v>11217000</v>
      </c>
      <c r="G120" s="195">
        <v>10678200</v>
      </c>
      <c r="H120" s="195">
        <v>0</v>
      </c>
      <c r="I120" s="195">
        <v>2661484</v>
      </c>
      <c r="J120" s="195">
        <v>0</v>
      </c>
      <c r="K120" s="195">
        <v>8016716</v>
      </c>
      <c r="L120" s="257">
        <f t="shared" si="4"/>
        <v>0.71469341178568246</v>
      </c>
      <c r="M120" s="195">
        <v>8016716</v>
      </c>
      <c r="N120" s="257">
        <f t="shared" si="5"/>
        <v>0.71469341178568246</v>
      </c>
      <c r="O120" s="195">
        <v>538800</v>
      </c>
      <c r="P120" s="257">
        <f t="shared" si="6"/>
        <v>4.80342337523402E-2</v>
      </c>
      <c r="Q120" s="195">
        <v>0</v>
      </c>
      <c r="R120" s="260">
        <f t="shared" si="7"/>
        <v>-538800</v>
      </c>
    </row>
    <row r="121" spans="1:18" x14ac:dyDescent="0.25">
      <c r="A121" s="194" t="s">
        <v>544</v>
      </c>
      <c r="B121" s="194" t="s">
        <v>305</v>
      </c>
      <c r="C121" s="194" t="s">
        <v>600</v>
      </c>
      <c r="D121" s="194" t="s">
        <v>541</v>
      </c>
      <c r="E121" s="195">
        <v>22435000</v>
      </c>
      <c r="F121" s="195">
        <v>22435000</v>
      </c>
      <c r="G121" s="195">
        <v>21357400</v>
      </c>
      <c r="H121" s="195">
        <v>0</v>
      </c>
      <c r="I121" s="195">
        <v>5323957</v>
      </c>
      <c r="J121" s="195">
        <v>0</v>
      </c>
      <c r="K121" s="195">
        <v>16033443</v>
      </c>
      <c r="L121" s="257">
        <f t="shared" si="4"/>
        <v>0.71466204591040783</v>
      </c>
      <c r="M121" s="195">
        <v>16033443</v>
      </c>
      <c r="N121" s="257">
        <f t="shared" si="5"/>
        <v>0.71466204591040783</v>
      </c>
      <c r="O121" s="195">
        <v>1077600</v>
      </c>
      <c r="P121" s="257">
        <f t="shared" si="6"/>
        <v>4.8032092712279921E-2</v>
      </c>
      <c r="Q121" s="195">
        <v>0</v>
      </c>
      <c r="R121" s="260">
        <f t="shared" si="7"/>
        <v>-1077600</v>
      </c>
    </row>
    <row r="122" spans="1:18" x14ac:dyDescent="0.25">
      <c r="A122" s="194" t="s">
        <v>544</v>
      </c>
      <c r="B122" s="194" t="s">
        <v>123</v>
      </c>
      <c r="C122" s="194" t="s">
        <v>124</v>
      </c>
      <c r="D122" s="194" t="s">
        <v>541</v>
      </c>
      <c r="E122" s="195">
        <v>155922650</v>
      </c>
      <c r="F122" s="195">
        <v>155922650</v>
      </c>
      <c r="G122" s="195">
        <v>141090650</v>
      </c>
      <c r="H122" s="195">
        <v>1449814.24</v>
      </c>
      <c r="I122" s="195">
        <v>15816135.32</v>
      </c>
      <c r="J122" s="195">
        <v>0</v>
      </c>
      <c r="K122" s="195">
        <v>99726820.310000002</v>
      </c>
      <c r="L122" s="257">
        <f t="shared" si="4"/>
        <v>0.63959162001158909</v>
      </c>
      <c r="M122" s="195">
        <v>91957304.040000007</v>
      </c>
      <c r="N122" s="257">
        <f t="shared" si="5"/>
        <v>0.58976232151005648</v>
      </c>
      <c r="O122" s="195">
        <v>38929880.130000003</v>
      </c>
      <c r="P122" s="257">
        <f t="shared" si="6"/>
        <v>0.24967431049946884</v>
      </c>
      <c r="Q122" s="195">
        <v>24097880.129999999</v>
      </c>
      <c r="R122" s="260">
        <f t="shared" si="7"/>
        <v>-14832000</v>
      </c>
    </row>
    <row r="123" spans="1:18" x14ac:dyDescent="0.25">
      <c r="A123" s="194" t="s">
        <v>544</v>
      </c>
      <c r="B123" s="194" t="s">
        <v>125</v>
      </c>
      <c r="C123" s="194" t="s">
        <v>126</v>
      </c>
      <c r="D123" s="194" t="s">
        <v>541</v>
      </c>
      <c r="E123" s="195">
        <v>78966646</v>
      </c>
      <c r="F123" s="195">
        <v>78966646</v>
      </c>
      <c r="G123" s="195">
        <v>73516646</v>
      </c>
      <c r="H123" s="195">
        <v>1429814.24</v>
      </c>
      <c r="I123" s="195">
        <v>5952249.7999999998</v>
      </c>
      <c r="J123" s="195">
        <v>0</v>
      </c>
      <c r="K123" s="195">
        <v>64443125.670000002</v>
      </c>
      <c r="L123" s="257">
        <f t="shared" si="4"/>
        <v>0.8160803191514554</v>
      </c>
      <c r="M123" s="195">
        <v>58934686.43</v>
      </c>
      <c r="N123" s="257">
        <f t="shared" si="5"/>
        <v>0.74632378878039218</v>
      </c>
      <c r="O123" s="195">
        <v>7141456.29</v>
      </c>
      <c r="P123" s="257">
        <f t="shared" si="6"/>
        <v>9.0436363347634136E-2</v>
      </c>
      <c r="Q123" s="195">
        <v>1691456.29</v>
      </c>
      <c r="R123" s="260">
        <f t="shared" si="7"/>
        <v>-5450000</v>
      </c>
    </row>
    <row r="124" spans="1:18" x14ac:dyDescent="0.25">
      <c r="A124" s="194" t="s">
        <v>544</v>
      </c>
      <c r="B124" s="194" t="s">
        <v>306</v>
      </c>
      <c r="C124" s="194" t="s">
        <v>307</v>
      </c>
      <c r="D124" s="194" t="s">
        <v>541</v>
      </c>
      <c r="E124" s="195">
        <v>67899341</v>
      </c>
      <c r="F124" s="195">
        <v>67899341</v>
      </c>
      <c r="G124" s="195">
        <v>62449341</v>
      </c>
      <c r="H124" s="195">
        <v>0</v>
      </c>
      <c r="I124" s="195">
        <v>5839023.7300000004</v>
      </c>
      <c r="J124" s="195">
        <v>0</v>
      </c>
      <c r="K124" s="195">
        <v>55911759.18</v>
      </c>
      <c r="L124" s="257">
        <f t="shared" si="4"/>
        <v>0.82345068974969871</v>
      </c>
      <c r="M124" s="195">
        <v>50403319.939999998</v>
      </c>
      <c r="N124" s="257">
        <f t="shared" si="5"/>
        <v>0.74232414037715033</v>
      </c>
      <c r="O124" s="195">
        <v>6148558.0899999999</v>
      </c>
      <c r="P124" s="257">
        <f t="shared" si="6"/>
        <v>9.0554017159017786E-2</v>
      </c>
      <c r="Q124" s="195">
        <v>698558.09</v>
      </c>
      <c r="R124" s="260">
        <f t="shared" si="7"/>
        <v>-5450000</v>
      </c>
    </row>
    <row r="125" spans="1:18" x14ac:dyDescent="0.25">
      <c r="A125" s="194" t="s">
        <v>544</v>
      </c>
      <c r="B125" s="194" t="s">
        <v>127</v>
      </c>
      <c r="C125" s="194" t="s">
        <v>128</v>
      </c>
      <c r="D125" s="194" t="s">
        <v>541</v>
      </c>
      <c r="E125" s="195">
        <v>11067305</v>
      </c>
      <c r="F125" s="195">
        <v>11067305</v>
      </c>
      <c r="G125" s="195">
        <v>11067305</v>
      </c>
      <c r="H125" s="195">
        <v>1429814.24</v>
      </c>
      <c r="I125" s="195">
        <v>113226.07</v>
      </c>
      <c r="J125" s="195">
        <v>0</v>
      </c>
      <c r="K125" s="195">
        <v>8531366.4900000002</v>
      </c>
      <c r="L125" s="257">
        <f t="shared" si="4"/>
        <v>0.77086214665629982</v>
      </c>
      <c r="M125" s="195">
        <v>8531366.4900000002</v>
      </c>
      <c r="N125" s="257">
        <f t="shared" si="5"/>
        <v>0.77086214665629982</v>
      </c>
      <c r="O125" s="195">
        <v>992898.2</v>
      </c>
      <c r="P125" s="257">
        <f t="shared" si="6"/>
        <v>8.9714542067829514E-2</v>
      </c>
      <c r="Q125" s="195">
        <v>992898.2</v>
      </c>
      <c r="R125" s="260">
        <f t="shared" si="7"/>
        <v>0</v>
      </c>
    </row>
    <row r="126" spans="1:18" x14ac:dyDescent="0.25">
      <c r="A126" s="194" t="s">
        <v>544</v>
      </c>
      <c r="B126" s="194" t="s">
        <v>131</v>
      </c>
      <c r="C126" s="194" t="s">
        <v>132</v>
      </c>
      <c r="D126" s="194" t="s">
        <v>541</v>
      </c>
      <c r="E126" s="195">
        <v>14518657</v>
      </c>
      <c r="F126" s="195">
        <v>14482767</v>
      </c>
      <c r="G126" s="195">
        <v>14332767</v>
      </c>
      <c r="H126" s="195">
        <v>0</v>
      </c>
      <c r="I126" s="195">
        <v>2319401.52</v>
      </c>
      <c r="J126" s="195">
        <v>0</v>
      </c>
      <c r="K126" s="195">
        <v>11967516.369999999</v>
      </c>
      <c r="L126" s="257">
        <f t="shared" si="4"/>
        <v>0.82632803317211412</v>
      </c>
      <c r="M126" s="195">
        <v>11054164.92</v>
      </c>
      <c r="N126" s="257">
        <f t="shared" si="5"/>
        <v>0.76326332668336094</v>
      </c>
      <c r="O126" s="195">
        <v>195849.11</v>
      </c>
      <c r="P126" s="257">
        <f t="shared" si="6"/>
        <v>1.3522906914127665E-2</v>
      </c>
      <c r="Q126" s="195">
        <v>45849.11</v>
      </c>
      <c r="R126" s="260">
        <f t="shared" si="7"/>
        <v>-150000</v>
      </c>
    </row>
    <row r="127" spans="1:18" x14ac:dyDescent="0.25">
      <c r="A127" s="194" t="s">
        <v>544</v>
      </c>
      <c r="B127" s="194" t="s">
        <v>133</v>
      </c>
      <c r="C127" s="194" t="s">
        <v>134</v>
      </c>
      <c r="D127" s="194" t="s">
        <v>541</v>
      </c>
      <c r="E127" s="195">
        <v>1280000</v>
      </c>
      <c r="F127" s="195">
        <v>1244110</v>
      </c>
      <c r="G127" s="195">
        <v>1244110</v>
      </c>
      <c r="H127" s="195">
        <v>0</v>
      </c>
      <c r="I127" s="195">
        <v>600000</v>
      </c>
      <c r="J127" s="195">
        <v>0</v>
      </c>
      <c r="K127" s="195">
        <v>599159</v>
      </c>
      <c r="L127" s="257">
        <f t="shared" si="4"/>
        <v>0.48159648262613436</v>
      </c>
      <c r="M127" s="195">
        <v>599159</v>
      </c>
      <c r="N127" s="257">
        <f t="shared" si="5"/>
        <v>0.48159648262613436</v>
      </c>
      <c r="O127" s="195">
        <v>44951</v>
      </c>
      <c r="P127" s="257">
        <f t="shared" si="6"/>
        <v>3.6131049505268825E-2</v>
      </c>
      <c r="Q127" s="195">
        <v>44951</v>
      </c>
      <c r="R127" s="260">
        <f t="shared" si="7"/>
        <v>0</v>
      </c>
    </row>
    <row r="128" spans="1:18" x14ac:dyDescent="0.25">
      <c r="A128" s="194" t="s">
        <v>544</v>
      </c>
      <c r="B128" s="194" t="s">
        <v>135</v>
      </c>
      <c r="C128" s="194" t="s">
        <v>136</v>
      </c>
      <c r="D128" s="194" t="s">
        <v>541</v>
      </c>
      <c r="E128" s="195">
        <v>3685715</v>
      </c>
      <c r="F128" s="195">
        <v>3685715</v>
      </c>
      <c r="G128" s="195">
        <v>3535715</v>
      </c>
      <c r="H128" s="195">
        <v>0</v>
      </c>
      <c r="I128" s="195">
        <v>1170080</v>
      </c>
      <c r="J128" s="195">
        <v>0</v>
      </c>
      <c r="K128" s="195">
        <v>2364872</v>
      </c>
      <c r="L128" s="257">
        <f t="shared" si="4"/>
        <v>0.64163181363724542</v>
      </c>
      <c r="M128" s="195">
        <v>2364872</v>
      </c>
      <c r="N128" s="257">
        <f t="shared" si="5"/>
        <v>0.64163181363724542</v>
      </c>
      <c r="O128" s="195">
        <v>150763</v>
      </c>
      <c r="P128" s="257">
        <f t="shared" si="6"/>
        <v>4.0904681995216664E-2</v>
      </c>
      <c r="Q128" s="195">
        <v>763</v>
      </c>
      <c r="R128" s="260">
        <f t="shared" si="7"/>
        <v>-150000</v>
      </c>
    </row>
    <row r="129" spans="1:18" x14ac:dyDescent="0.25">
      <c r="A129" s="194" t="s">
        <v>544</v>
      </c>
      <c r="B129" s="194" t="s">
        <v>139</v>
      </c>
      <c r="C129" s="194" t="s">
        <v>140</v>
      </c>
      <c r="D129" s="194" t="s">
        <v>541</v>
      </c>
      <c r="E129" s="195">
        <v>9552942</v>
      </c>
      <c r="F129" s="195">
        <v>9552942</v>
      </c>
      <c r="G129" s="195">
        <v>9552942</v>
      </c>
      <c r="H129" s="195">
        <v>0</v>
      </c>
      <c r="I129" s="195">
        <v>549321.52</v>
      </c>
      <c r="J129" s="195">
        <v>0</v>
      </c>
      <c r="K129" s="195">
        <v>9003485.3699999992</v>
      </c>
      <c r="L129" s="257">
        <f t="shared" si="4"/>
        <v>0.9424829931972788</v>
      </c>
      <c r="M129" s="195">
        <v>8090133.9199999999</v>
      </c>
      <c r="N129" s="257">
        <f t="shared" si="5"/>
        <v>0.84687355162420119</v>
      </c>
      <c r="O129" s="195">
        <v>135.11000000000001</v>
      </c>
      <c r="P129" s="257">
        <f t="shared" si="6"/>
        <v>1.4143286958091027E-5</v>
      </c>
      <c r="Q129" s="195">
        <v>135.11000000000001</v>
      </c>
      <c r="R129" s="260">
        <f t="shared" si="7"/>
        <v>0</v>
      </c>
    </row>
    <row r="130" spans="1:18" x14ac:dyDescent="0.25">
      <c r="A130" s="194" t="s">
        <v>544</v>
      </c>
      <c r="B130" s="194" t="s">
        <v>143</v>
      </c>
      <c r="C130" s="194" t="s">
        <v>144</v>
      </c>
      <c r="D130" s="194" t="s">
        <v>541</v>
      </c>
      <c r="E130" s="195">
        <v>16719000</v>
      </c>
      <c r="F130" s="195">
        <v>14451000</v>
      </c>
      <c r="G130" s="195">
        <v>13701000</v>
      </c>
      <c r="H130" s="195">
        <v>20000</v>
      </c>
      <c r="I130" s="195">
        <v>111800</v>
      </c>
      <c r="J130" s="195">
        <v>0</v>
      </c>
      <c r="K130" s="195">
        <v>93170</v>
      </c>
      <c r="L130" s="257">
        <f t="shared" si="4"/>
        <v>6.4473046847968998E-3</v>
      </c>
      <c r="M130" s="195">
        <v>93170</v>
      </c>
      <c r="N130" s="257">
        <f t="shared" si="5"/>
        <v>6.4473046847968998E-3</v>
      </c>
      <c r="O130" s="195">
        <v>14226030</v>
      </c>
      <c r="P130" s="257">
        <f t="shared" si="6"/>
        <v>0.98443221922358315</v>
      </c>
      <c r="Q130" s="195">
        <v>13476030</v>
      </c>
      <c r="R130" s="260">
        <f t="shared" si="7"/>
        <v>-750000</v>
      </c>
    </row>
    <row r="131" spans="1:18" x14ac:dyDescent="0.25">
      <c r="A131" s="194" t="s">
        <v>544</v>
      </c>
      <c r="B131" s="194" t="s">
        <v>145</v>
      </c>
      <c r="C131" s="194" t="s">
        <v>146</v>
      </c>
      <c r="D131" s="194" t="s">
        <v>541</v>
      </c>
      <c r="E131" s="195">
        <v>719000</v>
      </c>
      <c r="F131" s="195">
        <v>519000</v>
      </c>
      <c r="G131" s="195">
        <v>219000</v>
      </c>
      <c r="H131" s="195">
        <v>0</v>
      </c>
      <c r="I131" s="195">
        <v>111800</v>
      </c>
      <c r="J131" s="195">
        <v>0</v>
      </c>
      <c r="K131" s="195">
        <v>88170</v>
      </c>
      <c r="L131" s="257">
        <f t="shared" ref="L131:L194" si="8">+K131/F131</f>
        <v>0.16988439306358383</v>
      </c>
      <c r="M131" s="195">
        <v>88170</v>
      </c>
      <c r="N131" s="257">
        <f t="shared" ref="N131:N194" si="9">+M131/F131</f>
        <v>0.16988439306358383</v>
      </c>
      <c r="O131" s="195">
        <v>319030</v>
      </c>
      <c r="P131" s="257">
        <f t="shared" ref="P131:P194" si="10">+O131/F131</f>
        <v>0.61470134874759152</v>
      </c>
      <c r="Q131" s="195">
        <v>19030</v>
      </c>
      <c r="R131" s="260">
        <f t="shared" si="7"/>
        <v>-300000</v>
      </c>
    </row>
    <row r="132" spans="1:18" x14ac:dyDescent="0.25">
      <c r="A132" s="252" t="s">
        <v>544</v>
      </c>
      <c r="B132" s="252" t="s">
        <v>147</v>
      </c>
      <c r="C132" s="252" t="s">
        <v>148</v>
      </c>
      <c r="D132" s="252" t="s">
        <v>541</v>
      </c>
      <c r="E132" s="253">
        <v>16000000</v>
      </c>
      <c r="F132" s="253">
        <v>13932000</v>
      </c>
      <c r="G132" s="253">
        <v>13482000</v>
      </c>
      <c r="H132" s="253">
        <v>20000</v>
      </c>
      <c r="I132" s="253">
        <v>0</v>
      </c>
      <c r="J132" s="253">
        <v>0</v>
      </c>
      <c r="K132" s="253">
        <v>5000</v>
      </c>
      <c r="L132" s="258">
        <f t="shared" si="8"/>
        <v>3.5888601780074649E-4</v>
      </c>
      <c r="M132" s="253">
        <v>5000</v>
      </c>
      <c r="N132" s="258">
        <f t="shared" si="9"/>
        <v>3.5888601780074649E-4</v>
      </c>
      <c r="O132" s="253">
        <v>13907000</v>
      </c>
      <c r="P132" s="258">
        <f t="shared" si="10"/>
        <v>0.99820556991099629</v>
      </c>
      <c r="Q132" s="253">
        <v>13457000</v>
      </c>
      <c r="R132" s="260">
        <f t="shared" si="7"/>
        <v>-450000</v>
      </c>
    </row>
    <row r="133" spans="1:18" x14ac:dyDescent="0.25">
      <c r="A133" s="194" t="s">
        <v>544</v>
      </c>
      <c r="B133" s="194" t="s">
        <v>151</v>
      </c>
      <c r="C133" s="194" t="s">
        <v>152</v>
      </c>
      <c r="D133" s="194" t="s">
        <v>541</v>
      </c>
      <c r="E133" s="195">
        <v>2200000</v>
      </c>
      <c r="F133" s="195">
        <v>1950000</v>
      </c>
      <c r="G133" s="195">
        <v>1618000</v>
      </c>
      <c r="H133" s="195">
        <v>0</v>
      </c>
      <c r="I133" s="195">
        <v>63455</v>
      </c>
      <c r="J133" s="195">
        <v>0</v>
      </c>
      <c r="K133" s="195">
        <v>1353785</v>
      </c>
      <c r="L133" s="257">
        <f t="shared" si="8"/>
        <v>0.6942487179487179</v>
      </c>
      <c r="M133" s="195">
        <v>1353785</v>
      </c>
      <c r="N133" s="257">
        <f t="shared" si="9"/>
        <v>0.6942487179487179</v>
      </c>
      <c r="O133" s="195">
        <v>532760</v>
      </c>
      <c r="P133" s="257">
        <f t="shared" si="10"/>
        <v>0.27321025641025642</v>
      </c>
      <c r="Q133" s="195">
        <v>200760</v>
      </c>
      <c r="R133" s="260">
        <f t="shared" ref="R133:R196" si="11">G133-F133</f>
        <v>-332000</v>
      </c>
    </row>
    <row r="134" spans="1:18" x14ac:dyDescent="0.25">
      <c r="A134" s="194" t="s">
        <v>544</v>
      </c>
      <c r="B134" s="194" t="s">
        <v>154</v>
      </c>
      <c r="C134" s="194" t="s">
        <v>155</v>
      </c>
      <c r="D134" s="194" t="s">
        <v>541</v>
      </c>
      <c r="E134" s="195">
        <v>1200000</v>
      </c>
      <c r="F134" s="195">
        <v>1100000</v>
      </c>
      <c r="G134" s="195">
        <v>1018000</v>
      </c>
      <c r="H134" s="195">
        <v>0</v>
      </c>
      <c r="I134" s="195">
        <v>0</v>
      </c>
      <c r="J134" s="195">
        <v>0</v>
      </c>
      <c r="K134" s="195">
        <v>1017240</v>
      </c>
      <c r="L134" s="257">
        <f t="shared" si="8"/>
        <v>0.92476363636363634</v>
      </c>
      <c r="M134" s="195">
        <v>1017240</v>
      </c>
      <c r="N134" s="257">
        <f t="shared" si="9"/>
        <v>0.92476363636363634</v>
      </c>
      <c r="O134" s="195">
        <v>82760</v>
      </c>
      <c r="P134" s="257">
        <f t="shared" si="10"/>
        <v>7.5236363636363643E-2</v>
      </c>
      <c r="Q134" s="195">
        <v>760</v>
      </c>
      <c r="R134" s="260">
        <f t="shared" si="11"/>
        <v>-82000</v>
      </c>
    </row>
    <row r="135" spans="1:18" x14ac:dyDescent="0.25">
      <c r="A135" s="194" t="s">
        <v>544</v>
      </c>
      <c r="B135" s="194" t="s">
        <v>156</v>
      </c>
      <c r="C135" s="194" t="s">
        <v>157</v>
      </c>
      <c r="D135" s="194" t="s">
        <v>541</v>
      </c>
      <c r="E135" s="195">
        <v>1000000</v>
      </c>
      <c r="F135" s="195">
        <v>850000</v>
      </c>
      <c r="G135" s="195">
        <v>600000</v>
      </c>
      <c r="H135" s="195">
        <v>0</v>
      </c>
      <c r="I135" s="195">
        <v>63455</v>
      </c>
      <c r="J135" s="195">
        <v>0</v>
      </c>
      <c r="K135" s="195">
        <v>336545</v>
      </c>
      <c r="L135" s="257">
        <f t="shared" si="8"/>
        <v>0.39593529411764705</v>
      </c>
      <c r="M135" s="195">
        <v>336545</v>
      </c>
      <c r="N135" s="257">
        <f t="shared" si="9"/>
        <v>0.39593529411764705</v>
      </c>
      <c r="O135" s="195">
        <v>450000</v>
      </c>
      <c r="P135" s="257">
        <f t="shared" si="10"/>
        <v>0.52941176470588236</v>
      </c>
      <c r="Q135" s="195">
        <v>200000</v>
      </c>
      <c r="R135" s="260">
        <f t="shared" si="11"/>
        <v>-250000</v>
      </c>
    </row>
    <row r="136" spans="1:18" x14ac:dyDescent="0.25">
      <c r="A136" s="194" t="s">
        <v>544</v>
      </c>
      <c r="B136" s="194" t="s">
        <v>158</v>
      </c>
      <c r="C136" s="194" t="s">
        <v>159</v>
      </c>
      <c r="D136" s="194" t="s">
        <v>541</v>
      </c>
      <c r="E136" s="195">
        <v>6813730</v>
      </c>
      <c r="F136" s="195">
        <v>12156620</v>
      </c>
      <c r="G136" s="195">
        <v>12156620</v>
      </c>
      <c r="H136" s="195">
        <v>0</v>
      </c>
      <c r="I136" s="195">
        <v>2748925</v>
      </c>
      <c r="J136" s="195">
        <v>0</v>
      </c>
      <c r="K136" s="195">
        <v>8992910</v>
      </c>
      <c r="L136" s="257">
        <f t="shared" si="8"/>
        <v>0.73975414218754887</v>
      </c>
      <c r="M136" s="195">
        <v>8971560</v>
      </c>
      <c r="N136" s="257">
        <f t="shared" si="9"/>
        <v>0.7379978974418876</v>
      </c>
      <c r="O136" s="195">
        <v>414785</v>
      </c>
      <c r="P136" s="257">
        <f t="shared" si="10"/>
        <v>3.4120092591526263E-2</v>
      </c>
      <c r="Q136" s="195">
        <v>414785</v>
      </c>
      <c r="R136" s="260">
        <f t="shared" si="11"/>
        <v>0</v>
      </c>
    </row>
    <row r="137" spans="1:18" x14ac:dyDescent="0.25">
      <c r="A137" s="194" t="s">
        <v>544</v>
      </c>
      <c r="B137" s="194" t="s">
        <v>160</v>
      </c>
      <c r="C137" s="194" t="s">
        <v>161</v>
      </c>
      <c r="D137" s="194" t="s">
        <v>541</v>
      </c>
      <c r="E137" s="195">
        <v>250000</v>
      </c>
      <c r="F137" s="195">
        <v>902890</v>
      </c>
      <c r="G137" s="195">
        <v>902890</v>
      </c>
      <c r="H137" s="195">
        <v>0</v>
      </c>
      <c r="I137" s="195">
        <v>366275</v>
      </c>
      <c r="J137" s="195">
        <v>0</v>
      </c>
      <c r="K137" s="195">
        <v>535710</v>
      </c>
      <c r="L137" s="257">
        <f t="shared" si="8"/>
        <v>0.59332809090808403</v>
      </c>
      <c r="M137" s="195">
        <v>523360</v>
      </c>
      <c r="N137" s="257">
        <f t="shared" si="9"/>
        <v>0.57964979122595217</v>
      </c>
      <c r="O137" s="195">
        <v>905</v>
      </c>
      <c r="P137" s="257">
        <f t="shared" si="10"/>
        <v>1.0023369402695787E-3</v>
      </c>
      <c r="Q137" s="195">
        <v>905</v>
      </c>
      <c r="R137" s="260">
        <f t="shared" si="11"/>
        <v>0</v>
      </c>
    </row>
    <row r="138" spans="1:18" x14ac:dyDescent="0.25">
      <c r="A138" s="194" t="s">
        <v>544</v>
      </c>
      <c r="B138" s="194" t="s">
        <v>162</v>
      </c>
      <c r="C138" s="194" t="s">
        <v>163</v>
      </c>
      <c r="D138" s="194" t="s">
        <v>541</v>
      </c>
      <c r="E138" s="195">
        <v>6563730</v>
      </c>
      <c r="F138" s="195">
        <v>11253730</v>
      </c>
      <c r="G138" s="195">
        <v>11253730</v>
      </c>
      <c r="H138" s="195">
        <v>0</v>
      </c>
      <c r="I138" s="195">
        <v>2382650</v>
      </c>
      <c r="J138" s="195">
        <v>0</v>
      </c>
      <c r="K138" s="195">
        <v>8457200</v>
      </c>
      <c r="L138" s="257">
        <f t="shared" si="8"/>
        <v>0.75150194646574953</v>
      </c>
      <c r="M138" s="195">
        <v>8448200</v>
      </c>
      <c r="N138" s="257">
        <f t="shared" si="9"/>
        <v>0.7507022116222799</v>
      </c>
      <c r="O138" s="195">
        <v>413880</v>
      </c>
      <c r="P138" s="257">
        <f t="shared" si="10"/>
        <v>3.6777139668358848E-2</v>
      </c>
      <c r="Q138" s="195">
        <v>413880</v>
      </c>
      <c r="R138" s="260">
        <f t="shared" si="11"/>
        <v>0</v>
      </c>
    </row>
    <row r="139" spans="1:18" x14ac:dyDescent="0.25">
      <c r="A139" s="194" t="s">
        <v>544</v>
      </c>
      <c r="B139" s="194" t="s">
        <v>168</v>
      </c>
      <c r="C139" s="194" t="s">
        <v>169</v>
      </c>
      <c r="D139" s="194" t="s">
        <v>541</v>
      </c>
      <c r="E139" s="195">
        <v>4277392</v>
      </c>
      <c r="F139" s="195">
        <v>4277392</v>
      </c>
      <c r="G139" s="195">
        <v>3577392</v>
      </c>
      <c r="H139" s="195">
        <v>0</v>
      </c>
      <c r="I139" s="195">
        <v>1213854</v>
      </c>
      <c r="J139" s="195">
        <v>0</v>
      </c>
      <c r="K139" s="195">
        <v>2150240</v>
      </c>
      <c r="L139" s="257">
        <f t="shared" si="8"/>
        <v>0.50269884078896676</v>
      </c>
      <c r="M139" s="195">
        <v>1779094</v>
      </c>
      <c r="N139" s="257">
        <f t="shared" si="9"/>
        <v>0.41592961318485655</v>
      </c>
      <c r="O139" s="195">
        <v>913298</v>
      </c>
      <c r="P139" s="257">
        <f t="shared" si="10"/>
        <v>0.21351748916161997</v>
      </c>
      <c r="Q139" s="195">
        <v>213298</v>
      </c>
      <c r="R139" s="260">
        <f t="shared" si="11"/>
        <v>-700000</v>
      </c>
    </row>
    <row r="140" spans="1:18" x14ac:dyDescent="0.25">
      <c r="A140" s="194" t="s">
        <v>544</v>
      </c>
      <c r="B140" s="194" t="s">
        <v>170</v>
      </c>
      <c r="C140" s="194" t="s">
        <v>171</v>
      </c>
      <c r="D140" s="194" t="s">
        <v>541</v>
      </c>
      <c r="E140" s="195">
        <v>4277392</v>
      </c>
      <c r="F140" s="195">
        <v>4277392</v>
      </c>
      <c r="G140" s="195">
        <v>3577392</v>
      </c>
      <c r="H140" s="195">
        <v>0</v>
      </c>
      <c r="I140" s="195">
        <v>1213854</v>
      </c>
      <c r="J140" s="195">
        <v>0</v>
      </c>
      <c r="K140" s="195">
        <v>2150240</v>
      </c>
      <c r="L140" s="257">
        <f t="shared" si="8"/>
        <v>0.50269884078896676</v>
      </c>
      <c r="M140" s="195">
        <v>1779094</v>
      </c>
      <c r="N140" s="257">
        <f t="shared" si="9"/>
        <v>0.41592961318485655</v>
      </c>
      <c r="O140" s="195">
        <v>913298</v>
      </c>
      <c r="P140" s="257">
        <f t="shared" si="10"/>
        <v>0.21351748916161997</v>
      </c>
      <c r="Q140" s="195">
        <v>213298</v>
      </c>
      <c r="R140" s="260">
        <f t="shared" si="11"/>
        <v>-700000</v>
      </c>
    </row>
    <row r="141" spans="1:18" x14ac:dyDescent="0.25">
      <c r="A141" s="194" t="s">
        <v>544</v>
      </c>
      <c r="B141" s="194" t="s">
        <v>172</v>
      </c>
      <c r="C141" s="194" t="s">
        <v>173</v>
      </c>
      <c r="D141" s="194" t="s">
        <v>541</v>
      </c>
      <c r="E141" s="195">
        <v>12267225</v>
      </c>
      <c r="F141" s="195">
        <v>14282225</v>
      </c>
      <c r="G141" s="195">
        <v>14282225</v>
      </c>
      <c r="H141" s="195">
        <v>0</v>
      </c>
      <c r="I141" s="195">
        <v>0</v>
      </c>
      <c r="J141" s="195">
        <v>0</v>
      </c>
      <c r="K141" s="195">
        <v>7126500</v>
      </c>
      <c r="L141" s="257">
        <f t="shared" si="8"/>
        <v>0.4989768751017436</v>
      </c>
      <c r="M141" s="195">
        <v>7100500</v>
      </c>
      <c r="N141" s="257">
        <f t="shared" si="9"/>
        <v>0.4971564304581394</v>
      </c>
      <c r="O141" s="195">
        <v>7155725</v>
      </c>
      <c r="P141" s="257">
        <f t="shared" si="10"/>
        <v>0.5010231248982564</v>
      </c>
      <c r="Q141" s="195">
        <v>7155725</v>
      </c>
      <c r="R141" s="260">
        <f t="shared" si="11"/>
        <v>0</v>
      </c>
    </row>
    <row r="142" spans="1:18" x14ac:dyDescent="0.25">
      <c r="A142" s="252" t="s">
        <v>544</v>
      </c>
      <c r="B142" s="252" t="s">
        <v>309</v>
      </c>
      <c r="C142" s="252" t="s">
        <v>310</v>
      </c>
      <c r="D142" s="252" t="s">
        <v>541</v>
      </c>
      <c r="E142" s="253">
        <v>12267225</v>
      </c>
      <c r="F142" s="253">
        <v>14282225</v>
      </c>
      <c r="G142" s="253">
        <v>14282225</v>
      </c>
      <c r="H142" s="253">
        <v>0</v>
      </c>
      <c r="I142" s="253">
        <v>0</v>
      </c>
      <c r="J142" s="253">
        <v>0</v>
      </c>
      <c r="K142" s="253">
        <v>7126500</v>
      </c>
      <c r="L142" s="258">
        <f t="shared" si="8"/>
        <v>0.4989768751017436</v>
      </c>
      <c r="M142" s="253">
        <v>7100500</v>
      </c>
      <c r="N142" s="258">
        <f t="shared" si="9"/>
        <v>0.4971564304581394</v>
      </c>
      <c r="O142" s="253">
        <v>7155725</v>
      </c>
      <c r="P142" s="258">
        <f t="shared" si="10"/>
        <v>0.5010231248982564</v>
      </c>
      <c r="Q142" s="253">
        <v>7155725</v>
      </c>
      <c r="R142" s="260">
        <f t="shared" si="11"/>
        <v>0</v>
      </c>
    </row>
    <row r="143" spans="1:18" x14ac:dyDescent="0.25">
      <c r="A143" s="194" t="s">
        <v>544</v>
      </c>
      <c r="B143" s="194" t="s">
        <v>178</v>
      </c>
      <c r="C143" s="194" t="s">
        <v>179</v>
      </c>
      <c r="D143" s="194" t="s">
        <v>541</v>
      </c>
      <c r="E143" s="195">
        <v>17894000</v>
      </c>
      <c r="F143" s="195">
        <v>13797000</v>
      </c>
      <c r="G143" s="195">
        <v>7047000</v>
      </c>
      <c r="H143" s="195">
        <v>0</v>
      </c>
      <c r="I143" s="195">
        <v>3157450</v>
      </c>
      <c r="J143" s="195">
        <v>0</v>
      </c>
      <c r="K143" s="195">
        <v>2999573.27</v>
      </c>
      <c r="L143" s="257">
        <f t="shared" si="8"/>
        <v>0.21740764441545263</v>
      </c>
      <c r="M143" s="195">
        <v>2070343.69</v>
      </c>
      <c r="N143" s="257">
        <f t="shared" si="9"/>
        <v>0.15005752627382765</v>
      </c>
      <c r="O143" s="195">
        <v>7639976.7300000004</v>
      </c>
      <c r="P143" s="257">
        <f t="shared" si="10"/>
        <v>0.55374188084366172</v>
      </c>
      <c r="Q143" s="195">
        <v>889976.73</v>
      </c>
      <c r="R143" s="260">
        <f t="shared" si="11"/>
        <v>-6750000</v>
      </c>
    </row>
    <row r="144" spans="1:18" x14ac:dyDescent="0.25">
      <c r="A144" s="194" t="s">
        <v>544</v>
      </c>
      <c r="B144" s="194" t="s">
        <v>182</v>
      </c>
      <c r="C144" s="194" t="s">
        <v>183</v>
      </c>
      <c r="D144" s="194" t="s">
        <v>541</v>
      </c>
      <c r="E144" s="195">
        <v>7000000</v>
      </c>
      <c r="F144" s="195">
        <v>7000000</v>
      </c>
      <c r="G144" s="195">
        <v>2550000</v>
      </c>
      <c r="H144" s="195">
        <v>0</v>
      </c>
      <c r="I144" s="195">
        <v>2329500</v>
      </c>
      <c r="J144" s="195">
        <v>0</v>
      </c>
      <c r="K144" s="195">
        <v>220000</v>
      </c>
      <c r="L144" s="257">
        <f t="shared" si="8"/>
        <v>3.1428571428571431E-2</v>
      </c>
      <c r="M144" s="195">
        <v>220000</v>
      </c>
      <c r="N144" s="257">
        <f t="shared" si="9"/>
        <v>3.1428571428571431E-2</v>
      </c>
      <c r="O144" s="195">
        <v>4450500</v>
      </c>
      <c r="P144" s="257">
        <f t="shared" si="10"/>
        <v>0.63578571428571429</v>
      </c>
      <c r="Q144" s="195">
        <v>500</v>
      </c>
      <c r="R144" s="260">
        <f t="shared" si="11"/>
        <v>-4450000</v>
      </c>
    </row>
    <row r="145" spans="1:18" x14ac:dyDescent="0.25">
      <c r="A145" s="194" t="s">
        <v>544</v>
      </c>
      <c r="B145" s="194" t="s">
        <v>186</v>
      </c>
      <c r="C145" s="194" t="s">
        <v>187</v>
      </c>
      <c r="D145" s="194" t="s">
        <v>541</v>
      </c>
      <c r="E145" s="195">
        <v>3000000</v>
      </c>
      <c r="F145" s="195">
        <v>1953000</v>
      </c>
      <c r="G145" s="195">
        <v>3000</v>
      </c>
      <c r="H145" s="195">
        <v>0</v>
      </c>
      <c r="I145" s="195">
        <v>0</v>
      </c>
      <c r="J145" s="195">
        <v>0</v>
      </c>
      <c r="K145" s="195">
        <v>0</v>
      </c>
      <c r="L145" s="257">
        <f t="shared" si="8"/>
        <v>0</v>
      </c>
      <c r="M145" s="195">
        <v>0</v>
      </c>
      <c r="N145" s="257">
        <f t="shared" si="9"/>
        <v>0</v>
      </c>
      <c r="O145" s="195">
        <v>1953000</v>
      </c>
      <c r="P145" s="257">
        <f t="shared" si="10"/>
        <v>1</v>
      </c>
      <c r="Q145" s="195">
        <v>3000</v>
      </c>
      <c r="R145" s="260">
        <f t="shared" si="11"/>
        <v>-1950000</v>
      </c>
    </row>
    <row r="146" spans="1:18" x14ac:dyDescent="0.25">
      <c r="A146" s="194" t="s">
        <v>544</v>
      </c>
      <c r="B146" s="194" t="s">
        <v>188</v>
      </c>
      <c r="C146" s="194" t="s">
        <v>189</v>
      </c>
      <c r="D146" s="194" t="s">
        <v>541</v>
      </c>
      <c r="E146" s="195">
        <v>4494000</v>
      </c>
      <c r="F146" s="195">
        <v>4494000</v>
      </c>
      <c r="G146" s="195">
        <v>4494000</v>
      </c>
      <c r="H146" s="195">
        <v>0</v>
      </c>
      <c r="I146" s="195">
        <v>827950</v>
      </c>
      <c r="J146" s="195">
        <v>0</v>
      </c>
      <c r="K146" s="195">
        <v>2779573.27</v>
      </c>
      <c r="L146" s="257">
        <f t="shared" si="8"/>
        <v>0.61850762572318652</v>
      </c>
      <c r="M146" s="195">
        <v>1850343.69</v>
      </c>
      <c r="N146" s="257">
        <f t="shared" si="9"/>
        <v>0.4117364686248331</v>
      </c>
      <c r="O146" s="195">
        <v>886476.73</v>
      </c>
      <c r="P146" s="257">
        <f t="shared" si="10"/>
        <v>0.197257839341344</v>
      </c>
      <c r="Q146" s="195">
        <v>886476.73</v>
      </c>
      <c r="R146" s="260">
        <f t="shared" si="11"/>
        <v>0</v>
      </c>
    </row>
    <row r="147" spans="1:18" x14ac:dyDescent="0.25">
      <c r="A147" s="194" t="s">
        <v>544</v>
      </c>
      <c r="B147" s="194" t="s">
        <v>190</v>
      </c>
      <c r="C147" s="194" t="s">
        <v>191</v>
      </c>
      <c r="D147" s="194" t="s">
        <v>541</v>
      </c>
      <c r="E147" s="195">
        <v>3400000</v>
      </c>
      <c r="F147" s="195">
        <v>350000</v>
      </c>
      <c r="G147" s="195">
        <v>0</v>
      </c>
      <c r="H147" s="195">
        <v>0</v>
      </c>
      <c r="I147" s="195">
        <v>0</v>
      </c>
      <c r="J147" s="195">
        <v>0</v>
      </c>
      <c r="K147" s="195">
        <v>0</v>
      </c>
      <c r="L147" s="257">
        <f t="shared" si="8"/>
        <v>0</v>
      </c>
      <c r="M147" s="195">
        <v>0</v>
      </c>
      <c r="N147" s="257">
        <f t="shared" si="9"/>
        <v>0</v>
      </c>
      <c r="O147" s="195">
        <v>350000</v>
      </c>
      <c r="P147" s="257">
        <f t="shared" si="10"/>
        <v>1</v>
      </c>
      <c r="Q147" s="195">
        <v>0</v>
      </c>
      <c r="R147" s="260">
        <f t="shared" si="11"/>
        <v>-350000</v>
      </c>
    </row>
    <row r="148" spans="1:18" x14ac:dyDescent="0.25">
      <c r="A148" s="194" t="s">
        <v>544</v>
      </c>
      <c r="B148" s="194" t="s">
        <v>192</v>
      </c>
      <c r="C148" s="194" t="s">
        <v>193</v>
      </c>
      <c r="D148" s="194" t="s">
        <v>541</v>
      </c>
      <c r="E148" s="195">
        <v>466000</v>
      </c>
      <c r="F148" s="195">
        <v>299000</v>
      </c>
      <c r="G148" s="195">
        <v>249000</v>
      </c>
      <c r="H148" s="195">
        <v>0</v>
      </c>
      <c r="I148" s="195">
        <v>249000</v>
      </c>
      <c r="J148" s="195">
        <v>0</v>
      </c>
      <c r="K148" s="195">
        <v>0</v>
      </c>
      <c r="L148" s="257">
        <f t="shared" si="8"/>
        <v>0</v>
      </c>
      <c r="M148" s="195">
        <v>0</v>
      </c>
      <c r="N148" s="257">
        <f t="shared" si="9"/>
        <v>0</v>
      </c>
      <c r="O148" s="195">
        <v>50000</v>
      </c>
      <c r="P148" s="257">
        <f t="shared" si="10"/>
        <v>0.16722408026755853</v>
      </c>
      <c r="Q148" s="195">
        <v>0</v>
      </c>
      <c r="R148" s="260">
        <f t="shared" si="11"/>
        <v>-50000</v>
      </c>
    </row>
    <row r="149" spans="1:18" x14ac:dyDescent="0.25">
      <c r="A149" s="194" t="s">
        <v>544</v>
      </c>
      <c r="B149" s="194" t="s">
        <v>194</v>
      </c>
      <c r="C149" s="194" t="s">
        <v>195</v>
      </c>
      <c r="D149" s="194" t="s">
        <v>541</v>
      </c>
      <c r="E149" s="195">
        <v>466000</v>
      </c>
      <c r="F149" s="195">
        <v>299000</v>
      </c>
      <c r="G149" s="195">
        <v>249000</v>
      </c>
      <c r="H149" s="195">
        <v>0</v>
      </c>
      <c r="I149" s="195">
        <v>249000</v>
      </c>
      <c r="J149" s="195">
        <v>0</v>
      </c>
      <c r="K149" s="195">
        <v>0</v>
      </c>
      <c r="L149" s="257">
        <f t="shared" si="8"/>
        <v>0</v>
      </c>
      <c r="M149" s="195">
        <v>0</v>
      </c>
      <c r="N149" s="257">
        <f t="shared" si="9"/>
        <v>0</v>
      </c>
      <c r="O149" s="195">
        <v>50000</v>
      </c>
      <c r="P149" s="257">
        <f t="shared" si="10"/>
        <v>0.16722408026755853</v>
      </c>
      <c r="Q149" s="195">
        <v>0</v>
      </c>
      <c r="R149" s="260">
        <f t="shared" si="11"/>
        <v>-50000</v>
      </c>
    </row>
    <row r="150" spans="1:18" x14ac:dyDescent="0.25">
      <c r="A150" s="194" t="s">
        <v>544</v>
      </c>
      <c r="B150" s="194" t="s">
        <v>196</v>
      </c>
      <c r="C150" s="194" t="s">
        <v>197</v>
      </c>
      <c r="D150" s="194" t="s">
        <v>541</v>
      </c>
      <c r="E150" s="195">
        <v>1800000</v>
      </c>
      <c r="F150" s="195">
        <v>1260000</v>
      </c>
      <c r="G150" s="195">
        <v>610000</v>
      </c>
      <c r="H150" s="195">
        <v>0</v>
      </c>
      <c r="I150" s="195">
        <v>0</v>
      </c>
      <c r="J150" s="195">
        <v>0</v>
      </c>
      <c r="K150" s="195">
        <v>600000</v>
      </c>
      <c r="L150" s="257">
        <f t="shared" si="8"/>
        <v>0.47619047619047616</v>
      </c>
      <c r="M150" s="195">
        <v>600000</v>
      </c>
      <c r="N150" s="257">
        <f t="shared" si="9"/>
        <v>0.47619047619047616</v>
      </c>
      <c r="O150" s="195">
        <v>660000</v>
      </c>
      <c r="P150" s="257">
        <f t="shared" si="10"/>
        <v>0.52380952380952384</v>
      </c>
      <c r="Q150" s="195">
        <v>10000</v>
      </c>
      <c r="R150" s="260">
        <f t="shared" si="11"/>
        <v>-650000</v>
      </c>
    </row>
    <row r="151" spans="1:18" x14ac:dyDescent="0.25">
      <c r="A151" s="194" t="s">
        <v>544</v>
      </c>
      <c r="B151" s="194" t="s">
        <v>198</v>
      </c>
      <c r="C151" s="194" t="s">
        <v>199</v>
      </c>
      <c r="D151" s="194" t="s">
        <v>541</v>
      </c>
      <c r="E151" s="195">
        <v>1800000</v>
      </c>
      <c r="F151" s="195">
        <v>1260000</v>
      </c>
      <c r="G151" s="195">
        <v>610000</v>
      </c>
      <c r="H151" s="195">
        <v>0</v>
      </c>
      <c r="I151" s="195">
        <v>0</v>
      </c>
      <c r="J151" s="195">
        <v>0</v>
      </c>
      <c r="K151" s="195">
        <v>600000</v>
      </c>
      <c r="L151" s="257">
        <f t="shared" si="8"/>
        <v>0.47619047619047616</v>
      </c>
      <c r="M151" s="195">
        <v>600000</v>
      </c>
      <c r="N151" s="257">
        <f t="shared" si="9"/>
        <v>0.47619047619047616</v>
      </c>
      <c r="O151" s="195">
        <v>660000</v>
      </c>
      <c r="P151" s="257">
        <f t="shared" si="10"/>
        <v>0.52380952380952384</v>
      </c>
      <c r="Q151" s="195">
        <v>10000</v>
      </c>
      <c r="R151" s="260">
        <f t="shared" si="11"/>
        <v>-650000</v>
      </c>
    </row>
    <row r="152" spans="1:18" x14ac:dyDescent="0.25">
      <c r="A152" s="194" t="s">
        <v>544</v>
      </c>
      <c r="B152" s="194" t="s">
        <v>200</v>
      </c>
      <c r="C152" s="194" t="s">
        <v>201</v>
      </c>
      <c r="D152" s="194" t="s">
        <v>541</v>
      </c>
      <c r="E152" s="195">
        <v>57954839</v>
      </c>
      <c r="F152" s="195">
        <v>57954839</v>
      </c>
      <c r="G152" s="195">
        <v>53574839</v>
      </c>
      <c r="H152" s="195">
        <v>13187584</v>
      </c>
      <c r="I152" s="195">
        <v>15950665.300000001</v>
      </c>
      <c r="J152" s="195">
        <v>3219390.17</v>
      </c>
      <c r="K152" s="195">
        <v>15676674.880000001</v>
      </c>
      <c r="L152" s="257">
        <f t="shared" si="8"/>
        <v>0.27049811802600299</v>
      </c>
      <c r="M152" s="195">
        <v>14238121.859999999</v>
      </c>
      <c r="N152" s="257">
        <f t="shared" si="9"/>
        <v>0.24567615242620205</v>
      </c>
      <c r="O152" s="195">
        <v>9920524.6500000004</v>
      </c>
      <c r="P152" s="257">
        <f t="shared" si="10"/>
        <v>0.17117681320795319</v>
      </c>
      <c r="Q152" s="195">
        <v>5540524.6500000004</v>
      </c>
      <c r="R152" s="260">
        <f t="shared" si="11"/>
        <v>-4380000</v>
      </c>
    </row>
    <row r="153" spans="1:18" x14ac:dyDescent="0.25">
      <c r="A153" s="194" t="s">
        <v>544</v>
      </c>
      <c r="B153" s="194" t="s">
        <v>202</v>
      </c>
      <c r="C153" s="194" t="s">
        <v>203</v>
      </c>
      <c r="D153" s="194" t="s">
        <v>541</v>
      </c>
      <c r="E153" s="195">
        <v>17854839</v>
      </c>
      <c r="F153" s="195">
        <v>17803839</v>
      </c>
      <c r="G153" s="195">
        <v>15253839</v>
      </c>
      <c r="H153" s="195">
        <v>4888044</v>
      </c>
      <c r="I153" s="195">
        <v>4935764.17</v>
      </c>
      <c r="J153" s="195">
        <v>0</v>
      </c>
      <c r="K153" s="195">
        <v>3637683.06</v>
      </c>
      <c r="L153" s="257">
        <f t="shared" si="8"/>
        <v>0.20432015027770134</v>
      </c>
      <c r="M153" s="195">
        <v>3637683.06</v>
      </c>
      <c r="N153" s="257">
        <f t="shared" si="9"/>
        <v>0.20432015027770134</v>
      </c>
      <c r="O153" s="195">
        <v>4342347.7699999996</v>
      </c>
      <c r="P153" s="257">
        <f t="shared" si="10"/>
        <v>0.24389951908686658</v>
      </c>
      <c r="Q153" s="195">
        <v>1792347.77</v>
      </c>
      <c r="R153" s="260">
        <f t="shared" si="11"/>
        <v>-2550000</v>
      </c>
    </row>
    <row r="154" spans="1:18" x14ac:dyDescent="0.25">
      <c r="A154" s="194" t="s">
        <v>544</v>
      </c>
      <c r="B154" s="194" t="s">
        <v>204</v>
      </c>
      <c r="C154" s="194" t="s">
        <v>205</v>
      </c>
      <c r="D154" s="194" t="s">
        <v>541</v>
      </c>
      <c r="E154" s="195">
        <v>9354839</v>
      </c>
      <c r="F154" s="195">
        <v>9354839</v>
      </c>
      <c r="G154" s="195">
        <v>6854839</v>
      </c>
      <c r="H154" s="195">
        <v>0</v>
      </c>
      <c r="I154" s="195">
        <v>2361677.94</v>
      </c>
      <c r="J154" s="195">
        <v>0</v>
      </c>
      <c r="K154" s="195">
        <v>3217527.06</v>
      </c>
      <c r="L154" s="257">
        <f t="shared" si="8"/>
        <v>0.34394253711902473</v>
      </c>
      <c r="M154" s="195">
        <v>3217527.06</v>
      </c>
      <c r="N154" s="257">
        <f t="shared" si="9"/>
        <v>0.34394253711902473</v>
      </c>
      <c r="O154" s="195">
        <v>3775634</v>
      </c>
      <c r="P154" s="257">
        <f t="shared" si="10"/>
        <v>0.40360224264682693</v>
      </c>
      <c r="Q154" s="195">
        <v>1275634</v>
      </c>
      <c r="R154" s="260">
        <f t="shared" si="11"/>
        <v>-2500000</v>
      </c>
    </row>
    <row r="155" spans="1:18" x14ac:dyDescent="0.25">
      <c r="A155" s="194" t="s">
        <v>544</v>
      </c>
      <c r="B155" s="194" t="s">
        <v>208</v>
      </c>
      <c r="C155" s="194" t="s">
        <v>209</v>
      </c>
      <c r="D155" s="194" t="s">
        <v>541</v>
      </c>
      <c r="E155" s="195">
        <v>8500000</v>
      </c>
      <c r="F155" s="195">
        <v>8449000</v>
      </c>
      <c r="G155" s="195">
        <v>8399000</v>
      </c>
      <c r="H155" s="195">
        <v>4888044</v>
      </c>
      <c r="I155" s="195">
        <v>2574086.23</v>
      </c>
      <c r="J155" s="195">
        <v>0</v>
      </c>
      <c r="K155" s="195">
        <v>420156</v>
      </c>
      <c r="L155" s="257">
        <f t="shared" si="8"/>
        <v>4.9728488578530003E-2</v>
      </c>
      <c r="M155" s="195">
        <v>420156</v>
      </c>
      <c r="N155" s="257">
        <f t="shared" si="9"/>
        <v>4.9728488578530003E-2</v>
      </c>
      <c r="O155" s="195">
        <v>566713.77</v>
      </c>
      <c r="P155" s="257">
        <f t="shared" si="10"/>
        <v>6.7074656172328093E-2</v>
      </c>
      <c r="Q155" s="195">
        <v>516713.77</v>
      </c>
      <c r="R155" s="260">
        <f t="shared" si="11"/>
        <v>-50000</v>
      </c>
    </row>
    <row r="156" spans="1:18" x14ac:dyDescent="0.25">
      <c r="A156" s="194" t="s">
        <v>544</v>
      </c>
      <c r="B156" s="194" t="s">
        <v>212</v>
      </c>
      <c r="C156" s="194" t="s">
        <v>213</v>
      </c>
      <c r="D156" s="194" t="s">
        <v>541</v>
      </c>
      <c r="E156" s="195">
        <v>2460000</v>
      </c>
      <c r="F156" s="195">
        <v>5911000</v>
      </c>
      <c r="G156" s="195">
        <v>5911000</v>
      </c>
      <c r="H156" s="195">
        <v>0</v>
      </c>
      <c r="I156" s="195">
        <v>1760522.53</v>
      </c>
      <c r="J156" s="195">
        <v>3219390.17</v>
      </c>
      <c r="K156" s="195">
        <v>931082</v>
      </c>
      <c r="L156" s="257">
        <f t="shared" si="8"/>
        <v>0.15751683302317712</v>
      </c>
      <c r="M156" s="195">
        <v>931082</v>
      </c>
      <c r="N156" s="257">
        <f t="shared" si="9"/>
        <v>0.15751683302317712</v>
      </c>
      <c r="O156" s="195">
        <v>5.3</v>
      </c>
      <c r="P156" s="257">
        <f t="shared" si="10"/>
        <v>8.9663339536457445E-7</v>
      </c>
      <c r="Q156" s="195">
        <v>5.3</v>
      </c>
      <c r="R156" s="260">
        <f t="shared" si="11"/>
        <v>0</v>
      </c>
    </row>
    <row r="157" spans="1:18" x14ac:dyDescent="0.25">
      <c r="A157" s="194" t="s">
        <v>544</v>
      </c>
      <c r="B157" s="194" t="s">
        <v>214</v>
      </c>
      <c r="C157" s="194" t="s">
        <v>215</v>
      </c>
      <c r="D157" s="194" t="s">
        <v>541</v>
      </c>
      <c r="E157" s="195">
        <v>2460000</v>
      </c>
      <c r="F157" s="195">
        <v>5911000</v>
      </c>
      <c r="G157" s="195">
        <v>5911000</v>
      </c>
      <c r="H157" s="195">
        <v>0</v>
      </c>
      <c r="I157" s="195">
        <v>1760522.53</v>
      </c>
      <c r="J157" s="195">
        <v>3219390.17</v>
      </c>
      <c r="K157" s="195">
        <v>931082</v>
      </c>
      <c r="L157" s="257">
        <f t="shared" si="8"/>
        <v>0.15751683302317712</v>
      </c>
      <c r="M157" s="195">
        <v>931082</v>
      </c>
      <c r="N157" s="257">
        <f t="shared" si="9"/>
        <v>0.15751683302317712</v>
      </c>
      <c r="O157" s="195">
        <v>5.3</v>
      </c>
      <c r="P157" s="257">
        <f t="shared" si="10"/>
        <v>8.9663339536457445E-7</v>
      </c>
      <c r="Q157" s="195">
        <v>5.3</v>
      </c>
      <c r="R157" s="260">
        <f t="shared" si="11"/>
        <v>0</v>
      </c>
    </row>
    <row r="158" spans="1:18" x14ac:dyDescent="0.25">
      <c r="A158" s="194" t="s">
        <v>544</v>
      </c>
      <c r="B158" s="194" t="s">
        <v>216</v>
      </c>
      <c r="C158" s="194" t="s">
        <v>217</v>
      </c>
      <c r="D158" s="194" t="s">
        <v>541</v>
      </c>
      <c r="E158" s="195">
        <v>2000000</v>
      </c>
      <c r="F158" s="195">
        <v>1950000</v>
      </c>
      <c r="G158" s="195">
        <v>1950000</v>
      </c>
      <c r="H158" s="195">
        <v>0</v>
      </c>
      <c r="I158" s="195">
        <v>365193.26</v>
      </c>
      <c r="J158" s="195">
        <v>0</v>
      </c>
      <c r="K158" s="195">
        <v>1139724.6299999999</v>
      </c>
      <c r="L158" s="257">
        <f t="shared" si="8"/>
        <v>0.58447416923076922</v>
      </c>
      <c r="M158" s="195">
        <v>1139724.6299999999</v>
      </c>
      <c r="N158" s="257">
        <f t="shared" si="9"/>
        <v>0.58447416923076922</v>
      </c>
      <c r="O158" s="195">
        <v>445082.11</v>
      </c>
      <c r="P158" s="257">
        <f t="shared" si="10"/>
        <v>0.2282472358974359</v>
      </c>
      <c r="Q158" s="195">
        <v>445082.11</v>
      </c>
      <c r="R158" s="260">
        <f t="shared" si="11"/>
        <v>0</v>
      </c>
    </row>
    <row r="159" spans="1:18" x14ac:dyDescent="0.25">
      <c r="A159" s="194" t="s">
        <v>544</v>
      </c>
      <c r="B159" s="194" t="s">
        <v>220</v>
      </c>
      <c r="C159" s="194" t="s">
        <v>221</v>
      </c>
      <c r="D159" s="194" t="s">
        <v>541</v>
      </c>
      <c r="E159" s="195">
        <v>2000000</v>
      </c>
      <c r="F159" s="195">
        <v>1950000</v>
      </c>
      <c r="G159" s="195">
        <v>1950000</v>
      </c>
      <c r="H159" s="195">
        <v>0</v>
      </c>
      <c r="I159" s="195">
        <v>365193.26</v>
      </c>
      <c r="J159" s="195">
        <v>0</v>
      </c>
      <c r="K159" s="195">
        <v>1139724.6299999999</v>
      </c>
      <c r="L159" s="257">
        <f t="shared" si="8"/>
        <v>0.58447416923076922</v>
      </c>
      <c r="M159" s="195">
        <v>1139724.6299999999</v>
      </c>
      <c r="N159" s="257">
        <f t="shared" si="9"/>
        <v>0.58447416923076922</v>
      </c>
      <c r="O159" s="195">
        <v>445082.11</v>
      </c>
      <c r="P159" s="257">
        <f t="shared" si="10"/>
        <v>0.2282472358974359</v>
      </c>
      <c r="Q159" s="195">
        <v>445082.11</v>
      </c>
      <c r="R159" s="260">
        <f t="shared" si="11"/>
        <v>0</v>
      </c>
    </row>
    <row r="160" spans="1:18" x14ac:dyDescent="0.25">
      <c r="A160" s="194" t="s">
        <v>544</v>
      </c>
      <c r="B160" s="194" t="s">
        <v>228</v>
      </c>
      <c r="C160" s="194" t="s">
        <v>229</v>
      </c>
      <c r="D160" s="194" t="s">
        <v>541</v>
      </c>
      <c r="E160" s="195">
        <v>6710000</v>
      </c>
      <c r="F160" s="195">
        <v>3860000</v>
      </c>
      <c r="G160" s="195">
        <v>2210000</v>
      </c>
      <c r="H160" s="195">
        <v>0</v>
      </c>
      <c r="I160" s="195">
        <v>1687595</v>
      </c>
      <c r="J160" s="195">
        <v>0</v>
      </c>
      <c r="K160" s="195">
        <v>0</v>
      </c>
      <c r="L160" s="257">
        <f t="shared" si="8"/>
        <v>0</v>
      </c>
      <c r="M160" s="195">
        <v>0</v>
      </c>
      <c r="N160" s="257">
        <f t="shared" si="9"/>
        <v>0</v>
      </c>
      <c r="O160" s="195">
        <v>2172405</v>
      </c>
      <c r="P160" s="257">
        <f t="shared" si="10"/>
        <v>0.56279922279792749</v>
      </c>
      <c r="Q160" s="195">
        <v>522405</v>
      </c>
      <c r="R160" s="260">
        <f t="shared" si="11"/>
        <v>-1650000</v>
      </c>
    </row>
    <row r="161" spans="1:18" x14ac:dyDescent="0.25">
      <c r="A161" s="194" t="s">
        <v>544</v>
      </c>
      <c r="B161" s="194" t="s">
        <v>230</v>
      </c>
      <c r="C161" s="194" t="s">
        <v>231</v>
      </c>
      <c r="D161" s="194" t="s">
        <v>541</v>
      </c>
      <c r="E161" s="195">
        <v>3710000</v>
      </c>
      <c r="F161" s="195">
        <v>2210000</v>
      </c>
      <c r="G161" s="195">
        <v>2210000</v>
      </c>
      <c r="H161" s="195">
        <v>0</v>
      </c>
      <c r="I161" s="195">
        <v>1687595</v>
      </c>
      <c r="J161" s="195">
        <v>0</v>
      </c>
      <c r="K161" s="195">
        <v>0</v>
      </c>
      <c r="L161" s="257">
        <f t="shared" si="8"/>
        <v>0</v>
      </c>
      <c r="M161" s="195">
        <v>0</v>
      </c>
      <c r="N161" s="257">
        <f t="shared" si="9"/>
        <v>0</v>
      </c>
      <c r="O161" s="195">
        <v>522405</v>
      </c>
      <c r="P161" s="257">
        <f t="shared" si="10"/>
        <v>0.23638235294117646</v>
      </c>
      <c r="Q161" s="195">
        <v>522405</v>
      </c>
      <c r="R161" s="260">
        <f t="shared" si="11"/>
        <v>0</v>
      </c>
    </row>
    <row r="162" spans="1:18" x14ac:dyDescent="0.25">
      <c r="A162" s="194" t="s">
        <v>544</v>
      </c>
      <c r="B162" s="194" t="s">
        <v>232</v>
      </c>
      <c r="C162" s="194" t="s">
        <v>233</v>
      </c>
      <c r="D162" s="194" t="s">
        <v>541</v>
      </c>
      <c r="E162" s="195">
        <v>3000000</v>
      </c>
      <c r="F162" s="195">
        <v>1650000</v>
      </c>
      <c r="G162" s="195">
        <v>0</v>
      </c>
      <c r="H162" s="195">
        <v>0</v>
      </c>
      <c r="I162" s="195">
        <v>0</v>
      </c>
      <c r="J162" s="195">
        <v>0</v>
      </c>
      <c r="K162" s="195">
        <v>0</v>
      </c>
      <c r="L162" s="257">
        <f t="shared" si="8"/>
        <v>0</v>
      </c>
      <c r="M162" s="195">
        <v>0</v>
      </c>
      <c r="N162" s="257">
        <f t="shared" si="9"/>
        <v>0</v>
      </c>
      <c r="O162" s="195">
        <v>1650000</v>
      </c>
      <c r="P162" s="257">
        <f t="shared" si="10"/>
        <v>1</v>
      </c>
      <c r="Q162" s="195">
        <v>0</v>
      </c>
      <c r="R162" s="260">
        <f t="shared" si="11"/>
        <v>-1650000</v>
      </c>
    </row>
    <row r="163" spans="1:18" x14ac:dyDescent="0.25">
      <c r="A163" s="194" t="s">
        <v>544</v>
      </c>
      <c r="B163" s="194" t="s">
        <v>234</v>
      </c>
      <c r="C163" s="194" t="s">
        <v>601</v>
      </c>
      <c r="D163" s="194" t="s">
        <v>541</v>
      </c>
      <c r="E163" s="195">
        <v>28930000</v>
      </c>
      <c r="F163" s="195">
        <v>28430000</v>
      </c>
      <c r="G163" s="195">
        <v>28250000</v>
      </c>
      <c r="H163" s="195">
        <v>8299540</v>
      </c>
      <c r="I163" s="195">
        <v>7201590.3399999999</v>
      </c>
      <c r="J163" s="195">
        <v>0</v>
      </c>
      <c r="K163" s="195">
        <v>9968185.1899999995</v>
      </c>
      <c r="L163" s="257">
        <f t="shared" si="8"/>
        <v>0.3506220608512135</v>
      </c>
      <c r="M163" s="195">
        <v>8529632.1699999999</v>
      </c>
      <c r="N163" s="257">
        <f t="shared" si="9"/>
        <v>0.30002223601829053</v>
      </c>
      <c r="O163" s="195">
        <v>2960684.47</v>
      </c>
      <c r="P163" s="257">
        <f t="shared" si="10"/>
        <v>0.10413944671122055</v>
      </c>
      <c r="Q163" s="195">
        <v>2780684.47</v>
      </c>
      <c r="R163" s="260">
        <f t="shared" si="11"/>
        <v>-180000</v>
      </c>
    </row>
    <row r="164" spans="1:18" x14ac:dyDescent="0.25">
      <c r="A164" s="194" t="s">
        <v>544</v>
      </c>
      <c r="B164" s="194" t="s">
        <v>235</v>
      </c>
      <c r="C164" s="194" t="s">
        <v>236</v>
      </c>
      <c r="D164" s="194" t="s">
        <v>541</v>
      </c>
      <c r="E164" s="195">
        <v>8000000</v>
      </c>
      <c r="F164" s="195">
        <v>7500000</v>
      </c>
      <c r="G164" s="195">
        <v>7500000</v>
      </c>
      <c r="H164" s="195">
        <v>99500</v>
      </c>
      <c r="I164" s="195">
        <v>2279153.1800000002</v>
      </c>
      <c r="J164" s="195">
        <v>0</v>
      </c>
      <c r="K164" s="195">
        <v>3579178.79</v>
      </c>
      <c r="L164" s="257">
        <f t="shared" si="8"/>
        <v>0.47722383866666668</v>
      </c>
      <c r="M164" s="195">
        <v>3234870.87</v>
      </c>
      <c r="N164" s="257">
        <f t="shared" si="9"/>
        <v>0.43131611600000003</v>
      </c>
      <c r="O164" s="195">
        <v>1542168.03</v>
      </c>
      <c r="P164" s="257">
        <f t="shared" si="10"/>
        <v>0.20562240400000001</v>
      </c>
      <c r="Q164" s="195">
        <v>1542168.03</v>
      </c>
      <c r="R164" s="260">
        <f t="shared" si="11"/>
        <v>0</v>
      </c>
    </row>
    <row r="165" spans="1:18" x14ac:dyDescent="0.25">
      <c r="A165" s="194" t="s">
        <v>544</v>
      </c>
      <c r="B165" s="194" t="s">
        <v>239</v>
      </c>
      <c r="C165" s="194" t="s">
        <v>240</v>
      </c>
      <c r="D165" s="194" t="s">
        <v>541</v>
      </c>
      <c r="E165" s="195">
        <v>8000000</v>
      </c>
      <c r="F165" s="195">
        <v>7500000</v>
      </c>
      <c r="G165" s="195">
        <v>7400000</v>
      </c>
      <c r="H165" s="195">
        <v>0</v>
      </c>
      <c r="I165" s="195">
        <v>3801121.78</v>
      </c>
      <c r="J165" s="195">
        <v>0</v>
      </c>
      <c r="K165" s="195">
        <v>3494538.22</v>
      </c>
      <c r="L165" s="257">
        <f t="shared" si="8"/>
        <v>0.46593842933333335</v>
      </c>
      <c r="M165" s="195">
        <v>2400293.12</v>
      </c>
      <c r="N165" s="257">
        <f t="shared" si="9"/>
        <v>0.3200390826666667</v>
      </c>
      <c r="O165" s="195">
        <v>204340</v>
      </c>
      <c r="P165" s="257">
        <f t="shared" si="10"/>
        <v>2.7245333333333333E-2</v>
      </c>
      <c r="Q165" s="195">
        <v>104340</v>
      </c>
      <c r="R165" s="260">
        <f t="shared" si="11"/>
        <v>-100000</v>
      </c>
    </row>
    <row r="166" spans="1:18" x14ac:dyDescent="0.25">
      <c r="A166" s="194" t="s">
        <v>544</v>
      </c>
      <c r="B166" s="194" t="s">
        <v>243</v>
      </c>
      <c r="C166" s="194" t="s">
        <v>244</v>
      </c>
      <c r="D166" s="194" t="s">
        <v>541</v>
      </c>
      <c r="E166" s="195">
        <v>4930000</v>
      </c>
      <c r="F166" s="195">
        <v>4430000</v>
      </c>
      <c r="G166" s="195">
        <v>4430000</v>
      </c>
      <c r="H166" s="195">
        <v>2839290</v>
      </c>
      <c r="I166" s="195">
        <v>628315.38</v>
      </c>
      <c r="J166" s="195">
        <v>0</v>
      </c>
      <c r="K166" s="195">
        <v>910718.18</v>
      </c>
      <c r="L166" s="257">
        <f t="shared" si="8"/>
        <v>0.20557972460496615</v>
      </c>
      <c r="M166" s="195">
        <v>910718.18</v>
      </c>
      <c r="N166" s="257">
        <f t="shared" si="9"/>
        <v>0.20557972460496615</v>
      </c>
      <c r="O166" s="195">
        <v>51676.44</v>
      </c>
      <c r="P166" s="257">
        <f t="shared" si="10"/>
        <v>1.1665110609480812E-2</v>
      </c>
      <c r="Q166" s="195">
        <v>51676.44</v>
      </c>
      <c r="R166" s="260">
        <f t="shared" si="11"/>
        <v>0</v>
      </c>
    </row>
    <row r="167" spans="1:18" x14ac:dyDescent="0.25">
      <c r="A167" s="194" t="s">
        <v>544</v>
      </c>
      <c r="B167" s="194" t="s">
        <v>249</v>
      </c>
      <c r="C167" s="194" t="s">
        <v>250</v>
      </c>
      <c r="D167" s="194" t="s">
        <v>541</v>
      </c>
      <c r="E167" s="195">
        <v>8000000</v>
      </c>
      <c r="F167" s="195">
        <v>9000000</v>
      </c>
      <c r="G167" s="195">
        <v>8920000</v>
      </c>
      <c r="H167" s="195">
        <v>5360750</v>
      </c>
      <c r="I167" s="195">
        <v>493000</v>
      </c>
      <c r="J167" s="195">
        <v>0</v>
      </c>
      <c r="K167" s="195">
        <v>1983750</v>
      </c>
      <c r="L167" s="257">
        <f t="shared" si="8"/>
        <v>0.22041666666666668</v>
      </c>
      <c r="M167" s="195">
        <v>1983750</v>
      </c>
      <c r="N167" s="257">
        <f t="shared" si="9"/>
        <v>0.22041666666666668</v>
      </c>
      <c r="O167" s="195">
        <v>1162500</v>
      </c>
      <c r="P167" s="257">
        <f t="shared" si="10"/>
        <v>0.12916666666666668</v>
      </c>
      <c r="Q167" s="195">
        <v>1082500</v>
      </c>
      <c r="R167" s="260">
        <f t="shared" si="11"/>
        <v>-80000</v>
      </c>
    </row>
    <row r="168" spans="1:18" x14ac:dyDescent="0.25">
      <c r="A168" s="194" t="s">
        <v>544</v>
      </c>
      <c r="B168" s="194" t="s">
        <v>279</v>
      </c>
      <c r="C168" s="194" t="s">
        <v>280</v>
      </c>
      <c r="D168" s="194" t="s">
        <v>543</v>
      </c>
      <c r="E168" s="195">
        <v>29500000</v>
      </c>
      <c r="F168" s="195">
        <v>29500000</v>
      </c>
      <c r="G168" s="195">
        <v>29250000</v>
      </c>
      <c r="H168" s="195">
        <v>15205900</v>
      </c>
      <c r="I168" s="195">
        <v>4175000</v>
      </c>
      <c r="J168" s="195">
        <v>0</v>
      </c>
      <c r="K168" s="195">
        <v>9545831</v>
      </c>
      <c r="L168" s="257">
        <f t="shared" si="8"/>
        <v>0.32358749152542371</v>
      </c>
      <c r="M168" s="195">
        <v>9545831</v>
      </c>
      <c r="N168" s="257">
        <f t="shared" si="9"/>
        <v>0.32358749152542371</v>
      </c>
      <c r="O168" s="195">
        <v>573269</v>
      </c>
      <c r="P168" s="257">
        <f t="shared" si="10"/>
        <v>1.943284745762712E-2</v>
      </c>
      <c r="Q168" s="195">
        <v>323269</v>
      </c>
      <c r="R168" s="260">
        <f t="shared" si="11"/>
        <v>-250000</v>
      </c>
    </row>
    <row r="169" spans="1:18" x14ac:dyDescent="0.25">
      <c r="A169" s="194" t="s">
        <v>544</v>
      </c>
      <c r="B169" s="194" t="s">
        <v>281</v>
      </c>
      <c r="C169" s="194" t="s">
        <v>282</v>
      </c>
      <c r="D169" s="194" t="s">
        <v>543</v>
      </c>
      <c r="E169" s="195">
        <v>29500000</v>
      </c>
      <c r="F169" s="195">
        <v>29500000</v>
      </c>
      <c r="G169" s="195">
        <v>29250000</v>
      </c>
      <c r="H169" s="195">
        <v>15205900</v>
      </c>
      <c r="I169" s="195">
        <v>4175000</v>
      </c>
      <c r="J169" s="195">
        <v>0</v>
      </c>
      <c r="K169" s="195">
        <v>9545831</v>
      </c>
      <c r="L169" s="257">
        <f t="shared" si="8"/>
        <v>0.32358749152542371</v>
      </c>
      <c r="M169" s="195">
        <v>9545831</v>
      </c>
      <c r="N169" s="257">
        <f t="shared" si="9"/>
        <v>0.32358749152542371</v>
      </c>
      <c r="O169" s="195">
        <v>573269</v>
      </c>
      <c r="P169" s="257">
        <f t="shared" si="10"/>
        <v>1.943284745762712E-2</v>
      </c>
      <c r="Q169" s="195">
        <v>323269</v>
      </c>
      <c r="R169" s="260">
        <f t="shared" si="11"/>
        <v>-250000</v>
      </c>
    </row>
    <row r="170" spans="1:18" x14ac:dyDescent="0.25">
      <c r="A170" s="194" t="s">
        <v>544</v>
      </c>
      <c r="B170" s="194" t="s">
        <v>285</v>
      </c>
      <c r="C170" s="194" t="s">
        <v>286</v>
      </c>
      <c r="D170" s="194" t="s">
        <v>543</v>
      </c>
      <c r="E170" s="195">
        <v>4700000</v>
      </c>
      <c r="F170" s="195">
        <v>6950000</v>
      </c>
      <c r="G170" s="195">
        <v>6950000</v>
      </c>
      <c r="H170" s="195">
        <v>1372000</v>
      </c>
      <c r="I170" s="195">
        <v>4175000</v>
      </c>
      <c r="J170" s="195">
        <v>0</v>
      </c>
      <c r="K170" s="195">
        <v>1400320</v>
      </c>
      <c r="L170" s="257">
        <f t="shared" si="8"/>
        <v>0.20148489208633094</v>
      </c>
      <c r="M170" s="195">
        <v>1400320</v>
      </c>
      <c r="N170" s="257">
        <f t="shared" si="9"/>
        <v>0.20148489208633094</v>
      </c>
      <c r="O170" s="195">
        <v>2680</v>
      </c>
      <c r="P170" s="257">
        <f t="shared" si="10"/>
        <v>3.8561151079136689E-4</v>
      </c>
      <c r="Q170" s="195">
        <v>2680</v>
      </c>
      <c r="R170" s="260">
        <f t="shared" si="11"/>
        <v>0</v>
      </c>
    </row>
    <row r="171" spans="1:18" x14ac:dyDescent="0.25">
      <c r="A171" s="194" t="s">
        <v>544</v>
      </c>
      <c r="B171" s="194" t="s">
        <v>287</v>
      </c>
      <c r="C171" s="194" t="s">
        <v>288</v>
      </c>
      <c r="D171" s="194" t="s">
        <v>543</v>
      </c>
      <c r="E171" s="195">
        <v>3800000</v>
      </c>
      <c r="F171" s="195">
        <v>3300000</v>
      </c>
      <c r="G171" s="195">
        <v>3300000</v>
      </c>
      <c r="H171" s="195">
        <v>2358400</v>
      </c>
      <c r="I171" s="195">
        <v>0</v>
      </c>
      <c r="J171" s="195">
        <v>0</v>
      </c>
      <c r="K171" s="195">
        <v>913570</v>
      </c>
      <c r="L171" s="257">
        <f t="shared" si="8"/>
        <v>0.27683939393939394</v>
      </c>
      <c r="M171" s="195">
        <v>913570</v>
      </c>
      <c r="N171" s="257">
        <f t="shared" si="9"/>
        <v>0.27683939393939394</v>
      </c>
      <c r="O171" s="195">
        <v>28030</v>
      </c>
      <c r="P171" s="257">
        <f t="shared" si="10"/>
        <v>8.493939393939394E-3</v>
      </c>
      <c r="Q171" s="195">
        <v>28030</v>
      </c>
      <c r="R171" s="260">
        <f t="shared" si="11"/>
        <v>0</v>
      </c>
    </row>
    <row r="172" spans="1:18" x14ac:dyDescent="0.25">
      <c r="A172" s="194" t="s">
        <v>544</v>
      </c>
      <c r="B172" s="194" t="s">
        <v>289</v>
      </c>
      <c r="C172" s="194" t="s">
        <v>290</v>
      </c>
      <c r="D172" s="194" t="s">
        <v>543</v>
      </c>
      <c r="E172" s="195">
        <v>1000000</v>
      </c>
      <c r="F172" s="195">
        <v>250000</v>
      </c>
      <c r="G172" s="195">
        <v>0</v>
      </c>
      <c r="H172" s="195">
        <v>0</v>
      </c>
      <c r="I172" s="195">
        <v>0</v>
      </c>
      <c r="J172" s="195">
        <v>0</v>
      </c>
      <c r="K172" s="195">
        <v>0</v>
      </c>
      <c r="L172" s="257">
        <f t="shared" si="8"/>
        <v>0</v>
      </c>
      <c r="M172" s="195">
        <v>0</v>
      </c>
      <c r="N172" s="257">
        <f t="shared" si="9"/>
        <v>0</v>
      </c>
      <c r="O172" s="195">
        <v>250000</v>
      </c>
      <c r="P172" s="257">
        <f t="shared" si="10"/>
        <v>1</v>
      </c>
      <c r="Q172" s="195">
        <v>0</v>
      </c>
      <c r="R172" s="260">
        <f t="shared" si="11"/>
        <v>-250000</v>
      </c>
    </row>
    <row r="173" spans="1:18" x14ac:dyDescent="0.25">
      <c r="A173" s="194" t="s">
        <v>544</v>
      </c>
      <c r="B173" s="194" t="s">
        <v>293</v>
      </c>
      <c r="C173" s="194" t="s">
        <v>294</v>
      </c>
      <c r="D173" s="194" t="s">
        <v>543</v>
      </c>
      <c r="E173" s="195">
        <v>16000000</v>
      </c>
      <c r="F173" s="195">
        <v>16000000</v>
      </c>
      <c r="G173" s="195">
        <v>16000000</v>
      </c>
      <c r="H173" s="195">
        <v>8967500</v>
      </c>
      <c r="I173" s="195">
        <v>0</v>
      </c>
      <c r="J173" s="195">
        <v>0</v>
      </c>
      <c r="K173" s="195">
        <v>7031501</v>
      </c>
      <c r="L173" s="257">
        <f t="shared" si="8"/>
        <v>0.43946881249999997</v>
      </c>
      <c r="M173" s="195">
        <v>7031501</v>
      </c>
      <c r="N173" s="257">
        <f t="shared" si="9"/>
        <v>0.43946881249999997</v>
      </c>
      <c r="O173" s="195">
        <v>999</v>
      </c>
      <c r="P173" s="257">
        <f t="shared" si="10"/>
        <v>6.2437500000000007E-5</v>
      </c>
      <c r="Q173" s="195">
        <v>999</v>
      </c>
      <c r="R173" s="260">
        <f t="shared" si="11"/>
        <v>0</v>
      </c>
    </row>
    <row r="174" spans="1:18" x14ac:dyDescent="0.25">
      <c r="A174" s="194" t="s">
        <v>544</v>
      </c>
      <c r="B174" s="194" t="s">
        <v>295</v>
      </c>
      <c r="C174" s="194" t="s">
        <v>296</v>
      </c>
      <c r="D174" s="194" t="s">
        <v>543</v>
      </c>
      <c r="E174" s="195">
        <v>4000000</v>
      </c>
      <c r="F174" s="195">
        <v>3000000</v>
      </c>
      <c r="G174" s="195">
        <v>3000000</v>
      </c>
      <c r="H174" s="195">
        <v>2508000</v>
      </c>
      <c r="I174" s="195">
        <v>0</v>
      </c>
      <c r="J174" s="195">
        <v>0</v>
      </c>
      <c r="K174" s="195">
        <v>200440</v>
      </c>
      <c r="L174" s="257">
        <f t="shared" si="8"/>
        <v>6.6813333333333336E-2</v>
      </c>
      <c r="M174" s="195">
        <v>200440</v>
      </c>
      <c r="N174" s="257">
        <f t="shared" si="9"/>
        <v>6.6813333333333336E-2</v>
      </c>
      <c r="O174" s="195">
        <v>291560</v>
      </c>
      <c r="P174" s="257">
        <f t="shared" si="10"/>
        <v>9.7186666666666671E-2</v>
      </c>
      <c r="Q174" s="195">
        <v>291560</v>
      </c>
      <c r="R174" s="260">
        <f t="shared" si="11"/>
        <v>0</v>
      </c>
    </row>
    <row r="175" spans="1:18" x14ac:dyDescent="0.25">
      <c r="A175" s="194" t="s">
        <v>544</v>
      </c>
      <c r="B175" s="194" t="s">
        <v>251</v>
      </c>
      <c r="C175" s="194" t="s">
        <v>252</v>
      </c>
      <c r="D175" s="194" t="s">
        <v>541</v>
      </c>
      <c r="E175" s="195">
        <v>43960000</v>
      </c>
      <c r="F175" s="195">
        <v>43960000</v>
      </c>
      <c r="G175" s="195">
        <v>35424785</v>
      </c>
      <c r="H175" s="195">
        <v>0</v>
      </c>
      <c r="I175" s="195">
        <v>2643509</v>
      </c>
      <c r="J175" s="195">
        <v>0</v>
      </c>
      <c r="K175" s="195">
        <v>28786508.350000001</v>
      </c>
      <c r="L175" s="257">
        <f t="shared" si="8"/>
        <v>0.65483412989080991</v>
      </c>
      <c r="M175" s="195">
        <v>28786508.350000001</v>
      </c>
      <c r="N175" s="257">
        <f t="shared" si="9"/>
        <v>0.65483412989080991</v>
      </c>
      <c r="O175" s="195">
        <v>12529982.65</v>
      </c>
      <c r="P175" s="257">
        <f t="shared" si="10"/>
        <v>0.28503145245677891</v>
      </c>
      <c r="Q175" s="195">
        <v>3994767.65</v>
      </c>
      <c r="R175" s="260">
        <f t="shared" si="11"/>
        <v>-8535215</v>
      </c>
    </row>
    <row r="176" spans="1:18" x14ac:dyDescent="0.25">
      <c r="A176" s="194" t="s">
        <v>544</v>
      </c>
      <c r="B176" s="194" t="s">
        <v>253</v>
      </c>
      <c r="C176" s="194" t="s">
        <v>254</v>
      </c>
      <c r="D176" s="194" t="s">
        <v>541</v>
      </c>
      <c r="E176" s="195">
        <v>11142000</v>
      </c>
      <c r="F176" s="195">
        <v>11142000</v>
      </c>
      <c r="G176" s="195">
        <v>10606785</v>
      </c>
      <c r="H176" s="195">
        <v>0</v>
      </c>
      <c r="I176" s="195">
        <v>2643509</v>
      </c>
      <c r="J176" s="195">
        <v>0</v>
      </c>
      <c r="K176" s="195">
        <v>7963276</v>
      </c>
      <c r="L176" s="257">
        <f t="shared" si="8"/>
        <v>0.71470795189373537</v>
      </c>
      <c r="M176" s="195">
        <v>7963276</v>
      </c>
      <c r="N176" s="257">
        <f t="shared" si="9"/>
        <v>0.71470795189373537</v>
      </c>
      <c r="O176" s="195">
        <v>535215</v>
      </c>
      <c r="P176" s="257">
        <f t="shared" si="10"/>
        <v>4.8035810446957455E-2</v>
      </c>
      <c r="Q176" s="195">
        <v>0</v>
      </c>
      <c r="R176" s="260">
        <f t="shared" si="11"/>
        <v>-535215</v>
      </c>
    </row>
    <row r="177" spans="1:18" x14ac:dyDescent="0.25">
      <c r="A177" s="194" t="s">
        <v>544</v>
      </c>
      <c r="B177" s="194" t="s">
        <v>311</v>
      </c>
      <c r="C177" s="194" t="s">
        <v>602</v>
      </c>
      <c r="D177" s="194" t="s">
        <v>541</v>
      </c>
      <c r="E177" s="195">
        <v>9273000</v>
      </c>
      <c r="F177" s="195">
        <v>9273000</v>
      </c>
      <c r="G177" s="195">
        <v>8827585</v>
      </c>
      <c r="H177" s="195">
        <v>0</v>
      </c>
      <c r="I177" s="195">
        <v>2200427</v>
      </c>
      <c r="J177" s="195">
        <v>0</v>
      </c>
      <c r="K177" s="195">
        <v>6627158</v>
      </c>
      <c r="L177" s="257">
        <f t="shared" si="8"/>
        <v>0.71467249002480315</v>
      </c>
      <c r="M177" s="195">
        <v>6627158</v>
      </c>
      <c r="N177" s="257">
        <f t="shared" si="9"/>
        <v>0.71467249002480315</v>
      </c>
      <c r="O177" s="195">
        <v>445415</v>
      </c>
      <c r="P177" s="257">
        <f t="shared" si="10"/>
        <v>4.8033538229267765E-2</v>
      </c>
      <c r="Q177" s="195">
        <v>0</v>
      </c>
      <c r="R177" s="260">
        <f t="shared" si="11"/>
        <v>-445415</v>
      </c>
    </row>
    <row r="178" spans="1:18" x14ac:dyDescent="0.25">
      <c r="A178" s="194" t="s">
        <v>544</v>
      </c>
      <c r="B178" s="194" t="s">
        <v>312</v>
      </c>
      <c r="C178" s="194" t="s">
        <v>603</v>
      </c>
      <c r="D178" s="194" t="s">
        <v>541</v>
      </c>
      <c r="E178" s="195">
        <v>1869000</v>
      </c>
      <c r="F178" s="195">
        <v>1869000</v>
      </c>
      <c r="G178" s="195">
        <v>1779200</v>
      </c>
      <c r="H178" s="195">
        <v>0</v>
      </c>
      <c r="I178" s="195">
        <v>443082</v>
      </c>
      <c r="J178" s="195">
        <v>0</v>
      </c>
      <c r="K178" s="195">
        <v>1336118</v>
      </c>
      <c r="L178" s="257">
        <f t="shared" si="8"/>
        <v>0.71488389513108619</v>
      </c>
      <c r="M178" s="195">
        <v>1336118</v>
      </c>
      <c r="N178" s="257">
        <f t="shared" si="9"/>
        <v>0.71488389513108619</v>
      </c>
      <c r="O178" s="195">
        <v>89800</v>
      </c>
      <c r="P178" s="257">
        <f t="shared" si="10"/>
        <v>4.8047084002140181E-2</v>
      </c>
      <c r="Q178" s="195">
        <v>0</v>
      </c>
      <c r="R178" s="260">
        <f t="shared" si="11"/>
        <v>-89800</v>
      </c>
    </row>
    <row r="179" spans="1:18" x14ac:dyDescent="0.25">
      <c r="A179" s="194" t="s">
        <v>544</v>
      </c>
      <c r="B179" s="194" t="s">
        <v>261</v>
      </c>
      <c r="C179" s="194" t="s">
        <v>262</v>
      </c>
      <c r="D179" s="194" t="s">
        <v>541</v>
      </c>
      <c r="E179" s="195">
        <v>24818000</v>
      </c>
      <c r="F179" s="195">
        <v>26818000</v>
      </c>
      <c r="G179" s="195">
        <v>24818000</v>
      </c>
      <c r="H179" s="195">
        <v>0</v>
      </c>
      <c r="I179" s="195">
        <v>0</v>
      </c>
      <c r="J179" s="195">
        <v>0</v>
      </c>
      <c r="K179" s="195">
        <v>20823232.350000001</v>
      </c>
      <c r="L179" s="257">
        <f t="shared" si="8"/>
        <v>0.77646477552390192</v>
      </c>
      <c r="M179" s="195">
        <v>20823232.350000001</v>
      </c>
      <c r="N179" s="257">
        <f t="shared" si="9"/>
        <v>0.77646477552390192</v>
      </c>
      <c r="O179" s="195">
        <v>5994767.6500000004</v>
      </c>
      <c r="P179" s="257">
        <f t="shared" si="10"/>
        <v>0.22353522447609817</v>
      </c>
      <c r="Q179" s="195">
        <v>3994767.65</v>
      </c>
      <c r="R179" s="260">
        <f t="shared" si="11"/>
        <v>-2000000</v>
      </c>
    </row>
    <row r="180" spans="1:18" x14ac:dyDescent="0.25">
      <c r="A180" s="194" t="s">
        <v>544</v>
      </c>
      <c r="B180" s="194" t="s">
        <v>263</v>
      </c>
      <c r="C180" s="194" t="s">
        <v>264</v>
      </c>
      <c r="D180" s="194" t="s">
        <v>541</v>
      </c>
      <c r="E180" s="195">
        <v>17000000</v>
      </c>
      <c r="F180" s="195">
        <v>19000000</v>
      </c>
      <c r="G180" s="195">
        <v>17000000</v>
      </c>
      <c r="H180" s="195">
        <v>0</v>
      </c>
      <c r="I180" s="195">
        <v>0</v>
      </c>
      <c r="J180" s="195">
        <v>0</v>
      </c>
      <c r="K180" s="195">
        <v>16932874.350000001</v>
      </c>
      <c r="L180" s="257">
        <f t="shared" si="8"/>
        <v>0.89120391315789482</v>
      </c>
      <c r="M180" s="195">
        <v>16932874.350000001</v>
      </c>
      <c r="N180" s="257">
        <f t="shared" si="9"/>
        <v>0.89120391315789482</v>
      </c>
      <c r="O180" s="195">
        <v>2067125.65</v>
      </c>
      <c r="P180" s="257">
        <f t="shared" si="10"/>
        <v>0.10879608684210526</v>
      </c>
      <c r="Q180" s="195">
        <v>67125.649999999994</v>
      </c>
      <c r="R180" s="260">
        <f t="shared" si="11"/>
        <v>-2000000</v>
      </c>
    </row>
    <row r="181" spans="1:18" x14ac:dyDescent="0.25">
      <c r="A181" s="194" t="s">
        <v>544</v>
      </c>
      <c r="B181" s="194" t="s">
        <v>265</v>
      </c>
      <c r="C181" s="194" t="s">
        <v>266</v>
      </c>
      <c r="D181" s="194" t="s">
        <v>541</v>
      </c>
      <c r="E181" s="195">
        <v>7818000</v>
      </c>
      <c r="F181" s="195">
        <v>7818000</v>
      </c>
      <c r="G181" s="195">
        <v>7818000</v>
      </c>
      <c r="H181" s="195">
        <v>0</v>
      </c>
      <c r="I181" s="195">
        <v>0</v>
      </c>
      <c r="J181" s="195">
        <v>0</v>
      </c>
      <c r="K181" s="195">
        <v>3890358</v>
      </c>
      <c r="L181" s="257">
        <f t="shared" si="8"/>
        <v>0.49761550268610899</v>
      </c>
      <c r="M181" s="195">
        <v>3890358</v>
      </c>
      <c r="N181" s="257">
        <f t="shared" si="9"/>
        <v>0.49761550268610899</v>
      </c>
      <c r="O181" s="195">
        <v>3927642</v>
      </c>
      <c r="P181" s="257">
        <f t="shared" si="10"/>
        <v>0.50238449731389101</v>
      </c>
      <c r="Q181" s="195">
        <v>3927642</v>
      </c>
      <c r="R181" s="260">
        <f t="shared" si="11"/>
        <v>0</v>
      </c>
    </row>
    <row r="182" spans="1:18" x14ac:dyDescent="0.25">
      <c r="A182" s="194" t="s">
        <v>544</v>
      </c>
      <c r="B182" s="194" t="s">
        <v>267</v>
      </c>
      <c r="C182" s="194" t="s">
        <v>268</v>
      </c>
      <c r="D182" s="194" t="s">
        <v>541</v>
      </c>
      <c r="E182" s="195">
        <v>8000000</v>
      </c>
      <c r="F182" s="195">
        <v>6000000</v>
      </c>
      <c r="G182" s="195">
        <v>0</v>
      </c>
      <c r="H182" s="195">
        <v>0</v>
      </c>
      <c r="I182" s="195">
        <v>0</v>
      </c>
      <c r="J182" s="195">
        <v>0</v>
      </c>
      <c r="K182" s="195">
        <v>0</v>
      </c>
      <c r="L182" s="257">
        <f t="shared" si="8"/>
        <v>0</v>
      </c>
      <c r="M182" s="195">
        <v>0</v>
      </c>
      <c r="N182" s="257">
        <f t="shared" si="9"/>
        <v>0</v>
      </c>
      <c r="O182" s="195">
        <v>6000000</v>
      </c>
      <c r="P182" s="257">
        <f t="shared" si="10"/>
        <v>1</v>
      </c>
      <c r="Q182" s="195">
        <v>0</v>
      </c>
      <c r="R182" s="260">
        <f t="shared" si="11"/>
        <v>-6000000</v>
      </c>
    </row>
    <row r="183" spans="1:18" x14ac:dyDescent="0.25">
      <c r="A183" s="194" t="s">
        <v>544</v>
      </c>
      <c r="B183" s="194" t="s">
        <v>269</v>
      </c>
      <c r="C183" s="194" t="s">
        <v>270</v>
      </c>
      <c r="D183" s="194" t="s">
        <v>541</v>
      </c>
      <c r="E183" s="195">
        <v>8000000</v>
      </c>
      <c r="F183" s="195">
        <v>6000000</v>
      </c>
      <c r="G183" s="195">
        <v>0</v>
      </c>
      <c r="H183" s="195">
        <v>0</v>
      </c>
      <c r="I183" s="195">
        <v>0</v>
      </c>
      <c r="J183" s="195">
        <v>0</v>
      </c>
      <c r="K183" s="195">
        <v>0</v>
      </c>
      <c r="L183" s="257">
        <f t="shared" si="8"/>
        <v>0</v>
      </c>
      <c r="M183" s="195">
        <v>0</v>
      </c>
      <c r="N183" s="257">
        <f t="shared" si="9"/>
        <v>0</v>
      </c>
      <c r="O183" s="195">
        <v>6000000</v>
      </c>
      <c r="P183" s="257">
        <f t="shared" si="10"/>
        <v>1</v>
      </c>
      <c r="Q183" s="195">
        <v>0</v>
      </c>
      <c r="R183" s="260">
        <f t="shared" si="11"/>
        <v>-6000000</v>
      </c>
    </row>
    <row r="184" spans="1:18" x14ac:dyDescent="0.25">
      <c r="A184" s="194" t="s">
        <v>545</v>
      </c>
      <c r="B184" s="194" t="s">
        <v>587</v>
      </c>
      <c r="C184" s="194" t="s">
        <v>587</v>
      </c>
      <c r="D184" s="194" t="s">
        <v>541</v>
      </c>
      <c r="E184" s="195">
        <v>11325587195</v>
      </c>
      <c r="F184" s="195">
        <v>11325587195</v>
      </c>
      <c r="G184" s="195">
        <v>10833197887</v>
      </c>
      <c r="H184" s="195">
        <v>7801036.5099999998</v>
      </c>
      <c r="I184" s="195">
        <v>650368919.38</v>
      </c>
      <c r="J184" s="195">
        <v>5402220.5800000001</v>
      </c>
      <c r="K184" s="195">
        <v>7683069814.5799999</v>
      </c>
      <c r="L184" s="257">
        <f t="shared" si="8"/>
        <v>0.67838158695841466</v>
      </c>
      <c r="M184" s="195">
        <v>7617099648.4799995</v>
      </c>
      <c r="N184" s="257">
        <f t="shared" si="9"/>
        <v>0.67255670874555473</v>
      </c>
      <c r="O184" s="195">
        <v>2978945203.9499998</v>
      </c>
      <c r="P184" s="257">
        <f t="shared" si="10"/>
        <v>0.2630278812620982</v>
      </c>
      <c r="Q184" s="195">
        <v>2486555895.9499998</v>
      </c>
      <c r="R184" s="260">
        <f t="shared" si="11"/>
        <v>-492389308</v>
      </c>
    </row>
    <row r="185" spans="1:18" x14ac:dyDescent="0.25">
      <c r="A185" s="194" t="s">
        <v>545</v>
      </c>
      <c r="B185" s="194" t="s">
        <v>92</v>
      </c>
      <c r="C185" s="194" t="s">
        <v>93</v>
      </c>
      <c r="D185" s="194" t="s">
        <v>541</v>
      </c>
      <c r="E185" s="195">
        <v>9908319000</v>
      </c>
      <c r="F185" s="195">
        <v>9899719000</v>
      </c>
      <c r="G185" s="195">
        <v>9514490916</v>
      </c>
      <c r="H185" s="195">
        <v>0</v>
      </c>
      <c r="I185" s="195">
        <v>347600880.19999999</v>
      </c>
      <c r="J185" s="195">
        <v>0</v>
      </c>
      <c r="K185" s="195">
        <v>6828739077.6999998</v>
      </c>
      <c r="L185" s="257">
        <f t="shared" si="8"/>
        <v>0.68979120293212359</v>
      </c>
      <c r="M185" s="195">
        <v>6828739077.6999998</v>
      </c>
      <c r="N185" s="257">
        <f t="shared" si="9"/>
        <v>0.68979120293212359</v>
      </c>
      <c r="O185" s="195">
        <v>2723379042.0999999</v>
      </c>
      <c r="P185" s="257">
        <f t="shared" si="10"/>
        <v>0.27509660042875961</v>
      </c>
      <c r="Q185" s="195">
        <v>2338150958.0999999</v>
      </c>
      <c r="R185" s="260">
        <f t="shared" si="11"/>
        <v>-385228084</v>
      </c>
    </row>
    <row r="186" spans="1:18" x14ac:dyDescent="0.25">
      <c r="A186" s="194" t="s">
        <v>545</v>
      </c>
      <c r="B186" s="194" t="s">
        <v>94</v>
      </c>
      <c r="C186" s="194" t="s">
        <v>95</v>
      </c>
      <c r="D186" s="194" t="s">
        <v>541</v>
      </c>
      <c r="E186" s="195">
        <v>3418584000</v>
      </c>
      <c r="F186" s="195">
        <v>3418584000</v>
      </c>
      <c r="G186" s="195">
        <v>3260701074</v>
      </c>
      <c r="H186" s="195">
        <v>0</v>
      </c>
      <c r="I186" s="195">
        <v>0</v>
      </c>
      <c r="J186" s="195">
        <v>0</v>
      </c>
      <c r="K186" s="195">
        <v>2491538233.21</v>
      </c>
      <c r="L186" s="257">
        <f t="shared" si="8"/>
        <v>0.72882170899120802</v>
      </c>
      <c r="M186" s="195">
        <v>2491538233.21</v>
      </c>
      <c r="N186" s="257">
        <f t="shared" si="9"/>
        <v>0.72882170899120802</v>
      </c>
      <c r="O186" s="195">
        <v>927045766.78999996</v>
      </c>
      <c r="P186" s="257">
        <f t="shared" si="10"/>
        <v>0.27117829100879193</v>
      </c>
      <c r="Q186" s="195">
        <v>769162840.78999996</v>
      </c>
      <c r="R186" s="260">
        <f t="shared" si="11"/>
        <v>-157882926</v>
      </c>
    </row>
    <row r="187" spans="1:18" x14ac:dyDescent="0.25">
      <c r="A187" s="194" t="s">
        <v>545</v>
      </c>
      <c r="B187" s="194" t="s">
        <v>96</v>
      </c>
      <c r="C187" s="194" t="s">
        <v>97</v>
      </c>
      <c r="D187" s="194" t="s">
        <v>541</v>
      </c>
      <c r="E187" s="195">
        <v>3413584000</v>
      </c>
      <c r="F187" s="195">
        <v>3413584000</v>
      </c>
      <c r="G187" s="195">
        <v>3255701074</v>
      </c>
      <c r="H187" s="195">
        <v>0</v>
      </c>
      <c r="I187" s="195">
        <v>0</v>
      </c>
      <c r="J187" s="195">
        <v>0</v>
      </c>
      <c r="K187" s="195">
        <v>2491538233.21</v>
      </c>
      <c r="L187" s="257">
        <f t="shared" si="8"/>
        <v>0.72988924051964155</v>
      </c>
      <c r="M187" s="195">
        <v>2491538233.21</v>
      </c>
      <c r="N187" s="257">
        <f t="shared" si="9"/>
        <v>0.72988924051964155</v>
      </c>
      <c r="O187" s="195">
        <v>922045766.78999996</v>
      </c>
      <c r="P187" s="257">
        <f t="shared" si="10"/>
        <v>0.27011075948035845</v>
      </c>
      <c r="Q187" s="195">
        <v>764162840.78999996</v>
      </c>
      <c r="R187" s="260">
        <f t="shared" si="11"/>
        <v>-157882926</v>
      </c>
    </row>
    <row r="188" spans="1:18" x14ac:dyDescent="0.25">
      <c r="A188" s="194" t="s">
        <v>545</v>
      </c>
      <c r="B188" s="194" t="s">
        <v>313</v>
      </c>
      <c r="C188" s="194" t="s">
        <v>314</v>
      </c>
      <c r="D188" s="194" t="s">
        <v>541</v>
      </c>
      <c r="E188" s="195">
        <v>5000000</v>
      </c>
      <c r="F188" s="195">
        <v>5000000</v>
      </c>
      <c r="G188" s="195">
        <v>5000000</v>
      </c>
      <c r="H188" s="195">
        <v>0</v>
      </c>
      <c r="I188" s="195">
        <v>0</v>
      </c>
      <c r="J188" s="195">
        <v>0</v>
      </c>
      <c r="K188" s="195">
        <v>0</v>
      </c>
      <c r="L188" s="257">
        <f t="shared" si="8"/>
        <v>0</v>
      </c>
      <c r="M188" s="195">
        <v>0</v>
      </c>
      <c r="N188" s="257">
        <f t="shared" si="9"/>
        <v>0</v>
      </c>
      <c r="O188" s="195">
        <v>5000000</v>
      </c>
      <c r="P188" s="257">
        <f t="shared" si="10"/>
        <v>1</v>
      </c>
      <c r="Q188" s="195">
        <v>5000000</v>
      </c>
      <c r="R188" s="260">
        <f t="shared" si="11"/>
        <v>0</v>
      </c>
    </row>
    <row r="189" spans="1:18" x14ac:dyDescent="0.25">
      <c r="A189" s="194" t="s">
        <v>545</v>
      </c>
      <c r="B189" s="194" t="s">
        <v>98</v>
      </c>
      <c r="C189" s="194" t="s">
        <v>99</v>
      </c>
      <c r="D189" s="194" t="s">
        <v>541</v>
      </c>
      <c r="E189" s="195">
        <v>11000000</v>
      </c>
      <c r="F189" s="195">
        <v>11000000</v>
      </c>
      <c r="G189" s="195">
        <v>11000000</v>
      </c>
      <c r="H189" s="195">
        <v>0</v>
      </c>
      <c r="I189" s="195">
        <v>0</v>
      </c>
      <c r="J189" s="195">
        <v>0</v>
      </c>
      <c r="K189" s="195">
        <v>5374390.2400000002</v>
      </c>
      <c r="L189" s="257">
        <f t="shared" si="8"/>
        <v>0.48858093090909094</v>
      </c>
      <c r="M189" s="195">
        <v>5374390.2400000002</v>
      </c>
      <c r="N189" s="257">
        <f t="shared" si="9"/>
        <v>0.48858093090909094</v>
      </c>
      <c r="O189" s="195">
        <v>5625609.7599999998</v>
      </c>
      <c r="P189" s="257">
        <f t="shared" si="10"/>
        <v>0.51141906909090906</v>
      </c>
      <c r="Q189" s="195">
        <v>5625609.7599999998</v>
      </c>
      <c r="R189" s="260">
        <f t="shared" si="11"/>
        <v>0</v>
      </c>
    </row>
    <row r="190" spans="1:18" x14ac:dyDescent="0.25">
      <c r="A190" s="194" t="s">
        <v>545</v>
      </c>
      <c r="B190" s="194" t="s">
        <v>100</v>
      </c>
      <c r="C190" s="194" t="s">
        <v>101</v>
      </c>
      <c r="D190" s="194" t="s">
        <v>541</v>
      </c>
      <c r="E190" s="195">
        <v>11000000</v>
      </c>
      <c r="F190" s="195">
        <v>11000000</v>
      </c>
      <c r="G190" s="195">
        <v>11000000</v>
      </c>
      <c r="H190" s="195">
        <v>0</v>
      </c>
      <c r="I190" s="195">
        <v>0</v>
      </c>
      <c r="J190" s="195">
        <v>0</v>
      </c>
      <c r="K190" s="195">
        <v>5374390.2400000002</v>
      </c>
      <c r="L190" s="257">
        <f t="shared" si="8"/>
        <v>0.48858093090909094</v>
      </c>
      <c r="M190" s="195">
        <v>5374390.2400000002</v>
      </c>
      <c r="N190" s="257">
        <f t="shared" si="9"/>
        <v>0.48858093090909094</v>
      </c>
      <c r="O190" s="195">
        <v>5625609.7599999998</v>
      </c>
      <c r="P190" s="257">
        <f t="shared" si="10"/>
        <v>0.51141906909090906</v>
      </c>
      <c r="Q190" s="195">
        <v>5625609.7599999998</v>
      </c>
      <c r="R190" s="260">
        <f t="shared" si="11"/>
        <v>0</v>
      </c>
    </row>
    <row r="191" spans="1:18" x14ac:dyDescent="0.25">
      <c r="A191" s="194" t="s">
        <v>545</v>
      </c>
      <c r="B191" s="194" t="s">
        <v>102</v>
      </c>
      <c r="C191" s="194" t="s">
        <v>103</v>
      </c>
      <c r="D191" s="194" t="s">
        <v>541</v>
      </c>
      <c r="E191" s="195">
        <v>4978167000</v>
      </c>
      <c r="F191" s="195">
        <v>4969567000</v>
      </c>
      <c r="G191" s="195">
        <v>4800097989</v>
      </c>
      <c r="H191" s="195">
        <v>0</v>
      </c>
      <c r="I191" s="195">
        <v>66935.199999999997</v>
      </c>
      <c r="J191" s="195">
        <v>0</v>
      </c>
      <c r="K191" s="195">
        <v>3236668546.25</v>
      </c>
      <c r="L191" s="257">
        <f t="shared" si="8"/>
        <v>0.65129789904231095</v>
      </c>
      <c r="M191" s="195">
        <v>3236668546.25</v>
      </c>
      <c r="N191" s="257">
        <f t="shared" si="9"/>
        <v>0.65129789904231095</v>
      </c>
      <c r="O191" s="195">
        <v>1732831518.55</v>
      </c>
      <c r="P191" s="257">
        <f t="shared" si="10"/>
        <v>0.34868863193714866</v>
      </c>
      <c r="Q191" s="195">
        <v>1563362507.55</v>
      </c>
      <c r="R191" s="260">
        <f t="shared" si="11"/>
        <v>-169469011</v>
      </c>
    </row>
    <row r="192" spans="1:18" x14ac:dyDescent="0.25">
      <c r="A192" s="194" t="s">
        <v>545</v>
      </c>
      <c r="B192" s="194" t="s">
        <v>104</v>
      </c>
      <c r="C192" s="194" t="s">
        <v>105</v>
      </c>
      <c r="D192" s="194" t="s">
        <v>541</v>
      </c>
      <c r="E192" s="195">
        <v>913627000</v>
      </c>
      <c r="F192" s="195">
        <v>905027000</v>
      </c>
      <c r="G192" s="195">
        <v>873921834</v>
      </c>
      <c r="H192" s="195">
        <v>0</v>
      </c>
      <c r="I192" s="195">
        <v>61854.400000000001</v>
      </c>
      <c r="J192" s="195">
        <v>0</v>
      </c>
      <c r="K192" s="195">
        <v>633449204.04999995</v>
      </c>
      <c r="L192" s="257">
        <f t="shared" si="8"/>
        <v>0.69992299019808246</v>
      </c>
      <c r="M192" s="195">
        <v>633449204.04999995</v>
      </c>
      <c r="N192" s="257">
        <f t="shared" si="9"/>
        <v>0.69992299019808246</v>
      </c>
      <c r="O192" s="195">
        <v>271515941.55000001</v>
      </c>
      <c r="P192" s="257">
        <f t="shared" si="10"/>
        <v>0.30000866443763557</v>
      </c>
      <c r="Q192" s="195">
        <v>240410775.55000001</v>
      </c>
      <c r="R192" s="260">
        <f t="shared" si="11"/>
        <v>-31105166</v>
      </c>
    </row>
    <row r="193" spans="1:18" x14ac:dyDescent="0.25">
      <c r="A193" s="194" t="s">
        <v>545</v>
      </c>
      <c r="B193" s="194" t="s">
        <v>106</v>
      </c>
      <c r="C193" s="194" t="s">
        <v>107</v>
      </c>
      <c r="D193" s="194" t="s">
        <v>541</v>
      </c>
      <c r="E193" s="195">
        <v>2244831000</v>
      </c>
      <c r="F193" s="195">
        <v>2244831000</v>
      </c>
      <c r="G193" s="195">
        <v>2154630736</v>
      </c>
      <c r="H193" s="195">
        <v>0</v>
      </c>
      <c r="I193" s="195">
        <v>0</v>
      </c>
      <c r="J193" s="195">
        <v>0</v>
      </c>
      <c r="K193" s="195">
        <v>1643854392.51</v>
      </c>
      <c r="L193" s="257">
        <f t="shared" si="8"/>
        <v>0.73228425325113555</v>
      </c>
      <c r="M193" s="195">
        <v>1643854392.51</v>
      </c>
      <c r="N193" s="257">
        <f t="shared" si="9"/>
        <v>0.73228425325113555</v>
      </c>
      <c r="O193" s="195">
        <v>600976607.49000001</v>
      </c>
      <c r="P193" s="257">
        <f t="shared" si="10"/>
        <v>0.26771574674886439</v>
      </c>
      <c r="Q193" s="195">
        <v>510776343.49000001</v>
      </c>
      <c r="R193" s="260">
        <f t="shared" si="11"/>
        <v>-90200264</v>
      </c>
    </row>
    <row r="194" spans="1:18" x14ac:dyDescent="0.25">
      <c r="A194" s="194" t="s">
        <v>545</v>
      </c>
      <c r="B194" s="194" t="s">
        <v>112</v>
      </c>
      <c r="C194" s="194" t="s">
        <v>113</v>
      </c>
      <c r="D194" s="194" t="s">
        <v>543</v>
      </c>
      <c r="E194" s="195">
        <v>647839000</v>
      </c>
      <c r="F194" s="195">
        <v>647839000</v>
      </c>
      <c r="G194" s="195">
        <v>622898064</v>
      </c>
      <c r="H194" s="195">
        <v>0</v>
      </c>
      <c r="I194" s="195">
        <v>4.32</v>
      </c>
      <c r="J194" s="195">
        <v>0</v>
      </c>
      <c r="K194" s="195">
        <v>795760.88</v>
      </c>
      <c r="L194" s="257">
        <f t="shared" si="8"/>
        <v>1.2283312366189749E-3</v>
      </c>
      <c r="M194" s="195">
        <v>795760.88</v>
      </c>
      <c r="N194" s="257">
        <f t="shared" si="9"/>
        <v>1.2283312366189749E-3</v>
      </c>
      <c r="O194" s="195">
        <v>647043234.79999995</v>
      </c>
      <c r="P194" s="257">
        <f t="shared" si="10"/>
        <v>0.99877166209505752</v>
      </c>
      <c r="Q194" s="195">
        <v>622102298.79999995</v>
      </c>
      <c r="R194" s="260">
        <f t="shared" si="11"/>
        <v>-24940936</v>
      </c>
    </row>
    <row r="195" spans="1:18" x14ac:dyDescent="0.25">
      <c r="A195" s="194" t="s">
        <v>545</v>
      </c>
      <c r="B195" s="194" t="s">
        <v>108</v>
      </c>
      <c r="C195" s="194" t="s">
        <v>109</v>
      </c>
      <c r="D195" s="194" t="s">
        <v>541</v>
      </c>
      <c r="E195" s="195">
        <v>540993000</v>
      </c>
      <c r="F195" s="195">
        <v>540993000</v>
      </c>
      <c r="G195" s="195">
        <v>537993000</v>
      </c>
      <c r="H195" s="195">
        <v>0</v>
      </c>
      <c r="I195" s="195">
        <v>5076.4799999999996</v>
      </c>
      <c r="J195" s="195">
        <v>0</v>
      </c>
      <c r="K195" s="195">
        <v>494427385.87</v>
      </c>
      <c r="L195" s="257">
        <f t="shared" ref="L195:L258" si="12">+K195/F195</f>
        <v>0.91392566238380168</v>
      </c>
      <c r="M195" s="195">
        <v>494427385.87</v>
      </c>
      <c r="N195" s="257">
        <f t="shared" ref="N195:N258" si="13">+M195/F195</f>
        <v>0.91392566238380168</v>
      </c>
      <c r="O195" s="195">
        <v>46560537.649999999</v>
      </c>
      <c r="P195" s="257">
        <f t="shared" ref="P195:P258" si="14">+O195/F195</f>
        <v>8.6064953982768727E-2</v>
      </c>
      <c r="Q195" s="195">
        <v>43560537.649999999</v>
      </c>
      <c r="R195" s="260">
        <f t="shared" si="11"/>
        <v>-3000000</v>
      </c>
    </row>
    <row r="196" spans="1:18" x14ac:dyDescent="0.25">
      <c r="A196" s="194" t="s">
        <v>545</v>
      </c>
      <c r="B196" s="194" t="s">
        <v>110</v>
      </c>
      <c r="C196" s="194" t="s">
        <v>111</v>
      </c>
      <c r="D196" s="194" t="s">
        <v>541</v>
      </c>
      <c r="E196" s="195">
        <v>630877000</v>
      </c>
      <c r="F196" s="195">
        <v>630877000</v>
      </c>
      <c r="G196" s="195">
        <v>610654355</v>
      </c>
      <c r="H196" s="195">
        <v>0</v>
      </c>
      <c r="I196" s="195">
        <v>0</v>
      </c>
      <c r="J196" s="195">
        <v>0</v>
      </c>
      <c r="K196" s="195">
        <v>464141802.94</v>
      </c>
      <c r="L196" s="257">
        <f t="shared" si="12"/>
        <v>0.73570886708502603</v>
      </c>
      <c r="M196" s="195">
        <v>464141802.94</v>
      </c>
      <c r="N196" s="257">
        <f t="shared" si="13"/>
        <v>0.73570886708502603</v>
      </c>
      <c r="O196" s="195">
        <v>166735197.06</v>
      </c>
      <c r="P196" s="257">
        <f t="shared" si="14"/>
        <v>0.26429113291497391</v>
      </c>
      <c r="Q196" s="195">
        <v>146512552.06</v>
      </c>
      <c r="R196" s="260">
        <f t="shared" si="11"/>
        <v>-20222645</v>
      </c>
    </row>
    <row r="197" spans="1:18" x14ac:dyDescent="0.25">
      <c r="A197" s="194" t="s">
        <v>545</v>
      </c>
      <c r="B197" s="194" t="s">
        <v>114</v>
      </c>
      <c r="C197" s="194" t="s">
        <v>115</v>
      </c>
      <c r="D197" s="194" t="s">
        <v>541</v>
      </c>
      <c r="E197" s="195">
        <v>756883000</v>
      </c>
      <c r="F197" s="195">
        <v>756883000</v>
      </c>
      <c r="G197" s="195">
        <v>727690427</v>
      </c>
      <c r="H197" s="195">
        <v>0</v>
      </c>
      <c r="I197" s="195">
        <v>171521347</v>
      </c>
      <c r="J197" s="195">
        <v>0</v>
      </c>
      <c r="K197" s="195">
        <v>556169080</v>
      </c>
      <c r="L197" s="257">
        <f t="shared" si="12"/>
        <v>0.73481512994742915</v>
      </c>
      <c r="M197" s="195">
        <v>556169080</v>
      </c>
      <c r="N197" s="257">
        <f t="shared" si="13"/>
        <v>0.73481512994742915</v>
      </c>
      <c r="O197" s="195">
        <v>29192573</v>
      </c>
      <c r="P197" s="257">
        <f t="shared" si="14"/>
        <v>3.8569465822326565E-2</v>
      </c>
      <c r="Q197" s="195">
        <v>0</v>
      </c>
      <c r="R197" s="260">
        <f t="shared" ref="R197:R260" si="15">G197-F197</f>
        <v>-29192573</v>
      </c>
    </row>
    <row r="198" spans="1:18" x14ac:dyDescent="0.25">
      <c r="A198" s="194" t="s">
        <v>545</v>
      </c>
      <c r="B198" s="194" t="s">
        <v>315</v>
      </c>
      <c r="C198" s="194" t="s">
        <v>597</v>
      </c>
      <c r="D198" s="194" t="s">
        <v>541</v>
      </c>
      <c r="E198" s="195">
        <v>718069000</v>
      </c>
      <c r="F198" s="195">
        <v>718069000</v>
      </c>
      <c r="G198" s="195">
        <v>690373482</v>
      </c>
      <c r="H198" s="195">
        <v>0</v>
      </c>
      <c r="I198" s="195">
        <v>162722056</v>
      </c>
      <c r="J198" s="195">
        <v>0</v>
      </c>
      <c r="K198" s="195">
        <v>527651426</v>
      </c>
      <c r="L198" s="257">
        <f t="shared" si="12"/>
        <v>0.73481994905782033</v>
      </c>
      <c r="M198" s="195">
        <v>527651426</v>
      </c>
      <c r="N198" s="257">
        <f t="shared" si="13"/>
        <v>0.73481994905782033</v>
      </c>
      <c r="O198" s="195">
        <v>27695518</v>
      </c>
      <c r="P198" s="257">
        <f t="shared" si="14"/>
        <v>3.8569438313031196E-2</v>
      </c>
      <c r="Q198" s="195">
        <v>0</v>
      </c>
      <c r="R198" s="260">
        <f t="shared" si="15"/>
        <v>-27695518</v>
      </c>
    </row>
    <row r="199" spans="1:18" x14ac:dyDescent="0.25">
      <c r="A199" s="194" t="s">
        <v>545</v>
      </c>
      <c r="B199" s="194" t="s">
        <v>316</v>
      </c>
      <c r="C199" s="194" t="s">
        <v>583</v>
      </c>
      <c r="D199" s="194" t="s">
        <v>541</v>
      </c>
      <c r="E199" s="195">
        <v>38814000</v>
      </c>
      <c r="F199" s="195">
        <v>38814000</v>
      </c>
      <c r="G199" s="195">
        <v>37316945</v>
      </c>
      <c r="H199" s="195">
        <v>0</v>
      </c>
      <c r="I199" s="195">
        <v>8799291</v>
      </c>
      <c r="J199" s="195">
        <v>0</v>
      </c>
      <c r="K199" s="195">
        <v>28517654</v>
      </c>
      <c r="L199" s="257">
        <f t="shared" si="12"/>
        <v>0.73472597516360072</v>
      </c>
      <c r="M199" s="195">
        <v>28517654</v>
      </c>
      <c r="N199" s="257">
        <f t="shared" si="13"/>
        <v>0.73472597516360072</v>
      </c>
      <c r="O199" s="195">
        <v>1497055</v>
      </c>
      <c r="P199" s="257">
        <f t="shared" si="14"/>
        <v>3.8569974751378369E-2</v>
      </c>
      <c r="Q199" s="195">
        <v>0</v>
      </c>
      <c r="R199" s="260">
        <f t="shared" si="15"/>
        <v>-1497055</v>
      </c>
    </row>
    <row r="200" spans="1:18" x14ac:dyDescent="0.25">
      <c r="A200" s="194" t="s">
        <v>545</v>
      </c>
      <c r="B200" s="194" t="s">
        <v>118</v>
      </c>
      <c r="C200" s="194" t="s">
        <v>119</v>
      </c>
      <c r="D200" s="194" t="s">
        <v>541</v>
      </c>
      <c r="E200" s="195">
        <v>743685000</v>
      </c>
      <c r="F200" s="195">
        <v>743685000</v>
      </c>
      <c r="G200" s="195">
        <v>715001426</v>
      </c>
      <c r="H200" s="195">
        <v>0</v>
      </c>
      <c r="I200" s="195">
        <v>176012598</v>
      </c>
      <c r="J200" s="195">
        <v>0</v>
      </c>
      <c r="K200" s="195">
        <v>538988828</v>
      </c>
      <c r="L200" s="257">
        <f t="shared" si="12"/>
        <v>0.72475420103941857</v>
      </c>
      <c r="M200" s="195">
        <v>538988828</v>
      </c>
      <c r="N200" s="257">
        <f t="shared" si="13"/>
        <v>0.72475420103941857</v>
      </c>
      <c r="O200" s="195">
        <v>28683574</v>
      </c>
      <c r="P200" s="257">
        <f t="shared" si="14"/>
        <v>3.8569520697607183E-2</v>
      </c>
      <c r="Q200" s="195">
        <v>0</v>
      </c>
      <c r="R200" s="260">
        <f t="shared" si="15"/>
        <v>-28683574</v>
      </c>
    </row>
    <row r="201" spans="1:18" x14ac:dyDescent="0.25">
      <c r="A201" s="194" t="s">
        <v>545</v>
      </c>
      <c r="B201" s="194" t="s">
        <v>317</v>
      </c>
      <c r="C201" s="194" t="s">
        <v>598</v>
      </c>
      <c r="D201" s="194" t="s">
        <v>541</v>
      </c>
      <c r="E201" s="195">
        <v>394355000</v>
      </c>
      <c r="F201" s="195">
        <v>394355000</v>
      </c>
      <c r="G201" s="195">
        <v>379144921</v>
      </c>
      <c r="H201" s="195">
        <v>0</v>
      </c>
      <c r="I201" s="195">
        <v>96814661</v>
      </c>
      <c r="J201" s="195">
        <v>0</v>
      </c>
      <c r="K201" s="195">
        <v>282330260</v>
      </c>
      <c r="L201" s="257">
        <f t="shared" si="12"/>
        <v>0.71592920084695266</v>
      </c>
      <c r="M201" s="195">
        <v>282330260</v>
      </c>
      <c r="N201" s="257">
        <f t="shared" si="13"/>
        <v>0.71592920084695266</v>
      </c>
      <c r="O201" s="195">
        <v>15210079</v>
      </c>
      <c r="P201" s="257">
        <f t="shared" si="14"/>
        <v>3.8569509705722003E-2</v>
      </c>
      <c r="Q201" s="195">
        <v>0</v>
      </c>
      <c r="R201" s="260">
        <f t="shared" si="15"/>
        <v>-15210079</v>
      </c>
    </row>
    <row r="202" spans="1:18" x14ac:dyDescent="0.25">
      <c r="A202" s="194" t="s">
        <v>545</v>
      </c>
      <c r="B202" s="194" t="s">
        <v>318</v>
      </c>
      <c r="C202" s="194" t="s">
        <v>599</v>
      </c>
      <c r="D202" s="194" t="s">
        <v>541</v>
      </c>
      <c r="E202" s="195">
        <v>116443000</v>
      </c>
      <c r="F202" s="195">
        <v>116443000</v>
      </c>
      <c r="G202" s="195">
        <v>111951835</v>
      </c>
      <c r="H202" s="195">
        <v>0</v>
      </c>
      <c r="I202" s="195">
        <v>26399024</v>
      </c>
      <c r="J202" s="195">
        <v>0</v>
      </c>
      <c r="K202" s="195">
        <v>85552811</v>
      </c>
      <c r="L202" s="257">
        <f t="shared" si="12"/>
        <v>0.73471836864388584</v>
      </c>
      <c r="M202" s="195">
        <v>85552811</v>
      </c>
      <c r="N202" s="257">
        <f t="shared" si="13"/>
        <v>0.73471836864388584</v>
      </c>
      <c r="O202" s="195">
        <v>4491165</v>
      </c>
      <c r="P202" s="257">
        <f t="shared" si="14"/>
        <v>3.8569643516570336E-2</v>
      </c>
      <c r="Q202" s="195">
        <v>0</v>
      </c>
      <c r="R202" s="260">
        <f t="shared" si="15"/>
        <v>-4491165</v>
      </c>
    </row>
    <row r="203" spans="1:18" x14ac:dyDescent="0.25">
      <c r="A203" s="194" t="s">
        <v>545</v>
      </c>
      <c r="B203" s="194" t="s">
        <v>319</v>
      </c>
      <c r="C203" s="194" t="s">
        <v>600</v>
      </c>
      <c r="D203" s="194" t="s">
        <v>541</v>
      </c>
      <c r="E203" s="195">
        <v>232887000</v>
      </c>
      <c r="F203" s="195">
        <v>232887000</v>
      </c>
      <c r="G203" s="195">
        <v>223904670</v>
      </c>
      <c r="H203" s="195">
        <v>0</v>
      </c>
      <c r="I203" s="195">
        <v>52798913</v>
      </c>
      <c r="J203" s="195">
        <v>0</v>
      </c>
      <c r="K203" s="195">
        <v>171105757</v>
      </c>
      <c r="L203" s="257">
        <f t="shared" si="12"/>
        <v>0.73471579349641669</v>
      </c>
      <c r="M203" s="195">
        <v>171105757</v>
      </c>
      <c r="N203" s="257">
        <f t="shared" si="13"/>
        <v>0.73471579349641669</v>
      </c>
      <c r="O203" s="195">
        <v>8982330</v>
      </c>
      <c r="P203" s="257">
        <f t="shared" si="14"/>
        <v>3.8569477901299769E-2</v>
      </c>
      <c r="Q203" s="195">
        <v>0</v>
      </c>
      <c r="R203" s="260">
        <f t="shared" si="15"/>
        <v>-8982330</v>
      </c>
    </row>
    <row r="204" spans="1:18" x14ac:dyDescent="0.25">
      <c r="A204" s="194" t="s">
        <v>545</v>
      </c>
      <c r="B204" s="194" t="s">
        <v>123</v>
      </c>
      <c r="C204" s="194" t="s">
        <v>124</v>
      </c>
      <c r="D204" s="194" t="s">
        <v>541</v>
      </c>
      <c r="E204" s="195">
        <v>1006874402</v>
      </c>
      <c r="F204" s="195">
        <v>1006874402</v>
      </c>
      <c r="G204" s="195">
        <v>997174402</v>
      </c>
      <c r="H204" s="195">
        <v>1993980</v>
      </c>
      <c r="I204" s="195">
        <v>256566245.41999999</v>
      </c>
      <c r="J204" s="195">
        <v>4287910</v>
      </c>
      <c r="K204" s="195">
        <v>638976959.63999999</v>
      </c>
      <c r="L204" s="257">
        <f t="shared" si="12"/>
        <v>0.63461436537742066</v>
      </c>
      <c r="M204" s="195">
        <v>579467908.29999995</v>
      </c>
      <c r="N204" s="257">
        <f t="shared" si="13"/>
        <v>0.57551161013625607</v>
      </c>
      <c r="O204" s="195">
        <v>105049306.94</v>
      </c>
      <c r="P204" s="257">
        <f t="shared" si="14"/>
        <v>0.10433208623770336</v>
      </c>
      <c r="Q204" s="195">
        <v>95349306.939999998</v>
      </c>
      <c r="R204" s="260">
        <f t="shared" si="15"/>
        <v>-9700000</v>
      </c>
    </row>
    <row r="205" spans="1:18" x14ac:dyDescent="0.25">
      <c r="A205" s="194" t="s">
        <v>545</v>
      </c>
      <c r="B205" s="194" t="s">
        <v>125</v>
      </c>
      <c r="C205" s="194" t="s">
        <v>126</v>
      </c>
      <c r="D205" s="194" t="s">
        <v>541</v>
      </c>
      <c r="E205" s="195">
        <v>331717997</v>
      </c>
      <c r="F205" s="195">
        <v>306417997</v>
      </c>
      <c r="G205" s="195">
        <v>306417997</v>
      </c>
      <c r="H205" s="195">
        <v>0</v>
      </c>
      <c r="I205" s="195">
        <v>34962633.229999997</v>
      </c>
      <c r="J205" s="195">
        <v>3112410</v>
      </c>
      <c r="K205" s="195">
        <v>229568312.78999999</v>
      </c>
      <c r="L205" s="257">
        <f t="shared" si="12"/>
        <v>0.74919983498880449</v>
      </c>
      <c r="M205" s="195">
        <v>201769926.24000001</v>
      </c>
      <c r="N205" s="257">
        <f t="shared" si="13"/>
        <v>0.65847935896532872</v>
      </c>
      <c r="O205" s="195">
        <v>38774640.979999997</v>
      </c>
      <c r="P205" s="257">
        <f t="shared" si="14"/>
        <v>0.12654165668996262</v>
      </c>
      <c r="Q205" s="195">
        <v>38774640.979999997</v>
      </c>
      <c r="R205" s="260">
        <f t="shared" si="15"/>
        <v>0</v>
      </c>
    </row>
    <row r="206" spans="1:18" x14ac:dyDescent="0.25">
      <c r="A206" s="194" t="s">
        <v>545</v>
      </c>
      <c r="B206" s="194" t="s">
        <v>306</v>
      </c>
      <c r="C206" s="194" t="s">
        <v>307</v>
      </c>
      <c r="D206" s="194" t="s">
        <v>541</v>
      </c>
      <c r="E206" s="195">
        <v>200526630</v>
      </c>
      <c r="F206" s="195">
        <v>163026630</v>
      </c>
      <c r="G206" s="195">
        <v>163026630</v>
      </c>
      <c r="H206" s="195">
        <v>0</v>
      </c>
      <c r="I206" s="195">
        <v>29613955</v>
      </c>
      <c r="J206" s="195">
        <v>3112410</v>
      </c>
      <c r="K206" s="195">
        <v>127023140</v>
      </c>
      <c r="L206" s="257">
        <f t="shared" si="12"/>
        <v>0.77915577350767784</v>
      </c>
      <c r="M206" s="195">
        <v>117066270</v>
      </c>
      <c r="N206" s="257">
        <f t="shared" si="13"/>
        <v>0.71808065958303868</v>
      </c>
      <c r="O206" s="195">
        <v>3277125</v>
      </c>
      <c r="P206" s="257">
        <f t="shared" si="14"/>
        <v>2.010177723725259E-2</v>
      </c>
      <c r="Q206" s="195">
        <v>3277125</v>
      </c>
      <c r="R206" s="260">
        <f t="shared" si="15"/>
        <v>0</v>
      </c>
    </row>
    <row r="207" spans="1:18" x14ac:dyDescent="0.25">
      <c r="A207" s="194" t="s">
        <v>545</v>
      </c>
      <c r="B207" s="194" t="s">
        <v>320</v>
      </c>
      <c r="C207" s="194" t="s">
        <v>321</v>
      </c>
      <c r="D207" s="194" t="s">
        <v>541</v>
      </c>
      <c r="E207" s="195">
        <v>3933000</v>
      </c>
      <c r="F207" s="195">
        <v>3333000</v>
      </c>
      <c r="G207" s="195">
        <v>3333000</v>
      </c>
      <c r="H207" s="195">
        <v>0</v>
      </c>
      <c r="I207" s="195">
        <v>765585.48</v>
      </c>
      <c r="J207" s="195">
        <v>0</v>
      </c>
      <c r="K207" s="195">
        <v>2004669.72</v>
      </c>
      <c r="L207" s="257">
        <f t="shared" si="12"/>
        <v>0.60146106210621064</v>
      </c>
      <c r="M207" s="195">
        <v>1794606.27</v>
      </c>
      <c r="N207" s="257">
        <f t="shared" si="13"/>
        <v>0.53843572457245725</v>
      </c>
      <c r="O207" s="195">
        <v>562744.80000000005</v>
      </c>
      <c r="P207" s="257">
        <f t="shared" si="14"/>
        <v>0.16884032403240326</v>
      </c>
      <c r="Q207" s="195">
        <v>562744.80000000005</v>
      </c>
      <c r="R207" s="260">
        <f t="shared" si="15"/>
        <v>0</v>
      </c>
    </row>
    <row r="208" spans="1:18" x14ac:dyDescent="0.25">
      <c r="A208" s="194" t="s">
        <v>545</v>
      </c>
      <c r="B208" s="194" t="s">
        <v>127</v>
      </c>
      <c r="C208" s="194" t="s">
        <v>128</v>
      </c>
      <c r="D208" s="194" t="s">
        <v>541</v>
      </c>
      <c r="E208" s="195">
        <v>98126131</v>
      </c>
      <c r="F208" s="195">
        <v>100626131</v>
      </c>
      <c r="G208" s="195">
        <v>100626131</v>
      </c>
      <c r="H208" s="195">
        <v>0</v>
      </c>
      <c r="I208" s="195">
        <v>4156321.57</v>
      </c>
      <c r="J208" s="195">
        <v>0</v>
      </c>
      <c r="K208" s="195">
        <v>69978718.810000002</v>
      </c>
      <c r="L208" s="257">
        <f t="shared" si="12"/>
        <v>0.69543286733343646</v>
      </c>
      <c r="M208" s="195">
        <v>63680935.920000002</v>
      </c>
      <c r="N208" s="257">
        <f t="shared" si="13"/>
        <v>0.6328469085231947</v>
      </c>
      <c r="O208" s="195">
        <v>26491090.620000001</v>
      </c>
      <c r="P208" s="257">
        <f t="shared" si="14"/>
        <v>0.26326253783920206</v>
      </c>
      <c r="Q208" s="195">
        <v>26491090.620000001</v>
      </c>
      <c r="R208" s="260">
        <f t="shared" si="15"/>
        <v>0</v>
      </c>
    </row>
    <row r="209" spans="1:18" x14ac:dyDescent="0.25">
      <c r="A209" s="194" t="s">
        <v>545</v>
      </c>
      <c r="B209" s="194" t="s">
        <v>322</v>
      </c>
      <c r="C209" s="194" t="s">
        <v>323</v>
      </c>
      <c r="D209" s="194" t="s">
        <v>541</v>
      </c>
      <c r="E209" s="195">
        <v>1774000</v>
      </c>
      <c r="F209" s="195">
        <v>1774000</v>
      </c>
      <c r="G209" s="195">
        <v>1774000</v>
      </c>
      <c r="H209" s="195">
        <v>0</v>
      </c>
      <c r="I209" s="195">
        <v>426771.18</v>
      </c>
      <c r="J209" s="195">
        <v>0</v>
      </c>
      <c r="K209" s="195">
        <v>1332409.5</v>
      </c>
      <c r="L209" s="257">
        <f t="shared" si="12"/>
        <v>0.75107638105975194</v>
      </c>
      <c r="M209" s="195">
        <v>1200804.75</v>
      </c>
      <c r="N209" s="257">
        <f t="shared" si="13"/>
        <v>0.6768910653889515</v>
      </c>
      <c r="O209" s="195">
        <v>14819.32</v>
      </c>
      <c r="P209" s="257">
        <f t="shared" si="14"/>
        <v>8.3536189402480272E-3</v>
      </c>
      <c r="Q209" s="195">
        <v>14819.32</v>
      </c>
      <c r="R209" s="260">
        <f t="shared" si="15"/>
        <v>0</v>
      </c>
    </row>
    <row r="210" spans="1:18" x14ac:dyDescent="0.25">
      <c r="A210" s="194" t="s">
        <v>545</v>
      </c>
      <c r="B210" s="194" t="s">
        <v>129</v>
      </c>
      <c r="C210" s="194" t="s">
        <v>130</v>
      </c>
      <c r="D210" s="194" t="s">
        <v>541</v>
      </c>
      <c r="E210" s="195">
        <v>27358236</v>
      </c>
      <c r="F210" s="195">
        <v>37658236</v>
      </c>
      <c r="G210" s="195">
        <v>37658236</v>
      </c>
      <c r="H210" s="195">
        <v>0</v>
      </c>
      <c r="I210" s="195">
        <v>0</v>
      </c>
      <c r="J210" s="195">
        <v>0</v>
      </c>
      <c r="K210" s="195">
        <v>29229374.760000002</v>
      </c>
      <c r="L210" s="257">
        <f t="shared" si="12"/>
        <v>0.77617482560786977</v>
      </c>
      <c r="M210" s="195">
        <v>18027309.300000001</v>
      </c>
      <c r="N210" s="257">
        <f t="shared" si="13"/>
        <v>0.47870827778550223</v>
      </c>
      <c r="O210" s="195">
        <v>8428861.2400000002</v>
      </c>
      <c r="P210" s="257">
        <f t="shared" si="14"/>
        <v>0.22382517439213032</v>
      </c>
      <c r="Q210" s="195">
        <v>8428861.2400000002</v>
      </c>
      <c r="R210" s="260">
        <f t="shared" si="15"/>
        <v>0</v>
      </c>
    </row>
    <row r="211" spans="1:18" x14ac:dyDescent="0.25">
      <c r="A211" s="194" t="s">
        <v>545</v>
      </c>
      <c r="B211" s="194" t="s">
        <v>131</v>
      </c>
      <c r="C211" s="194" t="s">
        <v>132</v>
      </c>
      <c r="D211" s="194" t="s">
        <v>541</v>
      </c>
      <c r="E211" s="195">
        <v>126929000</v>
      </c>
      <c r="F211" s="195">
        <v>120929000</v>
      </c>
      <c r="G211" s="195">
        <v>117929000</v>
      </c>
      <c r="H211" s="195">
        <v>0</v>
      </c>
      <c r="I211" s="195">
        <v>27090976.870000001</v>
      </c>
      <c r="J211" s="195">
        <v>0</v>
      </c>
      <c r="K211" s="195">
        <v>77764528.219999999</v>
      </c>
      <c r="L211" s="257">
        <f t="shared" si="12"/>
        <v>0.64305938377064231</v>
      </c>
      <c r="M211" s="195">
        <v>76116001.390000001</v>
      </c>
      <c r="N211" s="257">
        <f t="shared" si="13"/>
        <v>0.629427196040652</v>
      </c>
      <c r="O211" s="195">
        <v>16073494.91</v>
      </c>
      <c r="P211" s="257">
        <f t="shared" si="14"/>
        <v>0.13291679340770204</v>
      </c>
      <c r="Q211" s="195">
        <v>13073494.91</v>
      </c>
      <c r="R211" s="260">
        <f t="shared" si="15"/>
        <v>-3000000</v>
      </c>
    </row>
    <row r="212" spans="1:18" x14ac:dyDescent="0.25">
      <c r="A212" s="194" t="s">
        <v>545</v>
      </c>
      <c r="B212" s="194" t="s">
        <v>133</v>
      </c>
      <c r="C212" s="194" t="s">
        <v>134</v>
      </c>
      <c r="D212" s="194" t="s">
        <v>541</v>
      </c>
      <c r="E212" s="195">
        <v>13400000</v>
      </c>
      <c r="F212" s="195">
        <v>18400000</v>
      </c>
      <c r="G212" s="195">
        <v>18400000</v>
      </c>
      <c r="H212" s="195">
        <v>0</v>
      </c>
      <c r="I212" s="195">
        <v>6701309.0099999998</v>
      </c>
      <c r="J212" s="195">
        <v>0</v>
      </c>
      <c r="K212" s="195">
        <v>10321285.99</v>
      </c>
      <c r="L212" s="257">
        <f t="shared" si="12"/>
        <v>0.56093945597826089</v>
      </c>
      <c r="M212" s="195">
        <v>10321285.99</v>
      </c>
      <c r="N212" s="257">
        <f t="shared" si="13"/>
        <v>0.56093945597826089</v>
      </c>
      <c r="O212" s="195">
        <v>1377405</v>
      </c>
      <c r="P212" s="257">
        <f t="shared" si="14"/>
        <v>7.4858967391304349E-2</v>
      </c>
      <c r="Q212" s="195">
        <v>1377405</v>
      </c>
      <c r="R212" s="260">
        <f t="shared" si="15"/>
        <v>0</v>
      </c>
    </row>
    <row r="213" spans="1:18" x14ac:dyDescent="0.25">
      <c r="A213" s="194" t="s">
        <v>545</v>
      </c>
      <c r="B213" s="194" t="s">
        <v>135</v>
      </c>
      <c r="C213" s="194" t="s">
        <v>136</v>
      </c>
      <c r="D213" s="194" t="s">
        <v>541</v>
      </c>
      <c r="E213" s="195">
        <v>49200000</v>
      </c>
      <c r="F213" s="195">
        <v>40200000</v>
      </c>
      <c r="G213" s="195">
        <v>40200000</v>
      </c>
      <c r="H213" s="195">
        <v>0</v>
      </c>
      <c r="I213" s="195">
        <v>5777185</v>
      </c>
      <c r="J213" s="195">
        <v>0</v>
      </c>
      <c r="K213" s="195">
        <v>31620570</v>
      </c>
      <c r="L213" s="257">
        <f t="shared" si="12"/>
        <v>0.78658134328358209</v>
      </c>
      <c r="M213" s="195">
        <v>31620570</v>
      </c>
      <c r="N213" s="257">
        <f t="shared" si="13"/>
        <v>0.78658134328358209</v>
      </c>
      <c r="O213" s="195">
        <v>2802245</v>
      </c>
      <c r="P213" s="257">
        <f t="shared" si="14"/>
        <v>6.9707587064676613E-2</v>
      </c>
      <c r="Q213" s="195">
        <v>2802245</v>
      </c>
      <c r="R213" s="260">
        <f t="shared" si="15"/>
        <v>0</v>
      </c>
    </row>
    <row r="214" spans="1:18" x14ac:dyDescent="0.25">
      <c r="A214" s="194" t="s">
        <v>545</v>
      </c>
      <c r="B214" s="194" t="s">
        <v>137</v>
      </c>
      <c r="C214" s="194" t="s">
        <v>138</v>
      </c>
      <c r="D214" s="194" t="s">
        <v>541</v>
      </c>
      <c r="E214" s="195">
        <v>12000000</v>
      </c>
      <c r="F214" s="195">
        <v>10000000</v>
      </c>
      <c r="G214" s="195">
        <v>7000000</v>
      </c>
      <c r="H214" s="195">
        <v>0</v>
      </c>
      <c r="I214" s="195">
        <v>848020</v>
      </c>
      <c r="J214" s="195">
        <v>0</v>
      </c>
      <c r="K214" s="195">
        <v>2360680</v>
      </c>
      <c r="L214" s="257">
        <f t="shared" si="12"/>
        <v>0.236068</v>
      </c>
      <c r="M214" s="195">
        <v>2202880</v>
      </c>
      <c r="N214" s="257">
        <f t="shared" si="13"/>
        <v>0.22028800000000001</v>
      </c>
      <c r="O214" s="195">
        <v>6791300</v>
      </c>
      <c r="P214" s="257">
        <f t="shared" si="14"/>
        <v>0.67913000000000001</v>
      </c>
      <c r="Q214" s="195">
        <v>3791300</v>
      </c>
      <c r="R214" s="260">
        <f t="shared" si="15"/>
        <v>-3000000</v>
      </c>
    </row>
    <row r="215" spans="1:18" x14ac:dyDescent="0.25">
      <c r="A215" s="194" t="s">
        <v>545</v>
      </c>
      <c r="B215" s="194" t="s">
        <v>139</v>
      </c>
      <c r="C215" s="194" t="s">
        <v>140</v>
      </c>
      <c r="D215" s="194" t="s">
        <v>541</v>
      </c>
      <c r="E215" s="195">
        <v>47604000</v>
      </c>
      <c r="F215" s="195">
        <v>47604000</v>
      </c>
      <c r="G215" s="195">
        <v>47604000</v>
      </c>
      <c r="H215" s="195">
        <v>0</v>
      </c>
      <c r="I215" s="195">
        <v>13536797.710000001</v>
      </c>
      <c r="J215" s="195">
        <v>0</v>
      </c>
      <c r="K215" s="195">
        <v>31142191.079999998</v>
      </c>
      <c r="L215" s="257">
        <f t="shared" si="12"/>
        <v>0.6541927375850769</v>
      </c>
      <c r="M215" s="195">
        <v>29651464.25</v>
      </c>
      <c r="N215" s="257">
        <f t="shared" si="13"/>
        <v>0.62287757856482651</v>
      </c>
      <c r="O215" s="195">
        <v>2925011.21</v>
      </c>
      <c r="P215" s="257">
        <f t="shared" si="14"/>
        <v>6.144465192000672E-2</v>
      </c>
      <c r="Q215" s="195">
        <v>2925011.21</v>
      </c>
      <c r="R215" s="260">
        <f t="shared" si="15"/>
        <v>0</v>
      </c>
    </row>
    <row r="216" spans="1:18" x14ac:dyDescent="0.25">
      <c r="A216" s="194" t="s">
        <v>545</v>
      </c>
      <c r="B216" s="194" t="s">
        <v>141</v>
      </c>
      <c r="C216" s="194" t="s">
        <v>142</v>
      </c>
      <c r="D216" s="194" t="s">
        <v>541</v>
      </c>
      <c r="E216" s="195">
        <v>4725000</v>
      </c>
      <c r="F216" s="195">
        <v>4725000</v>
      </c>
      <c r="G216" s="195">
        <v>4725000</v>
      </c>
      <c r="H216" s="195">
        <v>0</v>
      </c>
      <c r="I216" s="195">
        <v>227665.15</v>
      </c>
      <c r="J216" s="195">
        <v>0</v>
      </c>
      <c r="K216" s="195">
        <v>2319801.15</v>
      </c>
      <c r="L216" s="257">
        <f t="shared" si="12"/>
        <v>0.49096320634920632</v>
      </c>
      <c r="M216" s="195">
        <v>2319801.15</v>
      </c>
      <c r="N216" s="257">
        <f t="shared" si="13"/>
        <v>0.49096320634920632</v>
      </c>
      <c r="O216" s="195">
        <v>2177533.7000000002</v>
      </c>
      <c r="P216" s="257">
        <f t="shared" si="14"/>
        <v>0.46085369312169316</v>
      </c>
      <c r="Q216" s="195">
        <v>2177533.7000000002</v>
      </c>
      <c r="R216" s="260">
        <f t="shared" si="15"/>
        <v>0</v>
      </c>
    </row>
    <row r="217" spans="1:18" x14ac:dyDescent="0.25">
      <c r="A217" s="194" t="s">
        <v>545</v>
      </c>
      <c r="B217" s="194" t="s">
        <v>143</v>
      </c>
      <c r="C217" s="194" t="s">
        <v>144</v>
      </c>
      <c r="D217" s="194" t="s">
        <v>541</v>
      </c>
      <c r="E217" s="195">
        <v>3746000</v>
      </c>
      <c r="F217" s="195">
        <v>3746000</v>
      </c>
      <c r="G217" s="195">
        <v>2746000</v>
      </c>
      <c r="H217" s="195">
        <v>0</v>
      </c>
      <c r="I217" s="195">
        <v>768286.09</v>
      </c>
      <c r="J217" s="195">
        <v>0</v>
      </c>
      <c r="K217" s="195">
        <v>663717.13</v>
      </c>
      <c r="L217" s="257">
        <f t="shared" si="12"/>
        <v>0.17718022690870261</v>
      </c>
      <c r="M217" s="195">
        <v>663717.13</v>
      </c>
      <c r="N217" s="257">
        <f t="shared" si="13"/>
        <v>0.17718022690870261</v>
      </c>
      <c r="O217" s="195">
        <v>2313996.7799999998</v>
      </c>
      <c r="P217" s="257">
        <f t="shared" si="14"/>
        <v>0.61772471436198606</v>
      </c>
      <c r="Q217" s="195">
        <v>1313996.78</v>
      </c>
      <c r="R217" s="260">
        <f t="shared" si="15"/>
        <v>-1000000</v>
      </c>
    </row>
    <row r="218" spans="1:18" x14ac:dyDescent="0.25">
      <c r="A218" s="194" t="s">
        <v>545</v>
      </c>
      <c r="B218" s="194" t="s">
        <v>145</v>
      </c>
      <c r="C218" s="194" t="s">
        <v>146</v>
      </c>
      <c r="D218" s="194" t="s">
        <v>541</v>
      </c>
      <c r="E218" s="195">
        <v>500000</v>
      </c>
      <c r="F218" s="195">
        <v>500000</v>
      </c>
      <c r="G218" s="195">
        <v>500000</v>
      </c>
      <c r="H218" s="195">
        <v>0</v>
      </c>
      <c r="I218" s="195">
        <v>153070</v>
      </c>
      <c r="J218" s="195">
        <v>0</v>
      </c>
      <c r="K218" s="195">
        <v>208820</v>
      </c>
      <c r="L218" s="257">
        <f t="shared" si="12"/>
        <v>0.41764000000000001</v>
      </c>
      <c r="M218" s="195">
        <v>208820</v>
      </c>
      <c r="N218" s="257">
        <f t="shared" si="13"/>
        <v>0.41764000000000001</v>
      </c>
      <c r="O218" s="195">
        <v>138110</v>
      </c>
      <c r="P218" s="257">
        <f t="shared" si="14"/>
        <v>0.27622000000000002</v>
      </c>
      <c r="Q218" s="195">
        <v>138110</v>
      </c>
      <c r="R218" s="260">
        <f t="shared" si="15"/>
        <v>0</v>
      </c>
    </row>
    <row r="219" spans="1:18" x14ac:dyDescent="0.25">
      <c r="A219" s="194" t="s">
        <v>545</v>
      </c>
      <c r="B219" s="194" t="s">
        <v>147</v>
      </c>
      <c r="C219" s="194" t="s">
        <v>148</v>
      </c>
      <c r="D219" s="194" t="s">
        <v>541</v>
      </c>
      <c r="E219" s="195">
        <v>1000000</v>
      </c>
      <c r="F219" s="195">
        <v>1000000</v>
      </c>
      <c r="G219" s="195">
        <v>1000000</v>
      </c>
      <c r="H219" s="195">
        <v>0</v>
      </c>
      <c r="I219" s="195">
        <v>188687</v>
      </c>
      <c r="J219" s="195">
        <v>0</v>
      </c>
      <c r="K219" s="195">
        <v>130263</v>
      </c>
      <c r="L219" s="257">
        <f t="shared" si="12"/>
        <v>0.13026299999999999</v>
      </c>
      <c r="M219" s="195">
        <v>130263</v>
      </c>
      <c r="N219" s="257">
        <f t="shared" si="13"/>
        <v>0.13026299999999999</v>
      </c>
      <c r="O219" s="195">
        <v>681050</v>
      </c>
      <c r="P219" s="257">
        <f t="shared" si="14"/>
        <v>0.68105000000000004</v>
      </c>
      <c r="Q219" s="195">
        <v>681050</v>
      </c>
      <c r="R219" s="260">
        <f t="shared" si="15"/>
        <v>0</v>
      </c>
    </row>
    <row r="220" spans="1:18" x14ac:dyDescent="0.25">
      <c r="A220" s="194" t="s">
        <v>545</v>
      </c>
      <c r="B220" s="194" t="s">
        <v>149</v>
      </c>
      <c r="C220" s="194" t="s">
        <v>150</v>
      </c>
      <c r="D220" s="194" t="s">
        <v>541</v>
      </c>
      <c r="E220" s="195">
        <v>200000</v>
      </c>
      <c r="F220" s="195">
        <v>200000</v>
      </c>
      <c r="G220" s="195">
        <v>200000</v>
      </c>
      <c r="H220" s="195">
        <v>0</v>
      </c>
      <c r="I220" s="195">
        <v>73047.87</v>
      </c>
      <c r="J220" s="195">
        <v>0</v>
      </c>
      <c r="K220" s="195">
        <v>74183.63</v>
      </c>
      <c r="L220" s="257">
        <f t="shared" si="12"/>
        <v>0.37091815</v>
      </c>
      <c r="M220" s="195">
        <v>74183.63</v>
      </c>
      <c r="N220" s="257">
        <f t="shared" si="13"/>
        <v>0.37091815</v>
      </c>
      <c r="O220" s="195">
        <v>52768.5</v>
      </c>
      <c r="P220" s="257">
        <f t="shared" si="14"/>
        <v>0.26384249999999998</v>
      </c>
      <c r="Q220" s="195">
        <v>52768.5</v>
      </c>
      <c r="R220" s="260">
        <f t="shared" si="15"/>
        <v>0</v>
      </c>
    </row>
    <row r="221" spans="1:18" x14ac:dyDescent="0.25">
      <c r="A221" s="194" t="s">
        <v>545</v>
      </c>
      <c r="B221" s="194" t="s">
        <v>326</v>
      </c>
      <c r="C221" s="194" t="s">
        <v>327</v>
      </c>
      <c r="D221" s="194" t="s">
        <v>541</v>
      </c>
      <c r="E221" s="195">
        <v>2046000</v>
      </c>
      <c r="F221" s="195">
        <v>2046000</v>
      </c>
      <c r="G221" s="195">
        <v>1046000</v>
      </c>
      <c r="H221" s="195">
        <v>0</v>
      </c>
      <c r="I221" s="195">
        <v>353481.22</v>
      </c>
      <c r="J221" s="195">
        <v>0</v>
      </c>
      <c r="K221" s="195">
        <v>250450.5</v>
      </c>
      <c r="L221" s="257">
        <f t="shared" si="12"/>
        <v>0.12240982404692081</v>
      </c>
      <c r="M221" s="195">
        <v>250450.5</v>
      </c>
      <c r="N221" s="257">
        <f t="shared" si="13"/>
        <v>0.12240982404692081</v>
      </c>
      <c r="O221" s="195">
        <v>1442068.28</v>
      </c>
      <c r="P221" s="257">
        <f t="shared" si="14"/>
        <v>0.7048232062561095</v>
      </c>
      <c r="Q221" s="195">
        <v>442068.28</v>
      </c>
      <c r="R221" s="260">
        <f t="shared" si="15"/>
        <v>-1000000</v>
      </c>
    </row>
    <row r="222" spans="1:18" x14ac:dyDescent="0.25">
      <c r="A222" s="194" t="s">
        <v>545</v>
      </c>
      <c r="B222" s="194" t="s">
        <v>151</v>
      </c>
      <c r="C222" s="194" t="s">
        <v>152</v>
      </c>
      <c r="D222" s="194" t="s">
        <v>541</v>
      </c>
      <c r="E222" s="195">
        <v>334518795</v>
      </c>
      <c r="F222" s="195">
        <v>361518795</v>
      </c>
      <c r="G222" s="195">
        <v>361518795</v>
      </c>
      <c r="H222" s="195">
        <v>1590000</v>
      </c>
      <c r="I222" s="195">
        <v>103188054.37</v>
      </c>
      <c r="J222" s="195">
        <v>0</v>
      </c>
      <c r="K222" s="195">
        <v>243632523.36000001</v>
      </c>
      <c r="L222" s="257">
        <f t="shared" si="12"/>
        <v>0.67391385103504786</v>
      </c>
      <c r="M222" s="195">
        <v>215241073.40000001</v>
      </c>
      <c r="N222" s="257">
        <f t="shared" si="13"/>
        <v>0.59538003660362948</v>
      </c>
      <c r="O222" s="195">
        <v>13108217.27</v>
      </c>
      <c r="P222" s="257">
        <f t="shared" si="14"/>
        <v>3.6258743532269183E-2</v>
      </c>
      <c r="Q222" s="195">
        <v>13108217.27</v>
      </c>
      <c r="R222" s="260">
        <f t="shared" si="15"/>
        <v>0</v>
      </c>
    </row>
    <row r="223" spans="1:18" x14ac:dyDescent="0.25">
      <c r="A223" s="194" t="s">
        <v>545</v>
      </c>
      <c r="B223" s="194" t="s">
        <v>328</v>
      </c>
      <c r="C223" s="194" t="s">
        <v>329</v>
      </c>
      <c r="D223" s="194" t="s">
        <v>541</v>
      </c>
      <c r="E223" s="195">
        <v>2000000</v>
      </c>
      <c r="F223" s="195">
        <v>2000000</v>
      </c>
      <c r="G223" s="195">
        <v>2000000</v>
      </c>
      <c r="H223" s="195">
        <v>0</v>
      </c>
      <c r="I223" s="195">
        <v>0</v>
      </c>
      <c r="J223" s="195">
        <v>0</v>
      </c>
      <c r="K223" s="195">
        <v>0</v>
      </c>
      <c r="L223" s="257">
        <f t="shared" si="12"/>
        <v>0</v>
      </c>
      <c r="M223" s="195">
        <v>0</v>
      </c>
      <c r="N223" s="257">
        <f t="shared" si="13"/>
        <v>0</v>
      </c>
      <c r="O223" s="195">
        <v>2000000</v>
      </c>
      <c r="P223" s="257">
        <f t="shared" si="14"/>
        <v>1</v>
      </c>
      <c r="Q223" s="195">
        <v>2000000</v>
      </c>
      <c r="R223" s="260">
        <f t="shared" si="15"/>
        <v>0</v>
      </c>
    </row>
    <row r="224" spans="1:18" x14ac:dyDescent="0.25">
      <c r="A224" s="194" t="s">
        <v>545</v>
      </c>
      <c r="B224" s="194" t="s">
        <v>330</v>
      </c>
      <c r="C224" s="194" t="s">
        <v>604</v>
      </c>
      <c r="D224" s="194" t="s">
        <v>541</v>
      </c>
      <c r="E224" s="195">
        <v>5000000</v>
      </c>
      <c r="F224" s="195">
        <v>5000000</v>
      </c>
      <c r="G224" s="195">
        <v>5000000</v>
      </c>
      <c r="H224" s="195">
        <v>0</v>
      </c>
      <c r="I224" s="195">
        <v>4556956</v>
      </c>
      <c r="J224" s="195">
        <v>0</v>
      </c>
      <c r="K224" s="195">
        <v>0</v>
      </c>
      <c r="L224" s="257">
        <f t="shared" si="12"/>
        <v>0</v>
      </c>
      <c r="M224" s="195">
        <v>0</v>
      </c>
      <c r="N224" s="257">
        <f t="shared" si="13"/>
        <v>0</v>
      </c>
      <c r="O224" s="195">
        <v>443044</v>
      </c>
      <c r="P224" s="257">
        <f t="shared" si="14"/>
        <v>8.8608800000000001E-2</v>
      </c>
      <c r="Q224" s="195">
        <v>443044</v>
      </c>
      <c r="R224" s="260">
        <f t="shared" si="15"/>
        <v>0</v>
      </c>
    </row>
    <row r="225" spans="1:18" x14ac:dyDescent="0.25">
      <c r="A225" s="194" t="s">
        <v>545</v>
      </c>
      <c r="B225" s="194" t="s">
        <v>154</v>
      </c>
      <c r="C225" s="194" t="s">
        <v>155</v>
      </c>
      <c r="D225" s="194" t="s">
        <v>541</v>
      </c>
      <c r="E225" s="195">
        <v>319951179</v>
      </c>
      <c r="F225" s="195">
        <v>346951179</v>
      </c>
      <c r="G225" s="195">
        <v>346951179</v>
      </c>
      <c r="H225" s="195">
        <v>990000</v>
      </c>
      <c r="I225" s="195">
        <v>97031581.879999995</v>
      </c>
      <c r="J225" s="195">
        <v>0</v>
      </c>
      <c r="K225" s="195">
        <v>238280740.44</v>
      </c>
      <c r="L225" s="257">
        <f t="shared" si="12"/>
        <v>0.68678463963369329</v>
      </c>
      <c r="M225" s="195">
        <v>209944270.47999999</v>
      </c>
      <c r="N225" s="257">
        <f t="shared" si="13"/>
        <v>0.60511185200497619</v>
      </c>
      <c r="O225" s="195">
        <v>10648856.68</v>
      </c>
      <c r="P225" s="257">
        <f t="shared" si="14"/>
        <v>3.0692666071038197E-2</v>
      </c>
      <c r="Q225" s="195">
        <v>10648856.68</v>
      </c>
      <c r="R225" s="260">
        <f t="shared" si="15"/>
        <v>0</v>
      </c>
    </row>
    <row r="226" spans="1:18" x14ac:dyDescent="0.25">
      <c r="A226" s="194" t="s">
        <v>545</v>
      </c>
      <c r="B226" s="194" t="s">
        <v>156</v>
      </c>
      <c r="C226" s="194" t="s">
        <v>157</v>
      </c>
      <c r="D226" s="194" t="s">
        <v>541</v>
      </c>
      <c r="E226" s="195">
        <v>7567616</v>
      </c>
      <c r="F226" s="195">
        <v>7567616</v>
      </c>
      <c r="G226" s="195">
        <v>7567616</v>
      </c>
      <c r="H226" s="195">
        <v>600000</v>
      </c>
      <c r="I226" s="195">
        <v>1599516.49</v>
      </c>
      <c r="J226" s="195">
        <v>0</v>
      </c>
      <c r="K226" s="195">
        <v>5351782.92</v>
      </c>
      <c r="L226" s="257">
        <f t="shared" si="12"/>
        <v>0.70719535980684012</v>
      </c>
      <c r="M226" s="195">
        <v>5296802.92</v>
      </c>
      <c r="N226" s="257">
        <f t="shared" si="13"/>
        <v>0.69993019201819962</v>
      </c>
      <c r="O226" s="195">
        <v>16316.59</v>
      </c>
      <c r="P226" s="257">
        <f t="shared" si="14"/>
        <v>2.1561070223436282E-3</v>
      </c>
      <c r="Q226" s="195">
        <v>16316.59</v>
      </c>
      <c r="R226" s="260">
        <f t="shared" si="15"/>
        <v>0</v>
      </c>
    </row>
    <row r="227" spans="1:18" x14ac:dyDescent="0.25">
      <c r="A227" s="194" t="s">
        <v>545</v>
      </c>
      <c r="B227" s="194" t="s">
        <v>158</v>
      </c>
      <c r="C227" s="194" t="s">
        <v>159</v>
      </c>
      <c r="D227" s="194" t="s">
        <v>541</v>
      </c>
      <c r="E227" s="195">
        <v>33445676</v>
      </c>
      <c r="F227" s="195">
        <v>33445676</v>
      </c>
      <c r="G227" s="195">
        <v>33445676</v>
      </c>
      <c r="H227" s="195">
        <v>390300</v>
      </c>
      <c r="I227" s="195">
        <v>4907298.9400000004</v>
      </c>
      <c r="J227" s="195">
        <v>0</v>
      </c>
      <c r="K227" s="195">
        <v>25497066.73</v>
      </c>
      <c r="L227" s="257">
        <f t="shared" si="12"/>
        <v>0.7623426935667259</v>
      </c>
      <c r="M227" s="195">
        <v>25307766.73</v>
      </c>
      <c r="N227" s="257">
        <f t="shared" si="13"/>
        <v>0.75668276909696786</v>
      </c>
      <c r="O227" s="195">
        <v>2651010.33</v>
      </c>
      <c r="P227" s="257">
        <f t="shared" si="14"/>
        <v>7.92631708206466E-2</v>
      </c>
      <c r="Q227" s="195">
        <v>2651010.33</v>
      </c>
      <c r="R227" s="260">
        <f t="shared" si="15"/>
        <v>0</v>
      </c>
    </row>
    <row r="228" spans="1:18" x14ac:dyDescent="0.25">
      <c r="A228" s="194" t="s">
        <v>545</v>
      </c>
      <c r="B228" s="194" t="s">
        <v>160</v>
      </c>
      <c r="C228" s="194" t="s">
        <v>161</v>
      </c>
      <c r="D228" s="194" t="s">
        <v>541</v>
      </c>
      <c r="E228" s="195">
        <v>1700000</v>
      </c>
      <c r="F228" s="195">
        <v>1700000</v>
      </c>
      <c r="G228" s="195">
        <v>1700000</v>
      </c>
      <c r="H228" s="195">
        <v>0</v>
      </c>
      <c r="I228" s="195">
        <v>574685</v>
      </c>
      <c r="J228" s="195">
        <v>0</v>
      </c>
      <c r="K228" s="195">
        <v>870935</v>
      </c>
      <c r="L228" s="257">
        <f t="shared" si="12"/>
        <v>0.51231470588235295</v>
      </c>
      <c r="M228" s="195">
        <v>870935</v>
      </c>
      <c r="N228" s="257">
        <f t="shared" si="13"/>
        <v>0.51231470588235295</v>
      </c>
      <c r="O228" s="195">
        <v>254380</v>
      </c>
      <c r="P228" s="257">
        <f t="shared" si="14"/>
        <v>0.14963529411764706</v>
      </c>
      <c r="Q228" s="195">
        <v>254380</v>
      </c>
      <c r="R228" s="260">
        <f t="shared" si="15"/>
        <v>0</v>
      </c>
    </row>
    <row r="229" spans="1:18" x14ac:dyDescent="0.25">
      <c r="A229" s="194" t="s">
        <v>545</v>
      </c>
      <c r="B229" s="194" t="s">
        <v>162</v>
      </c>
      <c r="C229" s="194" t="s">
        <v>163</v>
      </c>
      <c r="D229" s="194" t="s">
        <v>541</v>
      </c>
      <c r="E229" s="195">
        <v>24979191</v>
      </c>
      <c r="F229" s="195">
        <v>24979191</v>
      </c>
      <c r="G229" s="195">
        <v>24979191</v>
      </c>
      <c r="H229" s="195">
        <v>390300</v>
      </c>
      <c r="I229" s="195">
        <v>4083546</v>
      </c>
      <c r="J229" s="195">
        <v>0</v>
      </c>
      <c r="K229" s="195">
        <v>19039150</v>
      </c>
      <c r="L229" s="257">
        <f t="shared" si="12"/>
        <v>0.76220042514587438</v>
      </c>
      <c r="M229" s="195">
        <v>18849850</v>
      </c>
      <c r="N229" s="257">
        <f t="shared" si="13"/>
        <v>0.75462211726552708</v>
      </c>
      <c r="O229" s="195">
        <v>1466195</v>
      </c>
      <c r="P229" s="257">
        <f t="shared" si="14"/>
        <v>5.8696656749211776E-2</v>
      </c>
      <c r="Q229" s="195">
        <v>1466195</v>
      </c>
      <c r="R229" s="260">
        <f t="shared" si="15"/>
        <v>0</v>
      </c>
    </row>
    <row r="230" spans="1:18" x14ac:dyDescent="0.25">
      <c r="A230" s="194" t="s">
        <v>545</v>
      </c>
      <c r="B230" s="194" t="s">
        <v>164</v>
      </c>
      <c r="C230" s="194" t="s">
        <v>165</v>
      </c>
      <c r="D230" s="194" t="s">
        <v>541</v>
      </c>
      <c r="E230" s="195">
        <v>2035715</v>
      </c>
      <c r="F230" s="195">
        <v>2035715</v>
      </c>
      <c r="G230" s="195">
        <v>2035715</v>
      </c>
      <c r="H230" s="195">
        <v>0</v>
      </c>
      <c r="I230" s="195">
        <v>199467</v>
      </c>
      <c r="J230" s="195">
        <v>0</v>
      </c>
      <c r="K230" s="195">
        <v>1836248</v>
      </c>
      <c r="L230" s="257">
        <f t="shared" si="12"/>
        <v>0.90201624490658072</v>
      </c>
      <c r="M230" s="195">
        <v>1836248</v>
      </c>
      <c r="N230" s="257">
        <f t="shared" si="13"/>
        <v>0.90201624490658072</v>
      </c>
      <c r="O230" s="195">
        <v>0</v>
      </c>
      <c r="P230" s="257">
        <f t="shared" si="14"/>
        <v>0</v>
      </c>
      <c r="Q230" s="195">
        <v>0</v>
      </c>
      <c r="R230" s="260">
        <f t="shared" si="15"/>
        <v>0</v>
      </c>
    </row>
    <row r="231" spans="1:18" x14ac:dyDescent="0.25">
      <c r="A231" s="194" t="s">
        <v>545</v>
      </c>
      <c r="B231" s="194" t="s">
        <v>166</v>
      </c>
      <c r="C231" s="194" t="s">
        <v>167</v>
      </c>
      <c r="D231" s="194" t="s">
        <v>541</v>
      </c>
      <c r="E231" s="195">
        <v>4730770</v>
      </c>
      <c r="F231" s="195">
        <v>4730770</v>
      </c>
      <c r="G231" s="195">
        <v>4730770</v>
      </c>
      <c r="H231" s="195">
        <v>0</v>
      </c>
      <c r="I231" s="195">
        <v>49600.94</v>
      </c>
      <c r="J231" s="195">
        <v>0</v>
      </c>
      <c r="K231" s="195">
        <v>3750733.73</v>
      </c>
      <c r="L231" s="257">
        <f t="shared" si="12"/>
        <v>0.79283789531091131</v>
      </c>
      <c r="M231" s="195">
        <v>3750733.73</v>
      </c>
      <c r="N231" s="257">
        <f t="shared" si="13"/>
        <v>0.79283789531091131</v>
      </c>
      <c r="O231" s="195">
        <v>930435.33</v>
      </c>
      <c r="P231" s="257">
        <f t="shared" si="14"/>
        <v>0.19667735484921059</v>
      </c>
      <c r="Q231" s="195">
        <v>930435.33</v>
      </c>
      <c r="R231" s="260">
        <f t="shared" si="15"/>
        <v>0</v>
      </c>
    </row>
    <row r="232" spans="1:18" x14ac:dyDescent="0.25">
      <c r="A232" s="194" t="s">
        <v>545</v>
      </c>
      <c r="B232" s="194" t="s">
        <v>168</v>
      </c>
      <c r="C232" s="194" t="s">
        <v>169</v>
      </c>
      <c r="D232" s="194" t="s">
        <v>541</v>
      </c>
      <c r="E232" s="195">
        <v>83546141</v>
      </c>
      <c r="F232" s="195">
        <v>101246141</v>
      </c>
      <c r="G232" s="195">
        <v>101246141</v>
      </c>
      <c r="H232" s="195">
        <v>0</v>
      </c>
      <c r="I232" s="195">
        <v>75808659</v>
      </c>
      <c r="J232" s="195">
        <v>0</v>
      </c>
      <c r="K232" s="195">
        <v>25358126</v>
      </c>
      <c r="L232" s="257">
        <f t="shared" si="12"/>
        <v>0.25046017309439972</v>
      </c>
      <c r="M232" s="195">
        <v>25358126</v>
      </c>
      <c r="N232" s="257">
        <f t="shared" si="13"/>
        <v>0.25046017309439972</v>
      </c>
      <c r="O232" s="195">
        <v>79356</v>
      </c>
      <c r="P232" s="257">
        <f t="shared" si="14"/>
        <v>7.8379283611411919E-4</v>
      </c>
      <c r="Q232" s="195">
        <v>79356</v>
      </c>
      <c r="R232" s="260">
        <f t="shared" si="15"/>
        <v>0</v>
      </c>
    </row>
    <row r="233" spans="1:18" x14ac:dyDescent="0.25">
      <c r="A233" s="194" t="s">
        <v>545</v>
      </c>
      <c r="B233" s="194" t="s">
        <v>170</v>
      </c>
      <c r="C233" s="194" t="s">
        <v>171</v>
      </c>
      <c r="D233" s="194" t="s">
        <v>541</v>
      </c>
      <c r="E233" s="195">
        <v>83546141</v>
      </c>
      <c r="F233" s="195">
        <v>101246141</v>
      </c>
      <c r="G233" s="195">
        <v>101246141</v>
      </c>
      <c r="H233" s="195">
        <v>0</v>
      </c>
      <c r="I233" s="195">
        <v>75808659</v>
      </c>
      <c r="J233" s="195">
        <v>0</v>
      </c>
      <c r="K233" s="195">
        <v>25358126</v>
      </c>
      <c r="L233" s="257">
        <f t="shared" si="12"/>
        <v>0.25046017309439972</v>
      </c>
      <c r="M233" s="195">
        <v>25358126</v>
      </c>
      <c r="N233" s="257">
        <f t="shared" si="13"/>
        <v>0.25046017309439972</v>
      </c>
      <c r="O233" s="195">
        <v>79356</v>
      </c>
      <c r="P233" s="257">
        <f t="shared" si="14"/>
        <v>7.8379283611411919E-4</v>
      </c>
      <c r="Q233" s="195">
        <v>79356</v>
      </c>
      <c r="R233" s="260">
        <f t="shared" si="15"/>
        <v>0</v>
      </c>
    </row>
    <row r="234" spans="1:18" x14ac:dyDescent="0.25">
      <c r="A234" s="194" t="s">
        <v>545</v>
      </c>
      <c r="B234" s="194" t="s">
        <v>172</v>
      </c>
      <c r="C234" s="194" t="s">
        <v>173</v>
      </c>
      <c r="D234" s="194" t="s">
        <v>541</v>
      </c>
      <c r="E234" s="195">
        <v>0</v>
      </c>
      <c r="F234" s="195">
        <v>0</v>
      </c>
      <c r="G234" s="195">
        <v>0</v>
      </c>
      <c r="H234" s="195">
        <v>0</v>
      </c>
      <c r="I234" s="195">
        <v>0</v>
      </c>
      <c r="J234" s="195">
        <v>0</v>
      </c>
      <c r="K234" s="195">
        <v>0</v>
      </c>
      <c r="L234" s="257" t="e">
        <f t="shared" si="12"/>
        <v>#DIV/0!</v>
      </c>
      <c r="M234" s="195">
        <v>0</v>
      </c>
      <c r="N234" s="257" t="e">
        <f t="shared" si="13"/>
        <v>#DIV/0!</v>
      </c>
      <c r="O234" s="195">
        <v>0</v>
      </c>
      <c r="P234" s="257" t="e">
        <f t="shared" si="14"/>
        <v>#DIV/0!</v>
      </c>
      <c r="Q234" s="195">
        <v>0</v>
      </c>
      <c r="R234" s="260">
        <f t="shared" si="15"/>
        <v>0</v>
      </c>
    </row>
    <row r="235" spans="1:18" x14ac:dyDescent="0.25">
      <c r="A235" s="194" t="s">
        <v>545</v>
      </c>
      <c r="B235" s="194" t="s">
        <v>309</v>
      </c>
      <c r="C235" s="194" t="s">
        <v>310</v>
      </c>
      <c r="D235" s="194" t="s">
        <v>541</v>
      </c>
      <c r="E235" s="195">
        <v>0</v>
      </c>
      <c r="F235" s="195">
        <v>0</v>
      </c>
      <c r="G235" s="195">
        <v>0</v>
      </c>
      <c r="H235" s="195">
        <v>0</v>
      </c>
      <c r="I235" s="195">
        <v>0</v>
      </c>
      <c r="J235" s="195">
        <v>0</v>
      </c>
      <c r="K235" s="195">
        <v>0</v>
      </c>
      <c r="L235" s="257" t="e">
        <f t="shared" si="12"/>
        <v>#DIV/0!</v>
      </c>
      <c r="M235" s="195">
        <v>0</v>
      </c>
      <c r="N235" s="257" t="e">
        <f t="shared" si="13"/>
        <v>#DIV/0!</v>
      </c>
      <c r="O235" s="195">
        <v>0</v>
      </c>
      <c r="P235" s="257" t="e">
        <f t="shared" si="14"/>
        <v>#DIV/0!</v>
      </c>
      <c r="Q235" s="195">
        <v>0</v>
      </c>
      <c r="R235" s="260">
        <f t="shared" si="15"/>
        <v>0</v>
      </c>
    </row>
    <row r="236" spans="1:18" x14ac:dyDescent="0.25">
      <c r="A236" s="194" t="s">
        <v>545</v>
      </c>
      <c r="B236" s="194" t="s">
        <v>178</v>
      </c>
      <c r="C236" s="194" t="s">
        <v>179</v>
      </c>
      <c r="D236" s="194" t="s">
        <v>541</v>
      </c>
      <c r="E236" s="195">
        <v>89480793</v>
      </c>
      <c r="F236" s="195">
        <v>76080793</v>
      </c>
      <c r="G236" s="195">
        <v>70380793</v>
      </c>
      <c r="H236" s="195">
        <v>13680</v>
      </c>
      <c r="I236" s="195">
        <v>9702529.1400000006</v>
      </c>
      <c r="J236" s="195">
        <v>1175500</v>
      </c>
      <c r="K236" s="195">
        <v>36492285.409999996</v>
      </c>
      <c r="L236" s="257">
        <f t="shared" si="12"/>
        <v>0.47965174876660388</v>
      </c>
      <c r="M236" s="195">
        <v>35010897.409999996</v>
      </c>
      <c r="N236" s="257">
        <f t="shared" si="13"/>
        <v>0.46018050061597016</v>
      </c>
      <c r="O236" s="195">
        <v>28696798.449999999</v>
      </c>
      <c r="P236" s="257">
        <f t="shared" si="14"/>
        <v>0.37718847712326026</v>
      </c>
      <c r="Q236" s="195">
        <v>22996798.449999999</v>
      </c>
      <c r="R236" s="260">
        <f t="shared" si="15"/>
        <v>-5700000</v>
      </c>
    </row>
    <row r="237" spans="1:18" x14ac:dyDescent="0.25">
      <c r="A237" s="194" t="s">
        <v>545</v>
      </c>
      <c r="B237" s="194" t="s">
        <v>180</v>
      </c>
      <c r="C237" s="194" t="s">
        <v>181</v>
      </c>
      <c r="D237" s="194" t="s">
        <v>541</v>
      </c>
      <c r="E237" s="195">
        <v>13000000</v>
      </c>
      <c r="F237" s="195">
        <v>13000000</v>
      </c>
      <c r="G237" s="195">
        <v>13000000</v>
      </c>
      <c r="H237" s="195">
        <v>0</v>
      </c>
      <c r="I237" s="195">
        <v>2126150.0499999998</v>
      </c>
      <c r="J237" s="195">
        <v>155500</v>
      </c>
      <c r="K237" s="195">
        <v>5580389.6200000001</v>
      </c>
      <c r="L237" s="257">
        <f t="shared" si="12"/>
        <v>0.42926074000000003</v>
      </c>
      <c r="M237" s="195">
        <v>5580389.6200000001</v>
      </c>
      <c r="N237" s="257">
        <f t="shared" si="13"/>
        <v>0.42926074000000003</v>
      </c>
      <c r="O237" s="195">
        <v>5137960.33</v>
      </c>
      <c r="P237" s="257">
        <f t="shared" si="14"/>
        <v>0.39522771769230769</v>
      </c>
      <c r="Q237" s="195">
        <v>5137960.33</v>
      </c>
      <c r="R237" s="260">
        <f t="shared" si="15"/>
        <v>0</v>
      </c>
    </row>
    <row r="238" spans="1:18" x14ac:dyDescent="0.25">
      <c r="A238" s="194" t="s">
        <v>545</v>
      </c>
      <c r="B238" s="194" t="s">
        <v>332</v>
      </c>
      <c r="C238" s="194" t="s">
        <v>333</v>
      </c>
      <c r="D238" s="194" t="s">
        <v>541</v>
      </c>
      <c r="E238" s="195">
        <v>1918000</v>
      </c>
      <c r="F238" s="195">
        <v>1918000</v>
      </c>
      <c r="G238" s="195">
        <v>1918000</v>
      </c>
      <c r="H238" s="195">
        <v>0</v>
      </c>
      <c r="I238" s="195">
        <v>398742.44</v>
      </c>
      <c r="J238" s="195">
        <v>0</v>
      </c>
      <c r="K238" s="195">
        <v>1239069.97</v>
      </c>
      <c r="L238" s="257">
        <f t="shared" si="12"/>
        <v>0.64602188216892598</v>
      </c>
      <c r="M238" s="195">
        <v>1239069.97</v>
      </c>
      <c r="N238" s="257">
        <f t="shared" si="13"/>
        <v>0.64602188216892598</v>
      </c>
      <c r="O238" s="195">
        <v>280187.59000000003</v>
      </c>
      <c r="P238" s="257">
        <f t="shared" si="14"/>
        <v>0.14608320646506778</v>
      </c>
      <c r="Q238" s="195">
        <v>280187.59000000003</v>
      </c>
      <c r="R238" s="260">
        <f t="shared" si="15"/>
        <v>0</v>
      </c>
    </row>
    <row r="239" spans="1:18" x14ac:dyDescent="0.25">
      <c r="A239" s="194" t="s">
        <v>545</v>
      </c>
      <c r="B239" s="194" t="s">
        <v>182</v>
      </c>
      <c r="C239" s="194" t="s">
        <v>183</v>
      </c>
      <c r="D239" s="194" t="s">
        <v>541</v>
      </c>
      <c r="E239" s="195">
        <v>25420000</v>
      </c>
      <c r="F239" s="195">
        <v>15420000</v>
      </c>
      <c r="G239" s="195">
        <v>10420000</v>
      </c>
      <c r="H239" s="195">
        <v>0</v>
      </c>
      <c r="I239" s="195">
        <v>3139241.1</v>
      </c>
      <c r="J239" s="195">
        <v>0</v>
      </c>
      <c r="K239" s="195">
        <v>4261682.9000000004</v>
      </c>
      <c r="L239" s="257">
        <f t="shared" si="12"/>
        <v>0.276373728923476</v>
      </c>
      <c r="M239" s="195">
        <v>3590294.9</v>
      </c>
      <c r="N239" s="257">
        <f t="shared" si="13"/>
        <v>0.23283365110246432</v>
      </c>
      <c r="O239" s="195">
        <v>8019076</v>
      </c>
      <c r="P239" s="257">
        <f t="shared" si="14"/>
        <v>0.52004383916990926</v>
      </c>
      <c r="Q239" s="195">
        <v>3019076</v>
      </c>
      <c r="R239" s="260">
        <f t="shared" si="15"/>
        <v>-5000000</v>
      </c>
    </row>
    <row r="240" spans="1:18" x14ac:dyDescent="0.25">
      <c r="A240" s="194" t="s">
        <v>545</v>
      </c>
      <c r="B240" s="194" t="s">
        <v>184</v>
      </c>
      <c r="C240" s="194" t="s">
        <v>185</v>
      </c>
      <c r="D240" s="194" t="s">
        <v>541</v>
      </c>
      <c r="E240" s="195">
        <v>7181770</v>
      </c>
      <c r="F240" s="195">
        <v>7181770</v>
      </c>
      <c r="G240" s="195">
        <v>7181770</v>
      </c>
      <c r="H240" s="195">
        <v>0</v>
      </c>
      <c r="I240" s="195">
        <v>1144873.95</v>
      </c>
      <c r="J240" s="195">
        <v>0</v>
      </c>
      <c r="K240" s="195">
        <v>4625737.6900000004</v>
      </c>
      <c r="L240" s="257">
        <f t="shared" si="12"/>
        <v>0.64409437924077217</v>
      </c>
      <c r="M240" s="195">
        <v>4625737.6900000004</v>
      </c>
      <c r="N240" s="257">
        <f t="shared" si="13"/>
        <v>0.64409437924077217</v>
      </c>
      <c r="O240" s="195">
        <v>1411158.36</v>
      </c>
      <c r="P240" s="257">
        <f t="shared" si="14"/>
        <v>0.19649172279257066</v>
      </c>
      <c r="Q240" s="195">
        <v>1411158.36</v>
      </c>
      <c r="R240" s="260">
        <f t="shared" si="15"/>
        <v>0</v>
      </c>
    </row>
    <row r="241" spans="1:18" x14ac:dyDescent="0.25">
      <c r="A241" s="194" t="s">
        <v>545</v>
      </c>
      <c r="B241" s="194" t="s">
        <v>186</v>
      </c>
      <c r="C241" s="194" t="s">
        <v>187</v>
      </c>
      <c r="D241" s="194" t="s">
        <v>541</v>
      </c>
      <c r="E241" s="195">
        <v>8196286</v>
      </c>
      <c r="F241" s="195">
        <v>10196286</v>
      </c>
      <c r="G241" s="195">
        <v>10196286</v>
      </c>
      <c r="H241" s="195">
        <v>0</v>
      </c>
      <c r="I241" s="195">
        <v>463521.6</v>
      </c>
      <c r="J241" s="195">
        <v>0</v>
      </c>
      <c r="K241" s="195">
        <v>3817438.59</v>
      </c>
      <c r="L241" s="257">
        <f t="shared" si="12"/>
        <v>0.37439500912391038</v>
      </c>
      <c r="M241" s="195">
        <v>3817438.59</v>
      </c>
      <c r="N241" s="257">
        <f t="shared" si="13"/>
        <v>0.37439500912391038</v>
      </c>
      <c r="O241" s="195">
        <v>5915325.8099999996</v>
      </c>
      <c r="P241" s="257">
        <f t="shared" si="14"/>
        <v>0.58014514402597173</v>
      </c>
      <c r="Q241" s="195">
        <v>5915325.8099999996</v>
      </c>
      <c r="R241" s="260">
        <f t="shared" si="15"/>
        <v>0</v>
      </c>
    </row>
    <row r="242" spans="1:18" x14ac:dyDescent="0.25">
      <c r="A242" s="194" t="s">
        <v>545</v>
      </c>
      <c r="B242" s="194" t="s">
        <v>188</v>
      </c>
      <c r="C242" s="194" t="s">
        <v>189</v>
      </c>
      <c r="D242" s="194" t="s">
        <v>541</v>
      </c>
      <c r="E242" s="195">
        <v>28160737</v>
      </c>
      <c r="F242" s="195">
        <v>23460737</v>
      </c>
      <c r="G242" s="195">
        <v>23460737</v>
      </c>
      <c r="H242" s="195">
        <v>13680</v>
      </c>
      <c r="I242" s="195">
        <v>2430000</v>
      </c>
      <c r="J242" s="195">
        <v>1020000</v>
      </c>
      <c r="K242" s="195">
        <v>15622372.48</v>
      </c>
      <c r="L242" s="257">
        <f t="shared" si="12"/>
        <v>0.66589436128967305</v>
      </c>
      <c r="M242" s="195">
        <v>14812372.48</v>
      </c>
      <c r="N242" s="257">
        <f t="shared" si="13"/>
        <v>0.63136859170280968</v>
      </c>
      <c r="O242" s="195">
        <v>4374684.5199999996</v>
      </c>
      <c r="P242" s="257">
        <f t="shared" si="14"/>
        <v>0.18646833302807153</v>
      </c>
      <c r="Q242" s="195">
        <v>4374684.5199999996</v>
      </c>
      <c r="R242" s="260">
        <f t="shared" si="15"/>
        <v>0</v>
      </c>
    </row>
    <row r="243" spans="1:18" x14ac:dyDescent="0.25">
      <c r="A243" s="194" t="s">
        <v>545</v>
      </c>
      <c r="B243" s="194" t="s">
        <v>190</v>
      </c>
      <c r="C243" s="194" t="s">
        <v>191</v>
      </c>
      <c r="D243" s="194" t="s">
        <v>541</v>
      </c>
      <c r="E243" s="195">
        <v>5604000</v>
      </c>
      <c r="F243" s="195">
        <v>4904000</v>
      </c>
      <c r="G243" s="195">
        <v>4204000</v>
      </c>
      <c r="H243" s="195">
        <v>0</v>
      </c>
      <c r="I243" s="195">
        <v>0</v>
      </c>
      <c r="J243" s="195">
        <v>0</v>
      </c>
      <c r="K243" s="195">
        <v>1345594.16</v>
      </c>
      <c r="L243" s="257">
        <f t="shared" si="12"/>
        <v>0.27438706362153342</v>
      </c>
      <c r="M243" s="195">
        <v>1345594.16</v>
      </c>
      <c r="N243" s="257">
        <f t="shared" si="13"/>
        <v>0.27438706362153342</v>
      </c>
      <c r="O243" s="195">
        <v>3558405.84</v>
      </c>
      <c r="P243" s="257">
        <f t="shared" si="14"/>
        <v>0.72561293637846658</v>
      </c>
      <c r="Q243" s="195">
        <v>2858405.84</v>
      </c>
      <c r="R243" s="260">
        <f t="shared" si="15"/>
        <v>-700000</v>
      </c>
    </row>
    <row r="244" spans="1:18" x14ac:dyDescent="0.25">
      <c r="A244" s="194" t="s">
        <v>545</v>
      </c>
      <c r="B244" s="194" t="s">
        <v>192</v>
      </c>
      <c r="C244" s="194" t="s">
        <v>193</v>
      </c>
      <c r="D244" s="194" t="s">
        <v>541</v>
      </c>
      <c r="E244" s="195">
        <v>1340000</v>
      </c>
      <c r="F244" s="195">
        <v>1340000</v>
      </c>
      <c r="G244" s="195">
        <v>1340000</v>
      </c>
      <c r="H244" s="195">
        <v>0</v>
      </c>
      <c r="I244" s="195">
        <v>24600</v>
      </c>
      <c r="J244" s="195">
        <v>0</v>
      </c>
      <c r="K244" s="195">
        <v>400</v>
      </c>
      <c r="L244" s="257">
        <f t="shared" si="12"/>
        <v>2.9850746268656717E-4</v>
      </c>
      <c r="M244" s="195">
        <v>400</v>
      </c>
      <c r="N244" s="257">
        <f t="shared" si="13"/>
        <v>2.9850746268656717E-4</v>
      </c>
      <c r="O244" s="195">
        <v>1315000</v>
      </c>
      <c r="P244" s="257">
        <f t="shared" si="14"/>
        <v>0.98134328358208955</v>
      </c>
      <c r="Q244" s="195">
        <v>1315000</v>
      </c>
      <c r="R244" s="260">
        <f t="shared" si="15"/>
        <v>0</v>
      </c>
    </row>
    <row r="245" spans="1:18" x14ac:dyDescent="0.25">
      <c r="A245" s="194" t="s">
        <v>545</v>
      </c>
      <c r="B245" s="194" t="s">
        <v>194</v>
      </c>
      <c r="C245" s="194" t="s">
        <v>195</v>
      </c>
      <c r="D245" s="194" t="s">
        <v>541</v>
      </c>
      <c r="E245" s="195">
        <v>1340000</v>
      </c>
      <c r="F245" s="195">
        <v>1340000</v>
      </c>
      <c r="G245" s="195">
        <v>1340000</v>
      </c>
      <c r="H245" s="195">
        <v>0</v>
      </c>
      <c r="I245" s="195">
        <v>24600</v>
      </c>
      <c r="J245" s="195">
        <v>0</v>
      </c>
      <c r="K245" s="195">
        <v>400</v>
      </c>
      <c r="L245" s="257">
        <f t="shared" si="12"/>
        <v>2.9850746268656717E-4</v>
      </c>
      <c r="M245" s="195">
        <v>400</v>
      </c>
      <c r="N245" s="257">
        <f t="shared" si="13"/>
        <v>2.9850746268656717E-4</v>
      </c>
      <c r="O245" s="195">
        <v>1315000</v>
      </c>
      <c r="P245" s="257">
        <f t="shared" si="14"/>
        <v>0.98134328358208955</v>
      </c>
      <c r="Q245" s="195">
        <v>1315000</v>
      </c>
      <c r="R245" s="260">
        <f t="shared" si="15"/>
        <v>0</v>
      </c>
    </row>
    <row r="246" spans="1:18" x14ac:dyDescent="0.25">
      <c r="A246" s="194" t="s">
        <v>545</v>
      </c>
      <c r="B246" s="194" t="s">
        <v>196</v>
      </c>
      <c r="C246" s="194" t="s">
        <v>197</v>
      </c>
      <c r="D246" s="194" t="s">
        <v>541</v>
      </c>
      <c r="E246" s="195">
        <v>2150000</v>
      </c>
      <c r="F246" s="195">
        <v>2150000</v>
      </c>
      <c r="G246" s="195">
        <v>2150000</v>
      </c>
      <c r="H246" s="195">
        <v>0</v>
      </c>
      <c r="I246" s="195">
        <v>113207.78</v>
      </c>
      <c r="J246" s="195">
        <v>0</v>
      </c>
      <c r="K246" s="195">
        <v>0</v>
      </c>
      <c r="L246" s="257">
        <f t="shared" si="12"/>
        <v>0</v>
      </c>
      <c r="M246" s="195">
        <v>0</v>
      </c>
      <c r="N246" s="257">
        <f t="shared" si="13"/>
        <v>0</v>
      </c>
      <c r="O246" s="195">
        <v>2036792.22</v>
      </c>
      <c r="P246" s="257">
        <f t="shared" si="14"/>
        <v>0.94734521860465115</v>
      </c>
      <c r="Q246" s="195">
        <v>2036792.22</v>
      </c>
      <c r="R246" s="260">
        <f t="shared" si="15"/>
        <v>0</v>
      </c>
    </row>
    <row r="247" spans="1:18" x14ac:dyDescent="0.25">
      <c r="A247" s="194" t="s">
        <v>545</v>
      </c>
      <c r="B247" s="194" t="s">
        <v>334</v>
      </c>
      <c r="C247" s="194" t="s">
        <v>335</v>
      </c>
      <c r="D247" s="194" t="s">
        <v>541</v>
      </c>
      <c r="E247" s="195">
        <v>150000</v>
      </c>
      <c r="F247" s="195">
        <v>150000</v>
      </c>
      <c r="G247" s="195">
        <v>150000</v>
      </c>
      <c r="H247" s="195">
        <v>0</v>
      </c>
      <c r="I247" s="195">
        <v>113207.78</v>
      </c>
      <c r="J247" s="195">
        <v>0</v>
      </c>
      <c r="K247" s="195">
        <v>0</v>
      </c>
      <c r="L247" s="257">
        <f t="shared" si="12"/>
        <v>0</v>
      </c>
      <c r="M247" s="195">
        <v>0</v>
      </c>
      <c r="N247" s="257">
        <f t="shared" si="13"/>
        <v>0</v>
      </c>
      <c r="O247" s="195">
        <v>36792.22</v>
      </c>
      <c r="P247" s="257">
        <f t="shared" si="14"/>
        <v>0.24528146666666667</v>
      </c>
      <c r="Q247" s="195">
        <v>36792.22</v>
      </c>
      <c r="R247" s="260">
        <f t="shared" si="15"/>
        <v>0</v>
      </c>
    </row>
    <row r="248" spans="1:18" x14ac:dyDescent="0.25">
      <c r="A248" s="194" t="s">
        <v>545</v>
      </c>
      <c r="B248" s="194" t="s">
        <v>198</v>
      </c>
      <c r="C248" s="194" t="s">
        <v>199</v>
      </c>
      <c r="D248" s="194" t="s">
        <v>541</v>
      </c>
      <c r="E248" s="195">
        <v>2000000</v>
      </c>
      <c r="F248" s="195">
        <v>2000000</v>
      </c>
      <c r="G248" s="195">
        <v>2000000</v>
      </c>
      <c r="H248" s="195">
        <v>0</v>
      </c>
      <c r="I248" s="195">
        <v>0</v>
      </c>
      <c r="J248" s="195">
        <v>0</v>
      </c>
      <c r="K248" s="195">
        <v>0</v>
      </c>
      <c r="L248" s="257">
        <f t="shared" si="12"/>
        <v>0</v>
      </c>
      <c r="M248" s="195">
        <v>0</v>
      </c>
      <c r="N248" s="257">
        <f t="shared" si="13"/>
        <v>0</v>
      </c>
      <c r="O248" s="195">
        <v>2000000</v>
      </c>
      <c r="P248" s="257">
        <f t="shared" si="14"/>
        <v>1</v>
      </c>
      <c r="Q248" s="195">
        <v>2000000</v>
      </c>
      <c r="R248" s="260">
        <f t="shared" si="15"/>
        <v>0</v>
      </c>
    </row>
    <row r="249" spans="1:18" x14ac:dyDescent="0.25">
      <c r="A249" s="194" t="s">
        <v>545</v>
      </c>
      <c r="B249" s="194" t="s">
        <v>200</v>
      </c>
      <c r="C249" s="194" t="s">
        <v>201</v>
      </c>
      <c r="D249" s="194" t="s">
        <v>541</v>
      </c>
      <c r="E249" s="195">
        <v>65233793</v>
      </c>
      <c r="F249" s="195">
        <v>65233793</v>
      </c>
      <c r="G249" s="195">
        <v>41233793</v>
      </c>
      <c r="H249" s="195">
        <v>5807056.5099999998</v>
      </c>
      <c r="I249" s="195">
        <v>8083767.7599999998</v>
      </c>
      <c r="J249" s="195">
        <v>1114310.58</v>
      </c>
      <c r="K249" s="195">
        <v>21069990.969999999</v>
      </c>
      <c r="L249" s="257">
        <f t="shared" si="12"/>
        <v>0.32299196476280323</v>
      </c>
      <c r="M249" s="195">
        <v>19947482.210000001</v>
      </c>
      <c r="N249" s="257">
        <f t="shared" si="13"/>
        <v>0.30578449132951691</v>
      </c>
      <c r="O249" s="195">
        <v>29158667.18</v>
      </c>
      <c r="P249" s="257">
        <f t="shared" si="14"/>
        <v>0.44698714943648915</v>
      </c>
      <c r="Q249" s="195">
        <v>5158667.18</v>
      </c>
      <c r="R249" s="260">
        <f t="shared" si="15"/>
        <v>-24000000</v>
      </c>
    </row>
    <row r="250" spans="1:18" x14ac:dyDescent="0.25">
      <c r="A250" s="194" t="s">
        <v>545</v>
      </c>
      <c r="B250" s="194" t="s">
        <v>202</v>
      </c>
      <c r="C250" s="194" t="s">
        <v>203</v>
      </c>
      <c r="D250" s="194" t="s">
        <v>541</v>
      </c>
      <c r="E250" s="195">
        <v>34706100</v>
      </c>
      <c r="F250" s="195">
        <v>34706100</v>
      </c>
      <c r="G250" s="195">
        <v>22206100</v>
      </c>
      <c r="H250" s="195">
        <v>0</v>
      </c>
      <c r="I250" s="195">
        <v>6643512.9500000002</v>
      </c>
      <c r="J250" s="195">
        <v>293785.78000000003</v>
      </c>
      <c r="K250" s="195">
        <v>14432095.43</v>
      </c>
      <c r="L250" s="257">
        <f t="shared" si="12"/>
        <v>0.41583743001950663</v>
      </c>
      <c r="M250" s="195">
        <v>14161686.67</v>
      </c>
      <c r="N250" s="257">
        <f t="shared" si="13"/>
        <v>0.40804604003330824</v>
      </c>
      <c r="O250" s="195">
        <v>13336705.84</v>
      </c>
      <c r="P250" s="257">
        <f t="shared" si="14"/>
        <v>0.38427555501770583</v>
      </c>
      <c r="Q250" s="195">
        <v>836705.84</v>
      </c>
      <c r="R250" s="260">
        <f t="shared" si="15"/>
        <v>-12500000</v>
      </c>
    </row>
    <row r="251" spans="1:18" x14ac:dyDescent="0.25">
      <c r="A251" s="194" t="s">
        <v>545</v>
      </c>
      <c r="B251" s="194" t="s">
        <v>204</v>
      </c>
      <c r="C251" s="194" t="s">
        <v>205</v>
      </c>
      <c r="D251" s="194" t="s">
        <v>541</v>
      </c>
      <c r="E251" s="195">
        <v>26298967</v>
      </c>
      <c r="F251" s="195">
        <v>26298967</v>
      </c>
      <c r="G251" s="195">
        <v>19798967</v>
      </c>
      <c r="H251" s="195">
        <v>0</v>
      </c>
      <c r="I251" s="195">
        <v>6534373.3300000001</v>
      </c>
      <c r="J251" s="195">
        <v>0</v>
      </c>
      <c r="K251" s="195">
        <v>13140946.67</v>
      </c>
      <c r="L251" s="257">
        <f t="shared" si="12"/>
        <v>0.49967539295364721</v>
      </c>
      <c r="M251" s="195">
        <v>13140946.67</v>
      </c>
      <c r="N251" s="257">
        <f t="shared" si="13"/>
        <v>0.49967539295364721</v>
      </c>
      <c r="O251" s="195">
        <v>6623647</v>
      </c>
      <c r="P251" s="257">
        <f t="shared" si="14"/>
        <v>0.25185958824922666</v>
      </c>
      <c r="Q251" s="195">
        <v>123647</v>
      </c>
      <c r="R251" s="260">
        <f t="shared" si="15"/>
        <v>-6500000</v>
      </c>
    </row>
    <row r="252" spans="1:18" x14ac:dyDescent="0.25">
      <c r="A252" s="194" t="s">
        <v>545</v>
      </c>
      <c r="B252" s="194" t="s">
        <v>208</v>
      </c>
      <c r="C252" s="194" t="s">
        <v>209</v>
      </c>
      <c r="D252" s="194" t="s">
        <v>541</v>
      </c>
      <c r="E252" s="195">
        <v>8102133</v>
      </c>
      <c r="F252" s="195">
        <v>8102133</v>
      </c>
      <c r="G252" s="195">
        <v>2102133</v>
      </c>
      <c r="H252" s="195">
        <v>0</v>
      </c>
      <c r="I252" s="195">
        <v>82039.62</v>
      </c>
      <c r="J252" s="195">
        <v>37752</v>
      </c>
      <c r="K252" s="195">
        <v>1291148.76</v>
      </c>
      <c r="L252" s="257">
        <f t="shared" si="12"/>
        <v>0.15935911691402746</v>
      </c>
      <c r="M252" s="195">
        <v>1020740</v>
      </c>
      <c r="N252" s="257">
        <f t="shared" si="13"/>
        <v>0.12598410813547495</v>
      </c>
      <c r="O252" s="195">
        <v>6691192.6200000001</v>
      </c>
      <c r="P252" s="257">
        <f t="shared" si="14"/>
        <v>0.82585568763188655</v>
      </c>
      <c r="Q252" s="195">
        <v>691192.62</v>
      </c>
      <c r="R252" s="260">
        <f t="shared" si="15"/>
        <v>-6000000</v>
      </c>
    </row>
    <row r="253" spans="1:18" x14ac:dyDescent="0.25">
      <c r="A253" s="194" t="s">
        <v>545</v>
      </c>
      <c r="B253" s="194" t="s">
        <v>210</v>
      </c>
      <c r="C253" s="194" t="s">
        <v>211</v>
      </c>
      <c r="D253" s="194" t="s">
        <v>541</v>
      </c>
      <c r="E253" s="195">
        <v>305000</v>
      </c>
      <c r="F253" s="195">
        <v>305000</v>
      </c>
      <c r="G253" s="195">
        <v>305000</v>
      </c>
      <c r="H253" s="195">
        <v>0</v>
      </c>
      <c r="I253" s="195">
        <v>27100</v>
      </c>
      <c r="J253" s="195">
        <v>256033.78</v>
      </c>
      <c r="K253" s="195">
        <v>0</v>
      </c>
      <c r="L253" s="257">
        <f t="shared" si="12"/>
        <v>0</v>
      </c>
      <c r="M253" s="195">
        <v>0</v>
      </c>
      <c r="N253" s="257">
        <f t="shared" si="13"/>
        <v>0</v>
      </c>
      <c r="O253" s="195">
        <v>21866.22</v>
      </c>
      <c r="P253" s="257">
        <f t="shared" si="14"/>
        <v>7.1692524590163939E-2</v>
      </c>
      <c r="Q253" s="195">
        <v>21866.22</v>
      </c>
      <c r="R253" s="260">
        <f t="shared" si="15"/>
        <v>0</v>
      </c>
    </row>
    <row r="254" spans="1:18" x14ac:dyDescent="0.25">
      <c r="A254" s="194" t="s">
        <v>545</v>
      </c>
      <c r="B254" s="194" t="s">
        <v>216</v>
      </c>
      <c r="C254" s="194" t="s">
        <v>217</v>
      </c>
      <c r="D254" s="194" t="s">
        <v>541</v>
      </c>
      <c r="E254" s="195">
        <v>2978000</v>
      </c>
      <c r="F254" s="195">
        <v>2978000</v>
      </c>
      <c r="G254" s="195">
        <v>2978000</v>
      </c>
      <c r="H254" s="195">
        <v>1671033.32</v>
      </c>
      <c r="I254" s="195">
        <v>574379.19999999995</v>
      </c>
      <c r="J254" s="195">
        <v>51566</v>
      </c>
      <c r="K254" s="195">
        <v>55800</v>
      </c>
      <c r="L254" s="257">
        <f t="shared" si="12"/>
        <v>1.8737407656145063E-2</v>
      </c>
      <c r="M254" s="195">
        <v>55800</v>
      </c>
      <c r="N254" s="257">
        <f t="shared" si="13"/>
        <v>1.8737407656145063E-2</v>
      </c>
      <c r="O254" s="195">
        <v>625221.48</v>
      </c>
      <c r="P254" s="257">
        <f t="shared" si="14"/>
        <v>0.2099467696440564</v>
      </c>
      <c r="Q254" s="195">
        <v>625221.48</v>
      </c>
      <c r="R254" s="260">
        <f t="shared" si="15"/>
        <v>0</v>
      </c>
    </row>
    <row r="255" spans="1:18" x14ac:dyDescent="0.25">
      <c r="A255" s="194" t="s">
        <v>545</v>
      </c>
      <c r="B255" s="194" t="s">
        <v>218</v>
      </c>
      <c r="C255" s="194" t="s">
        <v>219</v>
      </c>
      <c r="D255" s="194" t="s">
        <v>541</v>
      </c>
      <c r="E255" s="195">
        <v>830000</v>
      </c>
      <c r="F255" s="195">
        <v>830000</v>
      </c>
      <c r="G255" s="195">
        <v>830000</v>
      </c>
      <c r="H255" s="195">
        <v>0</v>
      </c>
      <c r="I255" s="195">
        <v>443823</v>
      </c>
      <c r="J255" s="195">
        <v>0</v>
      </c>
      <c r="K255" s="195">
        <v>0</v>
      </c>
      <c r="L255" s="257">
        <f t="shared" si="12"/>
        <v>0</v>
      </c>
      <c r="M255" s="195">
        <v>0</v>
      </c>
      <c r="N255" s="257">
        <f t="shared" si="13"/>
        <v>0</v>
      </c>
      <c r="O255" s="195">
        <v>386177</v>
      </c>
      <c r="P255" s="257">
        <f t="shared" si="14"/>
        <v>0.46527349397590362</v>
      </c>
      <c r="Q255" s="195">
        <v>386177</v>
      </c>
      <c r="R255" s="260">
        <f t="shared" si="15"/>
        <v>0</v>
      </c>
    </row>
    <row r="256" spans="1:18" x14ac:dyDescent="0.25">
      <c r="A256" s="194" t="s">
        <v>545</v>
      </c>
      <c r="B256" s="194" t="s">
        <v>336</v>
      </c>
      <c r="C256" s="194" t="s">
        <v>337</v>
      </c>
      <c r="D256" s="194" t="s">
        <v>541</v>
      </c>
      <c r="E256" s="195">
        <v>67000</v>
      </c>
      <c r="F256" s="195">
        <v>67000</v>
      </c>
      <c r="G256" s="195">
        <v>67000</v>
      </c>
      <c r="H256" s="195">
        <v>0</v>
      </c>
      <c r="I256" s="195">
        <v>0</v>
      </c>
      <c r="J256" s="195">
        <v>0</v>
      </c>
      <c r="K256" s="195">
        <v>55800</v>
      </c>
      <c r="L256" s="257">
        <f t="shared" si="12"/>
        <v>0.83283582089552244</v>
      </c>
      <c r="M256" s="195">
        <v>55800</v>
      </c>
      <c r="N256" s="257">
        <f t="shared" si="13"/>
        <v>0.83283582089552244</v>
      </c>
      <c r="O256" s="195">
        <v>11200</v>
      </c>
      <c r="P256" s="257">
        <f t="shared" si="14"/>
        <v>0.16716417910447762</v>
      </c>
      <c r="Q256" s="195">
        <v>11200</v>
      </c>
      <c r="R256" s="260">
        <f t="shared" si="15"/>
        <v>0</v>
      </c>
    </row>
    <row r="257" spans="1:18" x14ac:dyDescent="0.25">
      <c r="A257" s="194" t="s">
        <v>545</v>
      </c>
      <c r="B257" s="194" t="s">
        <v>338</v>
      </c>
      <c r="C257" s="194" t="s">
        <v>339</v>
      </c>
      <c r="D257" s="194" t="s">
        <v>541</v>
      </c>
      <c r="E257" s="195">
        <v>99000</v>
      </c>
      <c r="F257" s="195">
        <v>99000</v>
      </c>
      <c r="G257" s="195">
        <v>99000</v>
      </c>
      <c r="H257" s="195">
        <v>0</v>
      </c>
      <c r="I257" s="195">
        <v>98740</v>
      </c>
      <c r="J257" s="195">
        <v>0</v>
      </c>
      <c r="K257" s="195">
        <v>0</v>
      </c>
      <c r="L257" s="257">
        <f t="shared" si="12"/>
        <v>0</v>
      </c>
      <c r="M257" s="195">
        <v>0</v>
      </c>
      <c r="N257" s="257">
        <f t="shared" si="13"/>
        <v>0</v>
      </c>
      <c r="O257" s="195">
        <v>260</v>
      </c>
      <c r="P257" s="257">
        <f t="shared" si="14"/>
        <v>2.6262626262626263E-3</v>
      </c>
      <c r="Q257" s="195">
        <v>260</v>
      </c>
      <c r="R257" s="260">
        <f t="shared" si="15"/>
        <v>0</v>
      </c>
    </row>
    <row r="258" spans="1:18" x14ac:dyDescent="0.25">
      <c r="A258" s="194" t="s">
        <v>545</v>
      </c>
      <c r="B258" s="194" t="s">
        <v>220</v>
      </c>
      <c r="C258" s="194" t="s">
        <v>221</v>
      </c>
      <c r="D258" s="194" t="s">
        <v>541</v>
      </c>
      <c r="E258" s="195">
        <v>1345000</v>
      </c>
      <c r="F258" s="195">
        <v>1345000</v>
      </c>
      <c r="G258" s="195">
        <v>1345000</v>
      </c>
      <c r="H258" s="195">
        <v>1286218.32</v>
      </c>
      <c r="I258" s="195">
        <v>0</v>
      </c>
      <c r="J258" s="195">
        <v>0</v>
      </c>
      <c r="K258" s="195">
        <v>0</v>
      </c>
      <c r="L258" s="257">
        <f t="shared" si="12"/>
        <v>0</v>
      </c>
      <c r="M258" s="195">
        <v>0</v>
      </c>
      <c r="N258" s="257">
        <f t="shared" si="13"/>
        <v>0</v>
      </c>
      <c r="O258" s="195">
        <v>58781.68</v>
      </c>
      <c r="P258" s="257">
        <f t="shared" si="14"/>
        <v>4.3703851301115239E-2</v>
      </c>
      <c r="Q258" s="195">
        <v>58781.68</v>
      </c>
      <c r="R258" s="260">
        <f t="shared" si="15"/>
        <v>0</v>
      </c>
    </row>
    <row r="259" spans="1:18" x14ac:dyDescent="0.25">
      <c r="A259" s="194" t="s">
        <v>545</v>
      </c>
      <c r="B259" s="194" t="s">
        <v>222</v>
      </c>
      <c r="C259" s="194" t="s">
        <v>223</v>
      </c>
      <c r="D259" s="194" t="s">
        <v>541</v>
      </c>
      <c r="E259" s="195">
        <v>40000</v>
      </c>
      <c r="F259" s="195">
        <v>40000</v>
      </c>
      <c r="G259" s="195">
        <v>40000</v>
      </c>
      <c r="H259" s="195">
        <v>0</v>
      </c>
      <c r="I259" s="195">
        <v>0</v>
      </c>
      <c r="J259" s="195">
        <v>0</v>
      </c>
      <c r="K259" s="195">
        <v>0</v>
      </c>
      <c r="L259" s="257">
        <f t="shared" ref="L259:L322" si="16">+K259/F259</f>
        <v>0</v>
      </c>
      <c r="M259" s="195">
        <v>0</v>
      </c>
      <c r="N259" s="257">
        <f t="shared" ref="N259:N322" si="17">+M259/F259</f>
        <v>0</v>
      </c>
      <c r="O259" s="195">
        <v>40000</v>
      </c>
      <c r="P259" s="257">
        <f t="shared" ref="P259:P322" si="18">+O259/F259</f>
        <v>1</v>
      </c>
      <c r="Q259" s="195">
        <v>40000</v>
      </c>
      <c r="R259" s="260">
        <f t="shared" si="15"/>
        <v>0</v>
      </c>
    </row>
    <row r="260" spans="1:18" x14ac:dyDescent="0.25">
      <c r="A260" s="194" t="s">
        <v>545</v>
      </c>
      <c r="B260" s="194" t="s">
        <v>224</v>
      </c>
      <c r="C260" s="194" t="s">
        <v>225</v>
      </c>
      <c r="D260" s="194" t="s">
        <v>541</v>
      </c>
      <c r="E260" s="195">
        <v>198000</v>
      </c>
      <c r="F260" s="195">
        <v>198000</v>
      </c>
      <c r="G260" s="195">
        <v>198000</v>
      </c>
      <c r="H260" s="195">
        <v>0</v>
      </c>
      <c r="I260" s="195">
        <v>31816.2</v>
      </c>
      <c r="J260" s="195">
        <v>51566</v>
      </c>
      <c r="K260" s="195">
        <v>0</v>
      </c>
      <c r="L260" s="257">
        <f t="shared" si="16"/>
        <v>0</v>
      </c>
      <c r="M260" s="195">
        <v>0</v>
      </c>
      <c r="N260" s="257">
        <f t="shared" si="17"/>
        <v>0</v>
      </c>
      <c r="O260" s="195">
        <v>114617.8</v>
      </c>
      <c r="P260" s="257">
        <f t="shared" si="18"/>
        <v>0.57887777777777782</v>
      </c>
      <c r="Q260" s="195">
        <v>114617.8</v>
      </c>
      <c r="R260" s="260">
        <f t="shared" si="15"/>
        <v>0</v>
      </c>
    </row>
    <row r="261" spans="1:18" x14ac:dyDescent="0.25">
      <c r="A261" s="194" t="s">
        <v>545</v>
      </c>
      <c r="B261" s="194" t="s">
        <v>226</v>
      </c>
      <c r="C261" s="194" t="s">
        <v>227</v>
      </c>
      <c r="D261" s="194" t="s">
        <v>541</v>
      </c>
      <c r="E261" s="195">
        <v>399000</v>
      </c>
      <c r="F261" s="195">
        <v>399000</v>
      </c>
      <c r="G261" s="195">
        <v>399000</v>
      </c>
      <c r="H261" s="195">
        <v>384815</v>
      </c>
      <c r="I261" s="195">
        <v>0</v>
      </c>
      <c r="J261" s="195">
        <v>0</v>
      </c>
      <c r="K261" s="195">
        <v>0</v>
      </c>
      <c r="L261" s="257">
        <f t="shared" si="16"/>
        <v>0</v>
      </c>
      <c r="M261" s="195">
        <v>0</v>
      </c>
      <c r="N261" s="257">
        <f t="shared" si="17"/>
        <v>0</v>
      </c>
      <c r="O261" s="195">
        <v>14185</v>
      </c>
      <c r="P261" s="257">
        <f t="shared" si="18"/>
        <v>3.5551378446115285E-2</v>
      </c>
      <c r="Q261" s="195">
        <v>14185</v>
      </c>
      <c r="R261" s="260">
        <f t="shared" ref="R261:R324" si="19">G261-F261</f>
        <v>0</v>
      </c>
    </row>
    <row r="262" spans="1:18" x14ac:dyDescent="0.25">
      <c r="A262" s="194" t="s">
        <v>545</v>
      </c>
      <c r="B262" s="194" t="s">
        <v>228</v>
      </c>
      <c r="C262" s="194" t="s">
        <v>229</v>
      </c>
      <c r="D262" s="194" t="s">
        <v>541</v>
      </c>
      <c r="E262" s="195">
        <v>3047000</v>
      </c>
      <c r="F262" s="195">
        <v>3047000</v>
      </c>
      <c r="G262" s="195">
        <v>2547000</v>
      </c>
      <c r="H262" s="195">
        <v>464079.19</v>
      </c>
      <c r="I262" s="195">
        <v>74150.81</v>
      </c>
      <c r="J262" s="195">
        <v>0</v>
      </c>
      <c r="K262" s="195">
        <v>871016.08</v>
      </c>
      <c r="L262" s="257">
        <f t="shared" si="16"/>
        <v>0.28586021660649819</v>
      </c>
      <c r="M262" s="195">
        <v>871016.08</v>
      </c>
      <c r="N262" s="257">
        <f t="shared" si="17"/>
        <v>0.28586021660649819</v>
      </c>
      <c r="O262" s="195">
        <v>1637753.92</v>
      </c>
      <c r="P262" s="257">
        <f t="shared" si="18"/>
        <v>0.5374971841155235</v>
      </c>
      <c r="Q262" s="195">
        <v>1137753.92</v>
      </c>
      <c r="R262" s="260">
        <f t="shared" si="19"/>
        <v>-500000</v>
      </c>
    </row>
    <row r="263" spans="1:18" x14ac:dyDescent="0.25">
      <c r="A263" s="194" t="s">
        <v>545</v>
      </c>
      <c r="B263" s="194" t="s">
        <v>230</v>
      </c>
      <c r="C263" s="194" t="s">
        <v>231</v>
      </c>
      <c r="D263" s="194" t="s">
        <v>541</v>
      </c>
      <c r="E263" s="195">
        <v>251000</v>
      </c>
      <c r="F263" s="195">
        <v>251000</v>
      </c>
      <c r="G263" s="195">
        <v>251000</v>
      </c>
      <c r="H263" s="195">
        <v>215120.48</v>
      </c>
      <c r="I263" s="195">
        <v>0</v>
      </c>
      <c r="J263" s="195">
        <v>0</v>
      </c>
      <c r="K263" s="195">
        <v>0</v>
      </c>
      <c r="L263" s="257">
        <f t="shared" si="16"/>
        <v>0</v>
      </c>
      <c r="M263" s="195">
        <v>0</v>
      </c>
      <c r="N263" s="257">
        <f t="shared" si="17"/>
        <v>0</v>
      </c>
      <c r="O263" s="195">
        <v>35879.519999999997</v>
      </c>
      <c r="P263" s="257">
        <f t="shared" si="18"/>
        <v>0.14294629482071711</v>
      </c>
      <c r="Q263" s="195">
        <v>35879.519999999997</v>
      </c>
      <c r="R263" s="260">
        <f t="shared" si="19"/>
        <v>0</v>
      </c>
    </row>
    <row r="264" spans="1:18" x14ac:dyDescent="0.25">
      <c r="A264" s="194" t="s">
        <v>545</v>
      </c>
      <c r="B264" s="194" t="s">
        <v>232</v>
      </c>
      <c r="C264" s="194" t="s">
        <v>233</v>
      </c>
      <c r="D264" s="194" t="s">
        <v>541</v>
      </c>
      <c r="E264" s="195">
        <v>2796000</v>
      </c>
      <c r="F264" s="195">
        <v>2796000</v>
      </c>
      <c r="G264" s="195">
        <v>2296000</v>
      </c>
      <c r="H264" s="195">
        <v>248958.71</v>
      </c>
      <c r="I264" s="195">
        <v>74150.81</v>
      </c>
      <c r="J264" s="195">
        <v>0</v>
      </c>
      <c r="K264" s="195">
        <v>871016.08</v>
      </c>
      <c r="L264" s="257">
        <f t="shared" si="16"/>
        <v>0.31152220314735335</v>
      </c>
      <c r="M264" s="195">
        <v>871016.08</v>
      </c>
      <c r="N264" s="257">
        <f t="shared" si="17"/>
        <v>0.31152220314735335</v>
      </c>
      <c r="O264" s="195">
        <v>1601874.4</v>
      </c>
      <c r="P264" s="257">
        <f t="shared" si="18"/>
        <v>0.5729164520743919</v>
      </c>
      <c r="Q264" s="195">
        <v>1101874.3999999999</v>
      </c>
      <c r="R264" s="260">
        <f t="shared" si="19"/>
        <v>-500000</v>
      </c>
    </row>
    <row r="265" spans="1:18" x14ac:dyDescent="0.25">
      <c r="A265" s="194" t="s">
        <v>545</v>
      </c>
      <c r="B265" s="194" t="s">
        <v>234</v>
      </c>
      <c r="C265" s="194" t="s">
        <v>601</v>
      </c>
      <c r="D265" s="194" t="s">
        <v>541</v>
      </c>
      <c r="E265" s="195">
        <v>24502693</v>
      </c>
      <c r="F265" s="195">
        <v>24502693</v>
      </c>
      <c r="G265" s="195">
        <v>13502693</v>
      </c>
      <c r="H265" s="195">
        <v>3671944</v>
      </c>
      <c r="I265" s="195">
        <v>791724.8</v>
      </c>
      <c r="J265" s="195">
        <v>768958.8</v>
      </c>
      <c r="K265" s="195">
        <v>5711079.46</v>
      </c>
      <c r="L265" s="257">
        <f t="shared" si="16"/>
        <v>0.23307966434546604</v>
      </c>
      <c r="M265" s="195">
        <v>4858979.46</v>
      </c>
      <c r="N265" s="257">
        <f t="shared" si="17"/>
        <v>0.19830389500452053</v>
      </c>
      <c r="O265" s="195">
        <v>13558985.939999999</v>
      </c>
      <c r="P265" s="257">
        <f t="shared" si="18"/>
        <v>0.55336717233489396</v>
      </c>
      <c r="Q265" s="195">
        <v>2558985.94</v>
      </c>
      <c r="R265" s="260">
        <f t="shared" si="19"/>
        <v>-11000000</v>
      </c>
    </row>
    <row r="266" spans="1:18" x14ac:dyDescent="0.25">
      <c r="A266" s="194" t="s">
        <v>545</v>
      </c>
      <c r="B266" s="194" t="s">
        <v>235</v>
      </c>
      <c r="C266" s="194" t="s">
        <v>236</v>
      </c>
      <c r="D266" s="194" t="s">
        <v>541</v>
      </c>
      <c r="E266" s="195">
        <v>7116000</v>
      </c>
      <c r="F266" s="195">
        <v>7116000</v>
      </c>
      <c r="G266" s="195">
        <v>3116000</v>
      </c>
      <c r="H266" s="195">
        <v>0</v>
      </c>
      <c r="I266" s="195">
        <v>167184.79999999999</v>
      </c>
      <c r="J266" s="195">
        <v>165800</v>
      </c>
      <c r="K266" s="195">
        <v>2781073.28</v>
      </c>
      <c r="L266" s="257">
        <f t="shared" si="16"/>
        <v>0.39081974142776837</v>
      </c>
      <c r="M266" s="195">
        <v>2259723.2799999998</v>
      </c>
      <c r="N266" s="257">
        <f t="shared" si="17"/>
        <v>0.31755526700393477</v>
      </c>
      <c r="O266" s="195">
        <v>4001941.92</v>
      </c>
      <c r="P266" s="257">
        <f t="shared" si="18"/>
        <v>0.56238644182124786</v>
      </c>
      <c r="Q266" s="195">
        <v>1941.92</v>
      </c>
      <c r="R266" s="260">
        <f t="shared" si="19"/>
        <v>-4000000</v>
      </c>
    </row>
    <row r="267" spans="1:18" x14ac:dyDescent="0.25">
      <c r="A267" s="194" t="s">
        <v>545</v>
      </c>
      <c r="B267" s="194" t="s">
        <v>237</v>
      </c>
      <c r="C267" s="194" t="s">
        <v>238</v>
      </c>
      <c r="D267" s="194" t="s">
        <v>541</v>
      </c>
      <c r="E267" s="195">
        <v>0</v>
      </c>
      <c r="F267" s="195">
        <v>0</v>
      </c>
      <c r="G267" s="195">
        <v>0</v>
      </c>
      <c r="H267" s="195">
        <v>0</v>
      </c>
      <c r="I267" s="195">
        <v>0</v>
      </c>
      <c r="J267" s="195">
        <v>0</v>
      </c>
      <c r="K267" s="195">
        <v>0</v>
      </c>
      <c r="L267" s="257" t="e">
        <f t="shared" si="16"/>
        <v>#DIV/0!</v>
      </c>
      <c r="M267" s="195">
        <v>0</v>
      </c>
      <c r="N267" s="257" t="e">
        <f t="shared" si="17"/>
        <v>#DIV/0!</v>
      </c>
      <c r="O267" s="195">
        <v>0</v>
      </c>
      <c r="P267" s="257" t="e">
        <f t="shared" si="18"/>
        <v>#DIV/0!</v>
      </c>
      <c r="Q267" s="195">
        <v>0</v>
      </c>
      <c r="R267" s="260">
        <f t="shared" si="19"/>
        <v>0</v>
      </c>
    </row>
    <row r="268" spans="1:18" x14ac:dyDescent="0.25">
      <c r="A268" s="194" t="s">
        <v>545</v>
      </c>
      <c r="B268" s="194" t="s">
        <v>239</v>
      </c>
      <c r="C268" s="194" t="s">
        <v>240</v>
      </c>
      <c r="D268" s="194" t="s">
        <v>541</v>
      </c>
      <c r="E268" s="195">
        <v>15203693</v>
      </c>
      <c r="F268" s="195">
        <v>15203693</v>
      </c>
      <c r="G268" s="195">
        <v>8203693</v>
      </c>
      <c r="H268" s="195">
        <v>3163244</v>
      </c>
      <c r="I268" s="195">
        <v>213375</v>
      </c>
      <c r="J268" s="195">
        <v>351000</v>
      </c>
      <c r="K268" s="195">
        <v>2227856.1800000002</v>
      </c>
      <c r="L268" s="257">
        <f t="shared" si="16"/>
        <v>0.14653388357683889</v>
      </c>
      <c r="M268" s="195">
        <v>2161856.1800000002</v>
      </c>
      <c r="N268" s="257">
        <f t="shared" si="17"/>
        <v>0.14219283301760963</v>
      </c>
      <c r="O268" s="195">
        <v>9248217.8200000003</v>
      </c>
      <c r="P268" s="257">
        <f t="shared" si="18"/>
        <v>0.60828759302098512</v>
      </c>
      <c r="Q268" s="195">
        <v>2248217.8199999998</v>
      </c>
      <c r="R268" s="260">
        <f t="shared" si="19"/>
        <v>-7000000</v>
      </c>
    </row>
    <row r="269" spans="1:18" x14ac:dyDescent="0.25">
      <c r="A269" s="194" t="s">
        <v>545</v>
      </c>
      <c r="B269" s="194" t="s">
        <v>241</v>
      </c>
      <c r="C269" s="194" t="s">
        <v>242</v>
      </c>
      <c r="D269" s="194" t="s">
        <v>541</v>
      </c>
      <c r="E269" s="195">
        <v>133000</v>
      </c>
      <c r="F269" s="195">
        <v>133000</v>
      </c>
      <c r="G269" s="195">
        <v>133000</v>
      </c>
      <c r="H269" s="195">
        <v>0</v>
      </c>
      <c r="I269" s="195">
        <v>0</v>
      </c>
      <c r="J269" s="195">
        <v>18000</v>
      </c>
      <c r="K269" s="195">
        <v>115000</v>
      </c>
      <c r="L269" s="257">
        <f t="shared" si="16"/>
        <v>0.86466165413533835</v>
      </c>
      <c r="M269" s="195">
        <v>46000</v>
      </c>
      <c r="N269" s="257">
        <f t="shared" si="17"/>
        <v>0.34586466165413532</v>
      </c>
      <c r="O269" s="195">
        <v>0</v>
      </c>
      <c r="P269" s="257">
        <f t="shared" si="18"/>
        <v>0</v>
      </c>
      <c r="Q269" s="195">
        <v>0</v>
      </c>
      <c r="R269" s="260">
        <f t="shared" si="19"/>
        <v>0</v>
      </c>
    </row>
    <row r="270" spans="1:18" x14ac:dyDescent="0.25">
      <c r="A270" s="194" t="s">
        <v>545</v>
      </c>
      <c r="B270" s="194" t="s">
        <v>243</v>
      </c>
      <c r="C270" s="194" t="s">
        <v>244</v>
      </c>
      <c r="D270" s="194" t="s">
        <v>541</v>
      </c>
      <c r="E270" s="195">
        <v>1356000</v>
      </c>
      <c r="F270" s="195">
        <v>1356000</v>
      </c>
      <c r="G270" s="195">
        <v>1356000</v>
      </c>
      <c r="H270" s="195">
        <v>0</v>
      </c>
      <c r="I270" s="195">
        <v>273825</v>
      </c>
      <c r="J270" s="195">
        <v>234158.8</v>
      </c>
      <c r="K270" s="195">
        <v>582350</v>
      </c>
      <c r="L270" s="257">
        <f t="shared" si="16"/>
        <v>0.42946165191740415</v>
      </c>
      <c r="M270" s="195">
        <v>386600</v>
      </c>
      <c r="N270" s="257">
        <f t="shared" si="17"/>
        <v>0.28510324483775812</v>
      </c>
      <c r="O270" s="195">
        <v>265666.2</v>
      </c>
      <c r="P270" s="257">
        <f t="shared" si="18"/>
        <v>0.19591902654867258</v>
      </c>
      <c r="Q270" s="195">
        <v>265666.2</v>
      </c>
      <c r="R270" s="260">
        <f t="shared" si="19"/>
        <v>0</v>
      </c>
    </row>
    <row r="271" spans="1:18" x14ac:dyDescent="0.25">
      <c r="A271" s="194" t="s">
        <v>545</v>
      </c>
      <c r="B271" s="194" t="s">
        <v>245</v>
      </c>
      <c r="C271" s="194" t="s">
        <v>246</v>
      </c>
      <c r="D271" s="194" t="s">
        <v>541</v>
      </c>
      <c r="E271" s="195">
        <v>123000</v>
      </c>
      <c r="F271" s="195">
        <v>123000</v>
      </c>
      <c r="G271" s="195">
        <v>123000</v>
      </c>
      <c r="H271" s="195">
        <v>115120</v>
      </c>
      <c r="I271" s="195">
        <v>0</v>
      </c>
      <c r="J271" s="195">
        <v>0</v>
      </c>
      <c r="K271" s="195">
        <v>4800</v>
      </c>
      <c r="L271" s="257">
        <f t="shared" si="16"/>
        <v>3.9024390243902439E-2</v>
      </c>
      <c r="M271" s="195">
        <v>4800</v>
      </c>
      <c r="N271" s="257">
        <f t="shared" si="17"/>
        <v>3.9024390243902439E-2</v>
      </c>
      <c r="O271" s="195">
        <v>3080</v>
      </c>
      <c r="P271" s="257">
        <f t="shared" si="18"/>
        <v>2.5040650406504064E-2</v>
      </c>
      <c r="Q271" s="195">
        <v>3080</v>
      </c>
      <c r="R271" s="260">
        <f t="shared" si="19"/>
        <v>0</v>
      </c>
    </row>
    <row r="272" spans="1:18" x14ac:dyDescent="0.25">
      <c r="A272" s="194" t="s">
        <v>545</v>
      </c>
      <c r="B272" s="194" t="s">
        <v>249</v>
      </c>
      <c r="C272" s="194" t="s">
        <v>250</v>
      </c>
      <c r="D272" s="194" t="s">
        <v>541</v>
      </c>
      <c r="E272" s="195">
        <v>571000</v>
      </c>
      <c r="F272" s="195">
        <v>571000</v>
      </c>
      <c r="G272" s="195">
        <v>571000</v>
      </c>
      <c r="H272" s="195">
        <v>393580</v>
      </c>
      <c r="I272" s="195">
        <v>137340</v>
      </c>
      <c r="J272" s="195">
        <v>0</v>
      </c>
      <c r="K272" s="195">
        <v>0</v>
      </c>
      <c r="L272" s="257">
        <f t="shared" si="16"/>
        <v>0</v>
      </c>
      <c r="M272" s="195">
        <v>0</v>
      </c>
      <c r="N272" s="257">
        <f t="shared" si="17"/>
        <v>0</v>
      </c>
      <c r="O272" s="195">
        <v>40080</v>
      </c>
      <c r="P272" s="257">
        <f t="shared" si="18"/>
        <v>7.0192644483362515E-2</v>
      </c>
      <c r="Q272" s="195">
        <v>40080</v>
      </c>
      <c r="R272" s="260">
        <f t="shared" si="19"/>
        <v>0</v>
      </c>
    </row>
    <row r="273" spans="1:18" x14ac:dyDescent="0.25">
      <c r="A273" s="194" t="s">
        <v>545</v>
      </c>
      <c r="B273" s="194" t="s">
        <v>279</v>
      </c>
      <c r="C273" s="194" t="s">
        <v>280</v>
      </c>
      <c r="D273" s="194" t="s">
        <v>543</v>
      </c>
      <c r="E273" s="195">
        <v>47031000</v>
      </c>
      <c r="F273" s="195">
        <v>47031000</v>
      </c>
      <c r="G273" s="195">
        <v>47031000</v>
      </c>
      <c r="H273" s="195">
        <v>0</v>
      </c>
      <c r="I273" s="195">
        <v>11889362.18</v>
      </c>
      <c r="J273" s="195">
        <v>0</v>
      </c>
      <c r="K273" s="195">
        <v>32250098.030000001</v>
      </c>
      <c r="L273" s="257">
        <f t="shared" si="16"/>
        <v>0.68572001509642577</v>
      </c>
      <c r="M273" s="195">
        <v>26911492.030000001</v>
      </c>
      <c r="N273" s="257">
        <f t="shared" si="17"/>
        <v>0.57220752333567226</v>
      </c>
      <c r="O273" s="195">
        <v>2891539.79</v>
      </c>
      <c r="P273" s="257">
        <f t="shared" si="18"/>
        <v>6.1481571516659228E-2</v>
      </c>
      <c r="Q273" s="195">
        <v>2891539.79</v>
      </c>
      <c r="R273" s="260">
        <f t="shared" si="19"/>
        <v>0</v>
      </c>
    </row>
    <row r="274" spans="1:18" x14ac:dyDescent="0.25">
      <c r="A274" s="194" t="s">
        <v>545</v>
      </c>
      <c r="B274" s="194" t="s">
        <v>281</v>
      </c>
      <c r="C274" s="194" t="s">
        <v>282</v>
      </c>
      <c r="D274" s="194" t="s">
        <v>543</v>
      </c>
      <c r="E274" s="195">
        <v>25000000</v>
      </c>
      <c r="F274" s="195">
        <v>17047517.809999999</v>
      </c>
      <c r="G274" s="195">
        <v>17047517.809999999</v>
      </c>
      <c r="H274" s="195">
        <v>0</v>
      </c>
      <c r="I274" s="195">
        <v>1534642.4</v>
      </c>
      <c r="J274" s="195">
        <v>0</v>
      </c>
      <c r="K274" s="195">
        <v>13762283.65</v>
      </c>
      <c r="L274" s="257">
        <f t="shared" si="16"/>
        <v>0.80728958921674243</v>
      </c>
      <c r="M274" s="195">
        <v>13762283.65</v>
      </c>
      <c r="N274" s="257">
        <f t="shared" si="17"/>
        <v>0.80728958921674243</v>
      </c>
      <c r="O274" s="195">
        <v>1750591.76</v>
      </c>
      <c r="P274" s="257">
        <f t="shared" si="18"/>
        <v>0.10268895328404412</v>
      </c>
      <c r="Q274" s="195">
        <v>1750591.76</v>
      </c>
      <c r="R274" s="260">
        <f t="shared" si="19"/>
        <v>0</v>
      </c>
    </row>
    <row r="275" spans="1:18" x14ac:dyDescent="0.25">
      <c r="A275" s="194" t="s">
        <v>545</v>
      </c>
      <c r="B275" s="194" t="s">
        <v>398</v>
      </c>
      <c r="C275" s="194" t="s">
        <v>501</v>
      </c>
      <c r="D275" s="194" t="s">
        <v>543</v>
      </c>
      <c r="E275" s="195">
        <v>15000000</v>
      </c>
      <c r="F275" s="195">
        <v>13762284</v>
      </c>
      <c r="G275" s="195">
        <v>13762284</v>
      </c>
      <c r="H275" s="195">
        <v>0</v>
      </c>
      <c r="I275" s="195">
        <v>0</v>
      </c>
      <c r="J275" s="195">
        <v>0</v>
      </c>
      <c r="K275" s="195">
        <v>13762283.65</v>
      </c>
      <c r="L275" s="257">
        <f t="shared" si="16"/>
        <v>0.99999997456817491</v>
      </c>
      <c r="M275" s="195">
        <v>13762283.65</v>
      </c>
      <c r="N275" s="257">
        <f t="shared" si="17"/>
        <v>0.99999997456817491</v>
      </c>
      <c r="O275" s="195">
        <v>0.35</v>
      </c>
      <c r="P275" s="257">
        <f t="shared" si="18"/>
        <v>2.5431825124376157E-8</v>
      </c>
      <c r="Q275" s="195">
        <v>0.35</v>
      </c>
      <c r="R275" s="260">
        <f t="shared" si="19"/>
        <v>0</v>
      </c>
    </row>
    <row r="276" spans="1:18" x14ac:dyDescent="0.25">
      <c r="A276" s="194" t="s">
        <v>545</v>
      </c>
      <c r="B276" s="194" t="s">
        <v>285</v>
      </c>
      <c r="C276" s="194" t="s">
        <v>286</v>
      </c>
      <c r="D276" s="194" t="s">
        <v>543</v>
      </c>
      <c r="E276" s="195">
        <v>0</v>
      </c>
      <c r="F276" s="195">
        <v>0</v>
      </c>
      <c r="G276" s="195">
        <v>0</v>
      </c>
      <c r="H276" s="195">
        <v>0</v>
      </c>
      <c r="I276" s="195">
        <v>0</v>
      </c>
      <c r="J276" s="195">
        <v>0</v>
      </c>
      <c r="K276" s="195">
        <v>0</v>
      </c>
      <c r="L276" s="257" t="e">
        <f t="shared" si="16"/>
        <v>#DIV/0!</v>
      </c>
      <c r="M276" s="195">
        <v>0</v>
      </c>
      <c r="N276" s="257" t="e">
        <f t="shared" si="17"/>
        <v>#DIV/0!</v>
      </c>
      <c r="O276" s="195">
        <v>0</v>
      </c>
      <c r="P276" s="257" t="e">
        <f t="shared" si="18"/>
        <v>#DIV/0!</v>
      </c>
      <c r="Q276" s="195">
        <v>0</v>
      </c>
      <c r="R276" s="260">
        <f t="shared" si="19"/>
        <v>0</v>
      </c>
    </row>
    <row r="277" spans="1:18" x14ac:dyDescent="0.25">
      <c r="A277" s="194" t="s">
        <v>545</v>
      </c>
      <c r="B277" s="194" t="s">
        <v>287</v>
      </c>
      <c r="C277" s="194" t="s">
        <v>288</v>
      </c>
      <c r="D277" s="194" t="s">
        <v>543</v>
      </c>
      <c r="E277" s="195">
        <v>0</v>
      </c>
      <c r="F277" s="195">
        <v>0</v>
      </c>
      <c r="G277" s="195">
        <v>0</v>
      </c>
      <c r="H277" s="195">
        <v>0</v>
      </c>
      <c r="I277" s="195">
        <v>0</v>
      </c>
      <c r="J277" s="195">
        <v>0</v>
      </c>
      <c r="K277" s="195">
        <v>0</v>
      </c>
      <c r="L277" s="257" t="e">
        <f t="shared" si="16"/>
        <v>#DIV/0!</v>
      </c>
      <c r="M277" s="195">
        <v>0</v>
      </c>
      <c r="N277" s="257" t="e">
        <f t="shared" si="17"/>
        <v>#DIV/0!</v>
      </c>
      <c r="O277" s="195">
        <v>0</v>
      </c>
      <c r="P277" s="257" t="e">
        <f t="shared" si="18"/>
        <v>#DIV/0!</v>
      </c>
      <c r="Q277" s="195">
        <v>0</v>
      </c>
      <c r="R277" s="260">
        <f t="shared" si="19"/>
        <v>0</v>
      </c>
    </row>
    <row r="278" spans="1:18" x14ac:dyDescent="0.25">
      <c r="A278" s="194" t="s">
        <v>545</v>
      </c>
      <c r="B278" s="194" t="s">
        <v>289</v>
      </c>
      <c r="C278" s="194" t="s">
        <v>290</v>
      </c>
      <c r="D278" s="194" t="s">
        <v>543</v>
      </c>
      <c r="E278" s="195">
        <v>10000000</v>
      </c>
      <c r="F278" s="195">
        <v>2585233.81</v>
      </c>
      <c r="G278" s="195">
        <v>2585233.81</v>
      </c>
      <c r="H278" s="195">
        <v>0</v>
      </c>
      <c r="I278" s="195">
        <v>852000</v>
      </c>
      <c r="J278" s="195">
        <v>0</v>
      </c>
      <c r="K278" s="195">
        <v>0</v>
      </c>
      <c r="L278" s="257">
        <f t="shared" si="16"/>
        <v>0</v>
      </c>
      <c r="M278" s="195">
        <v>0</v>
      </c>
      <c r="N278" s="257">
        <f t="shared" si="17"/>
        <v>0</v>
      </c>
      <c r="O278" s="195">
        <v>1733233.81</v>
      </c>
      <c r="P278" s="257">
        <f t="shared" si="18"/>
        <v>0.67043599820474264</v>
      </c>
      <c r="Q278" s="195">
        <v>1733233.81</v>
      </c>
      <c r="R278" s="260">
        <f t="shared" si="19"/>
        <v>0</v>
      </c>
    </row>
    <row r="279" spans="1:18" x14ac:dyDescent="0.25">
      <c r="A279" s="194" t="s">
        <v>545</v>
      </c>
      <c r="B279" s="194" t="s">
        <v>291</v>
      </c>
      <c r="C279" s="194" t="s">
        <v>292</v>
      </c>
      <c r="D279" s="194" t="s">
        <v>543</v>
      </c>
      <c r="E279" s="195">
        <v>0</v>
      </c>
      <c r="F279" s="195">
        <v>0</v>
      </c>
      <c r="G279" s="195">
        <v>0</v>
      </c>
      <c r="H279" s="195">
        <v>0</v>
      </c>
      <c r="I279" s="195">
        <v>0</v>
      </c>
      <c r="J279" s="195">
        <v>0</v>
      </c>
      <c r="K279" s="195">
        <v>0</v>
      </c>
      <c r="L279" s="257" t="e">
        <f t="shared" si="16"/>
        <v>#DIV/0!</v>
      </c>
      <c r="M279" s="195">
        <v>0</v>
      </c>
      <c r="N279" s="257" t="e">
        <f t="shared" si="17"/>
        <v>#DIV/0!</v>
      </c>
      <c r="O279" s="195">
        <v>0</v>
      </c>
      <c r="P279" s="257" t="e">
        <f t="shared" si="18"/>
        <v>#DIV/0!</v>
      </c>
      <c r="Q279" s="195">
        <v>0</v>
      </c>
      <c r="R279" s="260">
        <f t="shared" si="19"/>
        <v>0</v>
      </c>
    </row>
    <row r="280" spans="1:18" x14ac:dyDescent="0.25">
      <c r="A280" s="194" t="s">
        <v>545</v>
      </c>
      <c r="B280" s="194" t="s">
        <v>295</v>
      </c>
      <c r="C280" s="194" t="s">
        <v>296</v>
      </c>
      <c r="D280" s="194" t="s">
        <v>543</v>
      </c>
      <c r="E280" s="195">
        <v>0</v>
      </c>
      <c r="F280" s="195">
        <v>700000</v>
      </c>
      <c r="G280" s="195">
        <v>700000</v>
      </c>
      <c r="H280" s="195">
        <v>0</v>
      </c>
      <c r="I280" s="195">
        <v>682642.4</v>
      </c>
      <c r="J280" s="195">
        <v>0</v>
      </c>
      <c r="K280" s="195">
        <v>0</v>
      </c>
      <c r="L280" s="257">
        <f t="shared" si="16"/>
        <v>0</v>
      </c>
      <c r="M280" s="195">
        <v>0</v>
      </c>
      <c r="N280" s="257">
        <f t="shared" si="17"/>
        <v>0</v>
      </c>
      <c r="O280" s="195">
        <v>17357.599999999999</v>
      </c>
      <c r="P280" s="257">
        <f t="shared" si="18"/>
        <v>2.4796571428571425E-2</v>
      </c>
      <c r="Q280" s="195">
        <v>17357.599999999999</v>
      </c>
      <c r="R280" s="260">
        <f t="shared" si="19"/>
        <v>0</v>
      </c>
    </row>
    <row r="281" spans="1:18" x14ac:dyDescent="0.25">
      <c r="A281" s="194" t="s">
        <v>545</v>
      </c>
      <c r="B281" s="194" t="s">
        <v>297</v>
      </c>
      <c r="C281" s="194" t="s">
        <v>298</v>
      </c>
      <c r="D281" s="194" t="s">
        <v>543</v>
      </c>
      <c r="E281" s="195">
        <v>0</v>
      </c>
      <c r="F281" s="195">
        <v>1350982.19</v>
      </c>
      <c r="G281" s="195">
        <v>1350982.19</v>
      </c>
      <c r="H281" s="195">
        <v>0</v>
      </c>
      <c r="I281" s="195">
        <v>0</v>
      </c>
      <c r="J281" s="195">
        <v>0</v>
      </c>
      <c r="K281" s="195">
        <v>1350982.19</v>
      </c>
      <c r="L281" s="257">
        <f t="shared" si="16"/>
        <v>1</v>
      </c>
      <c r="M281" s="195">
        <v>1350982.19</v>
      </c>
      <c r="N281" s="257">
        <f t="shared" si="17"/>
        <v>1</v>
      </c>
      <c r="O281" s="195">
        <v>0</v>
      </c>
      <c r="P281" s="257">
        <f t="shared" si="18"/>
        <v>0</v>
      </c>
      <c r="Q281" s="195">
        <v>0</v>
      </c>
      <c r="R281" s="260">
        <f t="shared" si="19"/>
        <v>0</v>
      </c>
    </row>
    <row r="282" spans="1:18" x14ac:dyDescent="0.25">
      <c r="A282" s="194" t="s">
        <v>545</v>
      </c>
      <c r="B282" s="194" t="s">
        <v>299</v>
      </c>
      <c r="C282" s="194" t="s">
        <v>300</v>
      </c>
      <c r="D282" s="194" t="s">
        <v>543</v>
      </c>
      <c r="E282" s="195">
        <v>0</v>
      </c>
      <c r="F282" s="195">
        <v>1350982.19</v>
      </c>
      <c r="G282" s="195">
        <v>1350982.19</v>
      </c>
      <c r="H282" s="195">
        <v>0</v>
      </c>
      <c r="I282" s="195">
        <v>0</v>
      </c>
      <c r="J282" s="195">
        <v>0</v>
      </c>
      <c r="K282" s="195">
        <v>1350982.19</v>
      </c>
      <c r="L282" s="257">
        <f t="shared" si="16"/>
        <v>1</v>
      </c>
      <c r="M282" s="195">
        <v>1350982.19</v>
      </c>
      <c r="N282" s="257">
        <f t="shared" si="17"/>
        <v>1</v>
      </c>
      <c r="O282" s="195">
        <v>0</v>
      </c>
      <c r="P282" s="257">
        <f t="shared" si="18"/>
        <v>0</v>
      </c>
      <c r="Q282" s="195">
        <v>0</v>
      </c>
      <c r="R282" s="260">
        <f t="shared" si="19"/>
        <v>0</v>
      </c>
    </row>
    <row r="283" spans="1:18" x14ac:dyDescent="0.25">
      <c r="A283" s="194" t="s">
        <v>545</v>
      </c>
      <c r="B283" s="194" t="s">
        <v>340</v>
      </c>
      <c r="C283" s="194" t="s">
        <v>341</v>
      </c>
      <c r="D283" s="194" t="s">
        <v>543</v>
      </c>
      <c r="E283" s="195">
        <v>22031000</v>
      </c>
      <c r="F283" s="195">
        <v>28632500</v>
      </c>
      <c r="G283" s="195">
        <v>28632500</v>
      </c>
      <c r="H283" s="195">
        <v>0</v>
      </c>
      <c r="I283" s="195">
        <v>10354719.779999999</v>
      </c>
      <c r="J283" s="195">
        <v>0</v>
      </c>
      <c r="K283" s="195">
        <v>17136832.190000001</v>
      </c>
      <c r="L283" s="257">
        <f t="shared" si="16"/>
        <v>0.59850981192700603</v>
      </c>
      <c r="M283" s="195">
        <v>11798226.189999999</v>
      </c>
      <c r="N283" s="257">
        <f t="shared" si="17"/>
        <v>0.41205714450362346</v>
      </c>
      <c r="O283" s="195">
        <v>1140948.03</v>
      </c>
      <c r="P283" s="257">
        <f t="shared" si="18"/>
        <v>3.9848005937309E-2</v>
      </c>
      <c r="Q283" s="195">
        <v>1140948.03</v>
      </c>
      <c r="R283" s="260">
        <f t="shared" si="19"/>
        <v>0</v>
      </c>
    </row>
    <row r="284" spans="1:18" x14ac:dyDescent="0.25">
      <c r="A284" s="194" t="s">
        <v>545</v>
      </c>
      <c r="B284" s="194" t="s">
        <v>342</v>
      </c>
      <c r="C284" s="194" t="s">
        <v>343</v>
      </c>
      <c r="D284" s="194" t="s">
        <v>543</v>
      </c>
      <c r="E284" s="195">
        <v>22031000</v>
      </c>
      <c r="F284" s="195">
        <v>28632500</v>
      </c>
      <c r="G284" s="195">
        <v>28632500</v>
      </c>
      <c r="H284" s="195">
        <v>0</v>
      </c>
      <c r="I284" s="195">
        <v>10354719.779999999</v>
      </c>
      <c r="J284" s="195">
        <v>0</v>
      </c>
      <c r="K284" s="195">
        <v>17136832.190000001</v>
      </c>
      <c r="L284" s="257">
        <f t="shared" si="16"/>
        <v>0.59850981192700603</v>
      </c>
      <c r="M284" s="195">
        <v>11798226.189999999</v>
      </c>
      <c r="N284" s="257">
        <f t="shared" si="17"/>
        <v>0.41205714450362346</v>
      </c>
      <c r="O284" s="195">
        <v>1140948.03</v>
      </c>
      <c r="P284" s="257">
        <f t="shared" si="18"/>
        <v>3.9848005937309E-2</v>
      </c>
      <c r="Q284" s="195">
        <v>1140948.03</v>
      </c>
      <c r="R284" s="260">
        <f t="shared" si="19"/>
        <v>0</v>
      </c>
    </row>
    <row r="285" spans="1:18" x14ac:dyDescent="0.25">
      <c r="A285" s="194" t="s">
        <v>545</v>
      </c>
      <c r="B285" s="194" t="s">
        <v>251</v>
      </c>
      <c r="C285" s="194" t="s">
        <v>252</v>
      </c>
      <c r="D285" s="194" t="s">
        <v>541</v>
      </c>
      <c r="E285" s="195">
        <v>298129000</v>
      </c>
      <c r="F285" s="195">
        <v>306729000</v>
      </c>
      <c r="G285" s="195">
        <v>233267776</v>
      </c>
      <c r="H285" s="195">
        <v>0</v>
      </c>
      <c r="I285" s="195">
        <v>26228663.82</v>
      </c>
      <c r="J285" s="195">
        <v>0</v>
      </c>
      <c r="K285" s="195">
        <v>162033688.24000001</v>
      </c>
      <c r="L285" s="257">
        <f t="shared" si="16"/>
        <v>0.52826334725441682</v>
      </c>
      <c r="M285" s="195">
        <v>162033688.24000001</v>
      </c>
      <c r="N285" s="257">
        <f t="shared" si="17"/>
        <v>0.52826334725441682</v>
      </c>
      <c r="O285" s="195">
        <v>118466647.94</v>
      </c>
      <c r="P285" s="257">
        <f t="shared" si="18"/>
        <v>0.38622578217253667</v>
      </c>
      <c r="Q285" s="195">
        <v>45005423.939999998</v>
      </c>
      <c r="R285" s="260">
        <f t="shared" si="19"/>
        <v>-73461224</v>
      </c>
    </row>
    <row r="286" spans="1:18" x14ac:dyDescent="0.25">
      <c r="A286" s="194" t="s">
        <v>545</v>
      </c>
      <c r="B286" s="194" t="s">
        <v>253</v>
      </c>
      <c r="C286" s="194" t="s">
        <v>254</v>
      </c>
      <c r="D286" s="194" t="s">
        <v>541</v>
      </c>
      <c r="E286" s="195">
        <v>115667000</v>
      </c>
      <c r="F286" s="195">
        <v>115667000</v>
      </c>
      <c r="G286" s="195">
        <v>111205776</v>
      </c>
      <c r="H286" s="195">
        <v>0</v>
      </c>
      <c r="I286" s="195">
        <v>26223281.809999999</v>
      </c>
      <c r="J286" s="195">
        <v>0</v>
      </c>
      <c r="K286" s="195">
        <v>84982494.189999998</v>
      </c>
      <c r="L286" s="257">
        <f t="shared" si="16"/>
        <v>0.73471685260273023</v>
      </c>
      <c r="M286" s="195">
        <v>84982494.189999998</v>
      </c>
      <c r="N286" s="257">
        <f t="shared" si="17"/>
        <v>0.73471685260273023</v>
      </c>
      <c r="O286" s="195">
        <v>4461224</v>
      </c>
      <c r="P286" s="257">
        <f t="shared" si="18"/>
        <v>3.8569548790925674E-2</v>
      </c>
      <c r="Q286" s="195">
        <v>0</v>
      </c>
      <c r="R286" s="260">
        <f t="shared" si="19"/>
        <v>-4461224</v>
      </c>
    </row>
    <row r="287" spans="1:18" x14ac:dyDescent="0.25">
      <c r="A287" s="194" t="s">
        <v>545</v>
      </c>
      <c r="B287" s="194" t="s">
        <v>344</v>
      </c>
      <c r="C287" s="194" t="s">
        <v>602</v>
      </c>
      <c r="D287" s="194" t="s">
        <v>541</v>
      </c>
      <c r="E287" s="195">
        <v>96260000</v>
      </c>
      <c r="F287" s="195">
        <v>96260000</v>
      </c>
      <c r="G287" s="195">
        <v>92547304</v>
      </c>
      <c r="H287" s="195">
        <v>0</v>
      </c>
      <c r="I287" s="195">
        <v>21823617.579999998</v>
      </c>
      <c r="J287" s="195">
        <v>0</v>
      </c>
      <c r="K287" s="195">
        <v>70723686.420000002</v>
      </c>
      <c r="L287" s="257">
        <f t="shared" si="16"/>
        <v>0.73471521317265742</v>
      </c>
      <c r="M287" s="195">
        <v>70723686.420000002</v>
      </c>
      <c r="N287" s="257">
        <f t="shared" si="17"/>
        <v>0.73471521317265742</v>
      </c>
      <c r="O287" s="195">
        <v>3712696</v>
      </c>
      <c r="P287" s="257">
        <f t="shared" si="18"/>
        <v>3.8569457718678576E-2</v>
      </c>
      <c r="Q287" s="195">
        <v>0</v>
      </c>
      <c r="R287" s="260">
        <f t="shared" si="19"/>
        <v>-3712696</v>
      </c>
    </row>
    <row r="288" spans="1:18" x14ac:dyDescent="0.25">
      <c r="A288" s="194" t="s">
        <v>545</v>
      </c>
      <c r="B288" s="194" t="s">
        <v>345</v>
      </c>
      <c r="C288" s="194" t="s">
        <v>603</v>
      </c>
      <c r="D288" s="194" t="s">
        <v>541</v>
      </c>
      <c r="E288" s="195">
        <v>19407000</v>
      </c>
      <c r="F288" s="195">
        <v>19407000</v>
      </c>
      <c r="G288" s="195">
        <v>18658472</v>
      </c>
      <c r="H288" s="195">
        <v>0</v>
      </c>
      <c r="I288" s="195">
        <v>4399664.2300000004</v>
      </c>
      <c r="J288" s="195">
        <v>0</v>
      </c>
      <c r="K288" s="195">
        <v>14258807.77</v>
      </c>
      <c r="L288" s="257">
        <f t="shared" si="16"/>
        <v>0.73472498428402122</v>
      </c>
      <c r="M288" s="195">
        <v>14258807.77</v>
      </c>
      <c r="N288" s="257">
        <f t="shared" si="17"/>
        <v>0.73472498428402122</v>
      </c>
      <c r="O288" s="195">
        <v>748528</v>
      </c>
      <c r="P288" s="257">
        <f t="shared" si="18"/>
        <v>3.8570000515277994E-2</v>
      </c>
      <c r="Q288" s="195">
        <v>0</v>
      </c>
      <c r="R288" s="260">
        <f t="shared" si="19"/>
        <v>-748528</v>
      </c>
    </row>
    <row r="289" spans="1:18" x14ac:dyDescent="0.25">
      <c r="A289" s="194" t="s">
        <v>545</v>
      </c>
      <c r="B289" s="194" t="s">
        <v>261</v>
      </c>
      <c r="C289" s="194" t="s">
        <v>262</v>
      </c>
      <c r="D289" s="194" t="s">
        <v>541</v>
      </c>
      <c r="E289" s="195">
        <v>179462000</v>
      </c>
      <c r="F289" s="195">
        <v>179462000</v>
      </c>
      <c r="G289" s="195">
        <v>110462000</v>
      </c>
      <c r="H289" s="195">
        <v>0</v>
      </c>
      <c r="I289" s="195">
        <v>5382.01</v>
      </c>
      <c r="J289" s="195">
        <v>0</v>
      </c>
      <c r="K289" s="195">
        <v>65661730.789999999</v>
      </c>
      <c r="L289" s="257">
        <f t="shared" si="16"/>
        <v>0.36588097084619586</v>
      </c>
      <c r="M289" s="195">
        <v>65661730.789999999</v>
      </c>
      <c r="N289" s="257">
        <f t="shared" si="17"/>
        <v>0.36588097084619586</v>
      </c>
      <c r="O289" s="195">
        <v>113794887.2</v>
      </c>
      <c r="P289" s="257">
        <f t="shared" si="18"/>
        <v>0.63408903946239314</v>
      </c>
      <c r="Q289" s="195">
        <v>44794887.200000003</v>
      </c>
      <c r="R289" s="260">
        <f t="shared" si="19"/>
        <v>-69000000</v>
      </c>
    </row>
    <row r="290" spans="1:18" x14ac:dyDescent="0.25">
      <c r="A290" s="194" t="s">
        <v>545</v>
      </c>
      <c r="B290" s="194" t="s">
        <v>263</v>
      </c>
      <c r="C290" s="194" t="s">
        <v>264</v>
      </c>
      <c r="D290" s="194" t="s">
        <v>541</v>
      </c>
      <c r="E290" s="195">
        <v>150000000</v>
      </c>
      <c r="F290" s="195">
        <v>150000000</v>
      </c>
      <c r="G290" s="195">
        <v>81000000</v>
      </c>
      <c r="H290" s="195">
        <v>0</v>
      </c>
      <c r="I290" s="195">
        <v>5382.01</v>
      </c>
      <c r="J290" s="195">
        <v>0</v>
      </c>
      <c r="K290" s="195">
        <v>40642849.789999999</v>
      </c>
      <c r="L290" s="257">
        <f t="shared" si="16"/>
        <v>0.27095233193333335</v>
      </c>
      <c r="M290" s="195">
        <v>40642849.789999999</v>
      </c>
      <c r="N290" s="257">
        <f t="shared" si="17"/>
        <v>0.27095233193333335</v>
      </c>
      <c r="O290" s="195">
        <v>109351768.2</v>
      </c>
      <c r="P290" s="257">
        <f t="shared" si="18"/>
        <v>0.72901178799999999</v>
      </c>
      <c r="Q290" s="195">
        <v>40351768.200000003</v>
      </c>
      <c r="R290" s="260">
        <f t="shared" si="19"/>
        <v>-69000000</v>
      </c>
    </row>
    <row r="291" spans="1:18" x14ac:dyDescent="0.25">
      <c r="A291" s="194" t="s">
        <v>545</v>
      </c>
      <c r="B291" s="194" t="s">
        <v>265</v>
      </c>
      <c r="C291" s="194" t="s">
        <v>266</v>
      </c>
      <c r="D291" s="194" t="s">
        <v>541</v>
      </c>
      <c r="E291" s="195">
        <v>29462000</v>
      </c>
      <c r="F291" s="195">
        <v>29462000</v>
      </c>
      <c r="G291" s="195">
        <v>29462000</v>
      </c>
      <c r="H291" s="195">
        <v>0</v>
      </c>
      <c r="I291" s="195">
        <v>0</v>
      </c>
      <c r="J291" s="195">
        <v>0</v>
      </c>
      <c r="K291" s="195">
        <v>25018881</v>
      </c>
      <c r="L291" s="257">
        <f t="shared" si="16"/>
        <v>0.84919153485846177</v>
      </c>
      <c r="M291" s="195">
        <v>25018881</v>
      </c>
      <c r="N291" s="257">
        <f t="shared" si="17"/>
        <v>0.84919153485846177</v>
      </c>
      <c r="O291" s="195">
        <v>4443119</v>
      </c>
      <c r="P291" s="257">
        <f t="shared" si="18"/>
        <v>0.15080846514153826</v>
      </c>
      <c r="Q291" s="195">
        <v>4443119</v>
      </c>
      <c r="R291" s="260">
        <f t="shared" si="19"/>
        <v>0</v>
      </c>
    </row>
    <row r="292" spans="1:18" x14ac:dyDescent="0.25">
      <c r="A292" s="194" t="s">
        <v>545</v>
      </c>
      <c r="B292" s="194" t="s">
        <v>267</v>
      </c>
      <c r="C292" s="194" t="s">
        <v>268</v>
      </c>
      <c r="D292" s="194" t="s">
        <v>541</v>
      </c>
      <c r="E292" s="195">
        <v>3000000</v>
      </c>
      <c r="F292" s="195">
        <v>11600000</v>
      </c>
      <c r="G292" s="195">
        <v>11600000</v>
      </c>
      <c r="H292" s="195">
        <v>0</v>
      </c>
      <c r="I292" s="195">
        <v>0</v>
      </c>
      <c r="J292" s="195">
        <v>0</v>
      </c>
      <c r="K292" s="195">
        <v>11389463.26</v>
      </c>
      <c r="L292" s="257">
        <f t="shared" si="16"/>
        <v>0.98185028103448269</v>
      </c>
      <c r="M292" s="195">
        <v>11389463.26</v>
      </c>
      <c r="N292" s="257">
        <f t="shared" si="17"/>
        <v>0.98185028103448269</v>
      </c>
      <c r="O292" s="195">
        <v>210536.74</v>
      </c>
      <c r="P292" s="257">
        <f t="shared" si="18"/>
        <v>1.8149718965517241E-2</v>
      </c>
      <c r="Q292" s="195">
        <v>210536.74</v>
      </c>
      <c r="R292" s="260">
        <f t="shared" si="19"/>
        <v>0</v>
      </c>
    </row>
    <row r="293" spans="1:18" x14ac:dyDescent="0.25">
      <c r="A293" s="194" t="s">
        <v>545</v>
      </c>
      <c r="B293" s="194" t="s">
        <v>269</v>
      </c>
      <c r="C293" s="194" t="s">
        <v>270</v>
      </c>
      <c r="D293" s="194" t="s">
        <v>541</v>
      </c>
      <c r="E293" s="195">
        <v>3000000</v>
      </c>
      <c r="F293" s="195">
        <v>11600000</v>
      </c>
      <c r="G293" s="195">
        <v>11600000</v>
      </c>
      <c r="H293" s="195">
        <v>0</v>
      </c>
      <c r="I293" s="195">
        <v>0</v>
      </c>
      <c r="J293" s="195">
        <v>0</v>
      </c>
      <c r="K293" s="195">
        <v>11389463.26</v>
      </c>
      <c r="L293" s="257">
        <f t="shared" si="16"/>
        <v>0.98185028103448269</v>
      </c>
      <c r="M293" s="195">
        <v>11389463.26</v>
      </c>
      <c r="N293" s="257">
        <f t="shared" si="17"/>
        <v>0.98185028103448269</v>
      </c>
      <c r="O293" s="195">
        <v>210536.74</v>
      </c>
      <c r="P293" s="257">
        <f t="shared" si="18"/>
        <v>1.8149718965517241E-2</v>
      </c>
      <c r="Q293" s="195">
        <v>210536.74</v>
      </c>
      <c r="R293" s="260">
        <f t="shared" si="19"/>
        <v>0</v>
      </c>
    </row>
    <row r="294" spans="1:18" x14ac:dyDescent="0.25">
      <c r="A294" s="194" t="s">
        <v>546</v>
      </c>
      <c r="B294" s="194" t="s">
        <v>587</v>
      </c>
      <c r="C294" s="194" t="s">
        <v>587</v>
      </c>
      <c r="D294" s="194" t="s">
        <v>541</v>
      </c>
      <c r="E294" s="195">
        <v>106163237755</v>
      </c>
      <c r="F294" s="195">
        <v>112403282287</v>
      </c>
      <c r="G294" s="195">
        <v>110156326529</v>
      </c>
      <c r="H294" s="195">
        <v>251701178.69999999</v>
      </c>
      <c r="I294" s="195">
        <v>7935029482.4799995</v>
      </c>
      <c r="J294" s="195">
        <v>239157703.74000001</v>
      </c>
      <c r="K294" s="195">
        <v>81905149706.940002</v>
      </c>
      <c r="L294" s="257">
        <f t="shared" si="16"/>
        <v>0.72867222415988775</v>
      </c>
      <c r="M294" s="195">
        <v>80957892085.039993</v>
      </c>
      <c r="N294" s="257">
        <f t="shared" si="17"/>
        <v>0.72024491133924096</v>
      </c>
      <c r="O294" s="195">
        <v>22072244215.139999</v>
      </c>
      <c r="P294" s="257">
        <f t="shared" si="18"/>
        <v>0.19636654522937153</v>
      </c>
      <c r="Q294" s="195">
        <v>19825288457.139999</v>
      </c>
      <c r="R294" s="260">
        <f t="shared" si="19"/>
        <v>-2246955758</v>
      </c>
    </row>
    <row r="295" spans="1:18" x14ac:dyDescent="0.25">
      <c r="A295" s="194" t="s">
        <v>546</v>
      </c>
      <c r="B295" s="194" t="s">
        <v>92</v>
      </c>
      <c r="C295" s="194" t="s">
        <v>93</v>
      </c>
      <c r="D295" s="194" t="s">
        <v>541</v>
      </c>
      <c r="E295" s="195">
        <v>69224041000</v>
      </c>
      <c r="F295" s="195">
        <v>69224041000</v>
      </c>
      <c r="G295" s="195">
        <v>68279133897</v>
      </c>
      <c r="H295" s="195">
        <v>0</v>
      </c>
      <c r="I295" s="195">
        <v>2031429423</v>
      </c>
      <c r="J295" s="195">
        <v>0</v>
      </c>
      <c r="K295" s="195">
        <v>51942719091.099998</v>
      </c>
      <c r="L295" s="257">
        <f t="shared" si="16"/>
        <v>0.75035664403209279</v>
      </c>
      <c r="M295" s="195">
        <v>51942719091.099998</v>
      </c>
      <c r="N295" s="257">
        <f t="shared" si="17"/>
        <v>0.75035664403209279</v>
      </c>
      <c r="O295" s="195">
        <v>15249892485.9</v>
      </c>
      <c r="P295" s="257">
        <f t="shared" si="18"/>
        <v>0.2202976345443341</v>
      </c>
      <c r="Q295" s="195">
        <v>14304985382.9</v>
      </c>
      <c r="R295" s="260">
        <f t="shared" si="19"/>
        <v>-944907103</v>
      </c>
    </row>
    <row r="296" spans="1:18" x14ac:dyDescent="0.25">
      <c r="A296" s="194" t="s">
        <v>546</v>
      </c>
      <c r="B296" s="194" t="s">
        <v>94</v>
      </c>
      <c r="C296" s="194" t="s">
        <v>95</v>
      </c>
      <c r="D296" s="194" t="s">
        <v>541</v>
      </c>
      <c r="E296" s="195">
        <v>25618223000</v>
      </c>
      <c r="F296" s="195">
        <v>25618223000</v>
      </c>
      <c r="G296" s="195">
        <v>25122559678</v>
      </c>
      <c r="H296" s="195">
        <v>0</v>
      </c>
      <c r="I296" s="195">
        <v>0</v>
      </c>
      <c r="J296" s="195">
        <v>0</v>
      </c>
      <c r="K296" s="195">
        <v>19849877738.150002</v>
      </c>
      <c r="L296" s="257">
        <f t="shared" si="16"/>
        <v>0.77483429425022965</v>
      </c>
      <c r="M296" s="195">
        <v>19849877738.150002</v>
      </c>
      <c r="N296" s="257">
        <f t="shared" si="17"/>
        <v>0.77483429425022965</v>
      </c>
      <c r="O296" s="195">
        <v>5768345261.8500004</v>
      </c>
      <c r="P296" s="257">
        <f t="shared" si="18"/>
        <v>0.22516570574977041</v>
      </c>
      <c r="Q296" s="195">
        <v>5272681939.8500004</v>
      </c>
      <c r="R296" s="260">
        <f t="shared" si="19"/>
        <v>-495663322</v>
      </c>
    </row>
    <row r="297" spans="1:18" x14ac:dyDescent="0.25">
      <c r="A297" s="194" t="s">
        <v>546</v>
      </c>
      <c r="B297" s="194" t="s">
        <v>96</v>
      </c>
      <c r="C297" s="194" t="s">
        <v>97</v>
      </c>
      <c r="D297" s="194" t="s">
        <v>541</v>
      </c>
      <c r="E297" s="195">
        <v>25601107000</v>
      </c>
      <c r="F297" s="195">
        <v>25601107000</v>
      </c>
      <c r="G297" s="195">
        <v>25105443678</v>
      </c>
      <c r="H297" s="195">
        <v>0</v>
      </c>
      <c r="I297" s="195">
        <v>0</v>
      </c>
      <c r="J297" s="195">
        <v>0</v>
      </c>
      <c r="K297" s="195">
        <v>19834605938.150002</v>
      </c>
      <c r="L297" s="257">
        <f t="shared" si="16"/>
        <v>0.77475579232374603</v>
      </c>
      <c r="M297" s="195">
        <v>19834605938.150002</v>
      </c>
      <c r="N297" s="257">
        <f t="shared" si="17"/>
        <v>0.77475579232374603</v>
      </c>
      <c r="O297" s="195">
        <v>5766501061.8500004</v>
      </c>
      <c r="P297" s="257">
        <f t="shared" si="18"/>
        <v>0.22524420767625403</v>
      </c>
      <c r="Q297" s="195">
        <v>5270837739.8500004</v>
      </c>
      <c r="R297" s="260">
        <f t="shared" si="19"/>
        <v>-495663322</v>
      </c>
    </row>
    <row r="298" spans="1:18" x14ac:dyDescent="0.25">
      <c r="A298" s="194" t="s">
        <v>546</v>
      </c>
      <c r="B298" s="194" t="s">
        <v>346</v>
      </c>
      <c r="C298" s="194" t="s">
        <v>347</v>
      </c>
      <c r="D298" s="194" t="s">
        <v>541</v>
      </c>
      <c r="E298" s="195">
        <v>17116000</v>
      </c>
      <c r="F298" s="195">
        <v>17116000</v>
      </c>
      <c r="G298" s="195">
        <v>17116000</v>
      </c>
      <c r="H298" s="195">
        <v>0</v>
      </c>
      <c r="I298" s="195">
        <v>0</v>
      </c>
      <c r="J298" s="195">
        <v>0</v>
      </c>
      <c r="K298" s="195">
        <v>15271800</v>
      </c>
      <c r="L298" s="257">
        <f t="shared" si="16"/>
        <v>0.89225286281841554</v>
      </c>
      <c r="M298" s="195">
        <v>15271800</v>
      </c>
      <c r="N298" s="257">
        <f t="shared" si="17"/>
        <v>0.89225286281841554</v>
      </c>
      <c r="O298" s="195">
        <v>1844200</v>
      </c>
      <c r="P298" s="257">
        <f t="shared" si="18"/>
        <v>0.10774713718158448</v>
      </c>
      <c r="Q298" s="195">
        <v>1844200</v>
      </c>
      <c r="R298" s="260">
        <f t="shared" si="19"/>
        <v>0</v>
      </c>
    </row>
    <row r="299" spans="1:18" x14ac:dyDescent="0.25">
      <c r="A299" s="194" t="s">
        <v>546</v>
      </c>
      <c r="B299" s="194" t="s">
        <v>98</v>
      </c>
      <c r="C299" s="194" t="s">
        <v>99</v>
      </c>
      <c r="D299" s="194" t="s">
        <v>541</v>
      </c>
      <c r="E299" s="195">
        <v>3406791000</v>
      </c>
      <c r="F299" s="195">
        <v>3606791000</v>
      </c>
      <c r="G299" s="195">
        <v>3596791000</v>
      </c>
      <c r="H299" s="195">
        <v>0</v>
      </c>
      <c r="I299" s="195">
        <v>0</v>
      </c>
      <c r="J299" s="195">
        <v>0</v>
      </c>
      <c r="K299" s="195">
        <v>3010467086.4400001</v>
      </c>
      <c r="L299" s="257">
        <f t="shared" si="16"/>
        <v>0.8346663520120795</v>
      </c>
      <c r="M299" s="195">
        <v>3010467086.4400001</v>
      </c>
      <c r="N299" s="257">
        <f t="shared" si="17"/>
        <v>0.8346663520120795</v>
      </c>
      <c r="O299" s="195">
        <v>596323913.55999994</v>
      </c>
      <c r="P299" s="257">
        <f t="shared" si="18"/>
        <v>0.16533364798792055</v>
      </c>
      <c r="Q299" s="195">
        <v>586323913.55999994</v>
      </c>
      <c r="R299" s="260">
        <f t="shared" si="19"/>
        <v>-10000000</v>
      </c>
    </row>
    <row r="300" spans="1:18" x14ac:dyDescent="0.25">
      <c r="A300" s="194" t="s">
        <v>546</v>
      </c>
      <c r="B300" s="194" t="s">
        <v>100</v>
      </c>
      <c r="C300" s="194" t="s">
        <v>101</v>
      </c>
      <c r="D300" s="194" t="s">
        <v>541</v>
      </c>
      <c r="E300" s="195">
        <v>8000000</v>
      </c>
      <c r="F300" s="195">
        <v>8000000</v>
      </c>
      <c r="G300" s="195">
        <v>8000000</v>
      </c>
      <c r="H300" s="195">
        <v>0</v>
      </c>
      <c r="I300" s="195">
        <v>0</v>
      </c>
      <c r="J300" s="195">
        <v>0</v>
      </c>
      <c r="K300" s="195">
        <v>5265476.8</v>
      </c>
      <c r="L300" s="257">
        <f t="shared" si="16"/>
        <v>0.65818460000000001</v>
      </c>
      <c r="M300" s="195">
        <v>5265476.8</v>
      </c>
      <c r="N300" s="257">
        <f t="shared" si="17"/>
        <v>0.65818460000000001</v>
      </c>
      <c r="O300" s="195">
        <v>2734523.2</v>
      </c>
      <c r="P300" s="257">
        <f t="shared" si="18"/>
        <v>0.34181540000000005</v>
      </c>
      <c r="Q300" s="195">
        <v>2734523.2</v>
      </c>
      <c r="R300" s="260">
        <f t="shared" si="19"/>
        <v>0</v>
      </c>
    </row>
    <row r="301" spans="1:18" x14ac:dyDescent="0.25">
      <c r="A301" s="194" t="s">
        <v>546</v>
      </c>
      <c r="B301" s="194" t="s">
        <v>348</v>
      </c>
      <c r="C301" s="194" t="s">
        <v>349</v>
      </c>
      <c r="D301" s="194" t="s">
        <v>541</v>
      </c>
      <c r="E301" s="195">
        <v>24994000</v>
      </c>
      <c r="F301" s="195">
        <v>24994000</v>
      </c>
      <c r="G301" s="195">
        <v>14994000</v>
      </c>
      <c r="H301" s="195">
        <v>0</v>
      </c>
      <c r="I301" s="195">
        <v>0</v>
      </c>
      <c r="J301" s="195">
        <v>0</v>
      </c>
      <c r="K301" s="195">
        <v>5171509</v>
      </c>
      <c r="L301" s="257">
        <f t="shared" si="16"/>
        <v>0.20691001840441706</v>
      </c>
      <c r="M301" s="195">
        <v>5171509</v>
      </c>
      <c r="N301" s="257">
        <f t="shared" si="17"/>
        <v>0.20691001840441706</v>
      </c>
      <c r="O301" s="195">
        <v>19822491</v>
      </c>
      <c r="P301" s="257">
        <f t="shared" si="18"/>
        <v>0.79308998159558297</v>
      </c>
      <c r="Q301" s="195">
        <v>9822491</v>
      </c>
      <c r="R301" s="260">
        <f t="shared" si="19"/>
        <v>-10000000</v>
      </c>
    </row>
    <row r="302" spans="1:18" x14ac:dyDescent="0.25">
      <c r="A302" s="194" t="s">
        <v>546</v>
      </c>
      <c r="B302" s="194" t="s">
        <v>350</v>
      </c>
      <c r="C302" s="194" t="s">
        <v>351</v>
      </c>
      <c r="D302" s="194" t="s">
        <v>541</v>
      </c>
      <c r="E302" s="195">
        <v>3373797000</v>
      </c>
      <c r="F302" s="195">
        <v>3573797000</v>
      </c>
      <c r="G302" s="195">
        <v>3573797000</v>
      </c>
      <c r="H302" s="195">
        <v>0</v>
      </c>
      <c r="I302" s="195">
        <v>0</v>
      </c>
      <c r="J302" s="195">
        <v>0</v>
      </c>
      <c r="K302" s="195">
        <v>3000030100.6399999</v>
      </c>
      <c r="L302" s="257">
        <f t="shared" si="16"/>
        <v>0.83945173736504897</v>
      </c>
      <c r="M302" s="195">
        <v>3000030100.6399999</v>
      </c>
      <c r="N302" s="257">
        <f t="shared" si="17"/>
        <v>0.83945173736504897</v>
      </c>
      <c r="O302" s="195">
        <v>573766899.36000001</v>
      </c>
      <c r="P302" s="257">
        <f t="shared" si="18"/>
        <v>0.16054826263495101</v>
      </c>
      <c r="Q302" s="195">
        <v>573766899.36000001</v>
      </c>
      <c r="R302" s="260">
        <f t="shared" si="19"/>
        <v>0</v>
      </c>
    </row>
    <row r="303" spans="1:18" x14ac:dyDescent="0.25">
      <c r="A303" s="194" t="s">
        <v>546</v>
      </c>
      <c r="B303" s="194" t="s">
        <v>102</v>
      </c>
      <c r="C303" s="194" t="s">
        <v>103</v>
      </c>
      <c r="D303" s="194" t="s">
        <v>541</v>
      </c>
      <c r="E303" s="195">
        <v>29694590000</v>
      </c>
      <c r="F303" s="195">
        <v>29494590000</v>
      </c>
      <c r="G303" s="195">
        <v>29144590000</v>
      </c>
      <c r="H303" s="195">
        <v>0</v>
      </c>
      <c r="I303" s="195">
        <v>0</v>
      </c>
      <c r="J303" s="195">
        <v>0</v>
      </c>
      <c r="K303" s="195">
        <v>20698610470.509998</v>
      </c>
      <c r="L303" s="257">
        <f t="shared" si="16"/>
        <v>0.7017765112351112</v>
      </c>
      <c r="M303" s="195">
        <v>20698610470.509998</v>
      </c>
      <c r="N303" s="257">
        <f t="shared" si="17"/>
        <v>0.7017765112351112</v>
      </c>
      <c r="O303" s="195">
        <v>8795979529.4899998</v>
      </c>
      <c r="P303" s="257">
        <f t="shared" si="18"/>
        <v>0.29822348876488874</v>
      </c>
      <c r="Q303" s="195">
        <v>8445979529.4899998</v>
      </c>
      <c r="R303" s="260">
        <f t="shared" si="19"/>
        <v>-350000000</v>
      </c>
    </row>
    <row r="304" spans="1:18" x14ac:dyDescent="0.25">
      <c r="A304" s="194" t="s">
        <v>546</v>
      </c>
      <c r="B304" s="194" t="s">
        <v>104</v>
      </c>
      <c r="C304" s="194" t="s">
        <v>105</v>
      </c>
      <c r="D304" s="194" t="s">
        <v>541</v>
      </c>
      <c r="E304" s="195">
        <v>9856906000</v>
      </c>
      <c r="F304" s="195">
        <v>9656906000</v>
      </c>
      <c r="G304" s="195">
        <v>9586906000</v>
      </c>
      <c r="H304" s="195">
        <v>0</v>
      </c>
      <c r="I304" s="195">
        <v>0</v>
      </c>
      <c r="J304" s="195">
        <v>0</v>
      </c>
      <c r="K304" s="195">
        <v>7831425646.8900003</v>
      </c>
      <c r="L304" s="257">
        <f t="shared" si="16"/>
        <v>0.81096633299423238</v>
      </c>
      <c r="M304" s="195">
        <v>7831425646.8900003</v>
      </c>
      <c r="N304" s="257">
        <f t="shared" si="17"/>
        <v>0.81096633299423238</v>
      </c>
      <c r="O304" s="195">
        <v>1825480353.1099999</v>
      </c>
      <c r="P304" s="257">
        <f t="shared" si="18"/>
        <v>0.18903366700576768</v>
      </c>
      <c r="Q304" s="195">
        <v>1755480353.1099999</v>
      </c>
      <c r="R304" s="260">
        <f t="shared" si="19"/>
        <v>-70000000</v>
      </c>
    </row>
    <row r="305" spans="1:18" x14ac:dyDescent="0.25">
      <c r="A305" s="194" t="s">
        <v>546</v>
      </c>
      <c r="B305" s="194" t="s">
        <v>106</v>
      </c>
      <c r="C305" s="194" t="s">
        <v>107</v>
      </c>
      <c r="D305" s="194" t="s">
        <v>541</v>
      </c>
      <c r="E305" s="195">
        <v>3637068000</v>
      </c>
      <c r="F305" s="195">
        <v>3637068000</v>
      </c>
      <c r="G305" s="195">
        <v>3367068000</v>
      </c>
      <c r="H305" s="195">
        <v>0</v>
      </c>
      <c r="I305" s="195">
        <v>0</v>
      </c>
      <c r="J305" s="195">
        <v>0</v>
      </c>
      <c r="K305" s="195">
        <v>2712089088.3899999</v>
      </c>
      <c r="L305" s="257">
        <f t="shared" si="16"/>
        <v>0.74568006107941887</v>
      </c>
      <c r="M305" s="195">
        <v>2712089088.3899999</v>
      </c>
      <c r="N305" s="257">
        <f t="shared" si="17"/>
        <v>0.74568006107941887</v>
      </c>
      <c r="O305" s="195">
        <v>924978911.61000001</v>
      </c>
      <c r="P305" s="257">
        <f t="shared" si="18"/>
        <v>0.25431993892058108</v>
      </c>
      <c r="Q305" s="195">
        <v>654978911.61000001</v>
      </c>
      <c r="R305" s="260">
        <f t="shared" si="19"/>
        <v>-270000000</v>
      </c>
    </row>
    <row r="306" spans="1:18" x14ac:dyDescent="0.25">
      <c r="A306" s="194" t="s">
        <v>546</v>
      </c>
      <c r="B306" s="194" t="s">
        <v>112</v>
      </c>
      <c r="C306" s="194" t="s">
        <v>113</v>
      </c>
      <c r="D306" s="194" t="s">
        <v>543</v>
      </c>
      <c r="E306" s="195">
        <v>4378933000</v>
      </c>
      <c r="F306" s="195">
        <v>4378933000</v>
      </c>
      <c r="G306" s="195">
        <v>4378933000</v>
      </c>
      <c r="H306" s="195">
        <v>0</v>
      </c>
      <c r="I306" s="195">
        <v>0</v>
      </c>
      <c r="J306" s="195">
        <v>0</v>
      </c>
      <c r="K306" s="195">
        <v>5911172.0099999998</v>
      </c>
      <c r="L306" s="257">
        <f t="shared" si="16"/>
        <v>1.3499114989884522E-3</v>
      </c>
      <c r="M306" s="195">
        <v>5911172.0099999998</v>
      </c>
      <c r="N306" s="257">
        <f t="shared" si="17"/>
        <v>1.3499114989884522E-3</v>
      </c>
      <c r="O306" s="195">
        <v>4373021827.9899998</v>
      </c>
      <c r="P306" s="257">
        <f t="shared" si="18"/>
        <v>0.99865008850101145</v>
      </c>
      <c r="Q306" s="195">
        <v>4373021827.9899998</v>
      </c>
      <c r="R306" s="260">
        <f t="shared" si="19"/>
        <v>0</v>
      </c>
    </row>
    <row r="307" spans="1:18" x14ac:dyDescent="0.25">
      <c r="A307" s="194" t="s">
        <v>546</v>
      </c>
      <c r="B307" s="194" t="s">
        <v>108</v>
      </c>
      <c r="C307" s="194" t="s">
        <v>109</v>
      </c>
      <c r="D307" s="194" t="s">
        <v>541</v>
      </c>
      <c r="E307" s="195">
        <v>3859929000</v>
      </c>
      <c r="F307" s="195">
        <v>3859929000</v>
      </c>
      <c r="G307" s="195">
        <v>3849929000</v>
      </c>
      <c r="H307" s="195">
        <v>0</v>
      </c>
      <c r="I307" s="195">
        <v>0</v>
      </c>
      <c r="J307" s="195">
        <v>0</v>
      </c>
      <c r="K307" s="195">
        <v>3841036300.0700002</v>
      </c>
      <c r="L307" s="257">
        <f t="shared" si="16"/>
        <v>0.99510542812315983</v>
      </c>
      <c r="M307" s="195">
        <v>3841036300.0700002</v>
      </c>
      <c r="N307" s="257">
        <f t="shared" si="17"/>
        <v>0.99510542812315983</v>
      </c>
      <c r="O307" s="195">
        <v>18892699.93</v>
      </c>
      <c r="P307" s="257">
        <f t="shared" si="18"/>
        <v>4.8945718768402214E-3</v>
      </c>
      <c r="Q307" s="195">
        <v>8892699.9299999997</v>
      </c>
      <c r="R307" s="260">
        <f t="shared" si="19"/>
        <v>-10000000</v>
      </c>
    </row>
    <row r="308" spans="1:18" x14ac:dyDescent="0.25">
      <c r="A308" s="194" t="s">
        <v>546</v>
      </c>
      <c r="B308" s="194" t="s">
        <v>110</v>
      </c>
      <c r="C308" s="194" t="s">
        <v>111</v>
      </c>
      <c r="D308" s="194" t="s">
        <v>541</v>
      </c>
      <c r="E308" s="195">
        <v>7961754000</v>
      </c>
      <c r="F308" s="195">
        <v>7961754000</v>
      </c>
      <c r="G308" s="195">
        <v>7961754000</v>
      </c>
      <c r="H308" s="195">
        <v>0</v>
      </c>
      <c r="I308" s="195">
        <v>0</v>
      </c>
      <c r="J308" s="195">
        <v>0</v>
      </c>
      <c r="K308" s="195">
        <v>6308148263.1499996</v>
      </c>
      <c r="L308" s="257">
        <f t="shared" si="16"/>
        <v>0.79230635148360518</v>
      </c>
      <c r="M308" s="195">
        <v>6308148263.1499996</v>
      </c>
      <c r="N308" s="257">
        <f t="shared" si="17"/>
        <v>0.79230635148360518</v>
      </c>
      <c r="O308" s="195">
        <v>1653605736.8499999</v>
      </c>
      <c r="P308" s="257">
        <f t="shared" si="18"/>
        <v>0.20769364851639474</v>
      </c>
      <c r="Q308" s="195">
        <v>1653605736.8499999</v>
      </c>
      <c r="R308" s="260">
        <f t="shared" si="19"/>
        <v>0</v>
      </c>
    </row>
    <row r="309" spans="1:18" x14ac:dyDescent="0.25">
      <c r="A309" s="194" t="s">
        <v>546</v>
      </c>
      <c r="B309" s="194" t="s">
        <v>114</v>
      </c>
      <c r="C309" s="194" t="s">
        <v>115</v>
      </c>
      <c r="D309" s="194" t="s">
        <v>541</v>
      </c>
      <c r="E309" s="195">
        <v>5298410000</v>
      </c>
      <c r="F309" s="195">
        <v>5298410000</v>
      </c>
      <c r="G309" s="195">
        <v>5239621844</v>
      </c>
      <c r="H309" s="195">
        <v>0</v>
      </c>
      <c r="I309" s="195">
        <v>1010625223</v>
      </c>
      <c r="J309" s="195">
        <v>0</v>
      </c>
      <c r="K309" s="195">
        <v>4228996621</v>
      </c>
      <c r="L309" s="257">
        <f t="shared" si="16"/>
        <v>0.798163339756644</v>
      </c>
      <c r="M309" s="195">
        <v>4228996621</v>
      </c>
      <c r="N309" s="257">
        <f t="shared" si="17"/>
        <v>0.798163339756644</v>
      </c>
      <c r="O309" s="195">
        <v>58788156</v>
      </c>
      <c r="P309" s="257">
        <f t="shared" si="18"/>
        <v>1.1095433535721094E-2</v>
      </c>
      <c r="Q309" s="195">
        <v>0</v>
      </c>
      <c r="R309" s="260">
        <f t="shared" si="19"/>
        <v>-58788156</v>
      </c>
    </row>
    <row r="310" spans="1:18" x14ac:dyDescent="0.25">
      <c r="A310" s="194" t="s">
        <v>546</v>
      </c>
      <c r="B310" s="194" t="s">
        <v>352</v>
      </c>
      <c r="C310" s="194" t="s">
        <v>597</v>
      </c>
      <c r="D310" s="194" t="s">
        <v>541</v>
      </c>
      <c r="E310" s="195">
        <v>5026697000</v>
      </c>
      <c r="F310" s="195">
        <v>5026697000</v>
      </c>
      <c r="G310" s="195">
        <v>4969432600</v>
      </c>
      <c r="H310" s="195">
        <v>0</v>
      </c>
      <c r="I310" s="195">
        <v>957269260</v>
      </c>
      <c r="J310" s="195">
        <v>0</v>
      </c>
      <c r="K310" s="195">
        <v>4012163340</v>
      </c>
      <c r="L310" s="257">
        <f t="shared" si="16"/>
        <v>0.79817091422061048</v>
      </c>
      <c r="M310" s="195">
        <v>4012163340</v>
      </c>
      <c r="N310" s="257">
        <f t="shared" si="17"/>
        <v>0.79817091422061048</v>
      </c>
      <c r="O310" s="195">
        <v>57264400</v>
      </c>
      <c r="P310" s="257">
        <f t="shared" si="18"/>
        <v>1.1392053270766072E-2</v>
      </c>
      <c r="Q310" s="195">
        <v>0</v>
      </c>
      <c r="R310" s="260">
        <f t="shared" si="19"/>
        <v>-57264400</v>
      </c>
    </row>
    <row r="311" spans="1:18" x14ac:dyDescent="0.25">
      <c r="A311" s="194" t="s">
        <v>546</v>
      </c>
      <c r="B311" s="194" t="s">
        <v>353</v>
      </c>
      <c r="C311" s="194" t="s">
        <v>583</v>
      </c>
      <c r="D311" s="194" t="s">
        <v>541</v>
      </c>
      <c r="E311" s="195">
        <v>271713000</v>
      </c>
      <c r="F311" s="195">
        <v>271713000</v>
      </c>
      <c r="G311" s="195">
        <v>270189244</v>
      </c>
      <c r="H311" s="195">
        <v>0</v>
      </c>
      <c r="I311" s="195">
        <v>53355963</v>
      </c>
      <c r="J311" s="195">
        <v>0</v>
      </c>
      <c r="K311" s="195">
        <v>216833281</v>
      </c>
      <c r="L311" s="257">
        <f t="shared" si="16"/>
        <v>0.79802321199206516</v>
      </c>
      <c r="M311" s="195">
        <v>216833281</v>
      </c>
      <c r="N311" s="257">
        <f t="shared" si="17"/>
        <v>0.79802321199206516</v>
      </c>
      <c r="O311" s="195">
        <v>1523756</v>
      </c>
      <c r="P311" s="257">
        <f t="shared" si="18"/>
        <v>5.6079613415626044E-3</v>
      </c>
      <c r="Q311" s="195">
        <v>0</v>
      </c>
      <c r="R311" s="260">
        <f t="shared" si="19"/>
        <v>-1523756</v>
      </c>
    </row>
    <row r="312" spans="1:18" x14ac:dyDescent="0.25">
      <c r="A312" s="194" t="s">
        <v>546</v>
      </c>
      <c r="B312" s="194" t="s">
        <v>118</v>
      </c>
      <c r="C312" s="194" t="s">
        <v>119</v>
      </c>
      <c r="D312" s="194" t="s">
        <v>541</v>
      </c>
      <c r="E312" s="195">
        <v>5206027000</v>
      </c>
      <c r="F312" s="195">
        <v>5206027000</v>
      </c>
      <c r="G312" s="195">
        <v>5175571375</v>
      </c>
      <c r="H312" s="195">
        <v>0</v>
      </c>
      <c r="I312" s="195">
        <v>1020804200</v>
      </c>
      <c r="J312" s="195">
        <v>0</v>
      </c>
      <c r="K312" s="195">
        <v>4154767175</v>
      </c>
      <c r="L312" s="257">
        <f t="shared" si="16"/>
        <v>0.79806869518732804</v>
      </c>
      <c r="M312" s="195">
        <v>4154767175</v>
      </c>
      <c r="N312" s="257">
        <f t="shared" si="17"/>
        <v>0.79806869518732804</v>
      </c>
      <c r="O312" s="195">
        <v>30455625</v>
      </c>
      <c r="P312" s="257">
        <f t="shared" si="18"/>
        <v>5.8500705048206625E-3</v>
      </c>
      <c r="Q312" s="195">
        <v>0</v>
      </c>
      <c r="R312" s="260">
        <f t="shared" si="19"/>
        <v>-30455625</v>
      </c>
    </row>
    <row r="313" spans="1:18" x14ac:dyDescent="0.25">
      <c r="A313" s="194" t="s">
        <v>546</v>
      </c>
      <c r="B313" s="194" t="s">
        <v>354</v>
      </c>
      <c r="C313" s="194" t="s">
        <v>598</v>
      </c>
      <c r="D313" s="194" t="s">
        <v>541</v>
      </c>
      <c r="E313" s="195">
        <v>2760607000</v>
      </c>
      <c r="F313" s="195">
        <v>2760607000</v>
      </c>
      <c r="G313" s="195">
        <v>2745125642</v>
      </c>
      <c r="H313" s="195">
        <v>0</v>
      </c>
      <c r="I313" s="195">
        <v>541861585</v>
      </c>
      <c r="J313" s="195">
        <v>0</v>
      </c>
      <c r="K313" s="195">
        <v>2203264057</v>
      </c>
      <c r="L313" s="257">
        <f t="shared" si="16"/>
        <v>0.79810855257557489</v>
      </c>
      <c r="M313" s="195">
        <v>2203264057</v>
      </c>
      <c r="N313" s="257">
        <f t="shared" si="17"/>
        <v>0.79810855257557489</v>
      </c>
      <c r="O313" s="195">
        <v>15481358</v>
      </c>
      <c r="P313" s="257">
        <f t="shared" si="18"/>
        <v>5.6079543375786561E-3</v>
      </c>
      <c r="Q313" s="195">
        <v>0</v>
      </c>
      <c r="R313" s="260">
        <f t="shared" si="19"/>
        <v>-15481358</v>
      </c>
    </row>
    <row r="314" spans="1:18" x14ac:dyDescent="0.25">
      <c r="A314" s="194" t="s">
        <v>546</v>
      </c>
      <c r="B314" s="194" t="s">
        <v>355</v>
      </c>
      <c r="C314" s="194" t="s">
        <v>599</v>
      </c>
      <c r="D314" s="194" t="s">
        <v>541</v>
      </c>
      <c r="E314" s="195">
        <v>815140000</v>
      </c>
      <c r="F314" s="195">
        <v>815140000</v>
      </c>
      <c r="G314" s="195">
        <v>810568733</v>
      </c>
      <c r="H314" s="195">
        <v>0</v>
      </c>
      <c r="I314" s="195">
        <v>160067107</v>
      </c>
      <c r="J314" s="195">
        <v>0</v>
      </c>
      <c r="K314" s="195">
        <v>650501626</v>
      </c>
      <c r="L314" s="257">
        <f t="shared" si="16"/>
        <v>0.79802442034497145</v>
      </c>
      <c r="M314" s="195">
        <v>650501626</v>
      </c>
      <c r="N314" s="257">
        <f t="shared" si="17"/>
        <v>0.79802442034497145</v>
      </c>
      <c r="O314" s="195">
        <v>4571267</v>
      </c>
      <c r="P314" s="257">
        <f t="shared" si="18"/>
        <v>5.6079532350271121E-3</v>
      </c>
      <c r="Q314" s="195">
        <v>0</v>
      </c>
      <c r="R314" s="260">
        <f t="shared" si="19"/>
        <v>-4571267</v>
      </c>
    </row>
    <row r="315" spans="1:18" x14ac:dyDescent="0.25">
      <c r="A315" s="194" t="s">
        <v>546</v>
      </c>
      <c r="B315" s="194" t="s">
        <v>356</v>
      </c>
      <c r="C315" s="194" t="s">
        <v>600</v>
      </c>
      <c r="D315" s="194" t="s">
        <v>541</v>
      </c>
      <c r="E315" s="195">
        <v>1630280000</v>
      </c>
      <c r="F315" s="195">
        <v>1630280000</v>
      </c>
      <c r="G315" s="195">
        <v>1619877000</v>
      </c>
      <c r="H315" s="195">
        <v>0</v>
      </c>
      <c r="I315" s="195">
        <v>318875508</v>
      </c>
      <c r="J315" s="195">
        <v>0</v>
      </c>
      <c r="K315" s="195">
        <v>1301001492</v>
      </c>
      <c r="L315" s="257">
        <f t="shared" si="16"/>
        <v>0.7980233407758176</v>
      </c>
      <c r="M315" s="195">
        <v>1301001492</v>
      </c>
      <c r="N315" s="257">
        <f t="shared" si="17"/>
        <v>0.7980233407758176</v>
      </c>
      <c r="O315" s="195">
        <v>10403000</v>
      </c>
      <c r="P315" s="257">
        <f t="shared" si="18"/>
        <v>6.38111244694163E-3</v>
      </c>
      <c r="Q315" s="195">
        <v>0</v>
      </c>
      <c r="R315" s="260">
        <f t="shared" si="19"/>
        <v>-10403000</v>
      </c>
    </row>
    <row r="316" spans="1:18" x14ac:dyDescent="0.25">
      <c r="A316" s="194" t="s">
        <v>546</v>
      </c>
      <c r="B316" s="194" t="s">
        <v>123</v>
      </c>
      <c r="C316" s="194" t="s">
        <v>124</v>
      </c>
      <c r="D316" s="194" t="s">
        <v>541</v>
      </c>
      <c r="E316" s="195">
        <v>9869454182</v>
      </c>
      <c r="F316" s="195">
        <v>13869454182</v>
      </c>
      <c r="G316" s="195">
        <v>13790002372</v>
      </c>
      <c r="H316" s="195">
        <v>54762261.859999999</v>
      </c>
      <c r="I316" s="195">
        <v>1028333554.47</v>
      </c>
      <c r="J316" s="195">
        <v>49765966.880000003</v>
      </c>
      <c r="K316" s="195">
        <v>10303882978.780001</v>
      </c>
      <c r="L316" s="257">
        <f t="shared" si="16"/>
        <v>0.74291914040514628</v>
      </c>
      <c r="M316" s="195">
        <v>10040975603.639999</v>
      </c>
      <c r="N316" s="257">
        <f t="shared" si="17"/>
        <v>0.72396328448680691</v>
      </c>
      <c r="O316" s="195">
        <v>2432709420.0100002</v>
      </c>
      <c r="P316" s="257">
        <f t="shared" si="18"/>
        <v>0.17540051598910139</v>
      </c>
      <c r="Q316" s="195">
        <v>2353257610.0100002</v>
      </c>
      <c r="R316" s="260">
        <f t="shared" si="19"/>
        <v>-79451810</v>
      </c>
    </row>
    <row r="317" spans="1:18" x14ac:dyDescent="0.25">
      <c r="A317" s="194" t="s">
        <v>546</v>
      </c>
      <c r="B317" s="194" t="s">
        <v>125</v>
      </c>
      <c r="C317" s="194" t="s">
        <v>126</v>
      </c>
      <c r="D317" s="194" t="s">
        <v>541</v>
      </c>
      <c r="E317" s="195">
        <v>3181468559</v>
      </c>
      <c r="F317" s="195">
        <v>7181468559</v>
      </c>
      <c r="G317" s="195">
        <v>7181468559</v>
      </c>
      <c r="H317" s="195">
        <v>31494513.940000001</v>
      </c>
      <c r="I317" s="195">
        <v>408026898.94999999</v>
      </c>
      <c r="J317" s="195">
        <v>35662389</v>
      </c>
      <c r="K317" s="195">
        <v>5069549978.8299999</v>
      </c>
      <c r="L317" s="257">
        <f t="shared" si="16"/>
        <v>0.70592107132136783</v>
      </c>
      <c r="M317" s="195">
        <v>4939731342.6999998</v>
      </c>
      <c r="N317" s="257">
        <f t="shared" si="17"/>
        <v>0.68784417868256242</v>
      </c>
      <c r="O317" s="195">
        <v>1636734778.28</v>
      </c>
      <c r="P317" s="257">
        <f t="shared" si="18"/>
        <v>0.22791087433346793</v>
      </c>
      <c r="Q317" s="195">
        <v>1636734778.28</v>
      </c>
      <c r="R317" s="260">
        <f t="shared" si="19"/>
        <v>0</v>
      </c>
    </row>
    <row r="318" spans="1:18" x14ac:dyDescent="0.25">
      <c r="A318" s="194" t="s">
        <v>546</v>
      </c>
      <c r="B318" s="194" t="s">
        <v>306</v>
      </c>
      <c r="C318" s="194" t="s">
        <v>307</v>
      </c>
      <c r="D318" s="194" t="s">
        <v>541</v>
      </c>
      <c r="E318" s="195">
        <v>431740903</v>
      </c>
      <c r="F318" s="195">
        <v>431740903</v>
      </c>
      <c r="G318" s="195">
        <v>431740903</v>
      </c>
      <c r="H318" s="195">
        <v>31494513.940000001</v>
      </c>
      <c r="I318" s="195">
        <v>70093124.469999999</v>
      </c>
      <c r="J318" s="195">
        <v>0</v>
      </c>
      <c r="K318" s="195">
        <v>309758719.25999999</v>
      </c>
      <c r="L318" s="257">
        <f t="shared" si="16"/>
        <v>0.71746437992695811</v>
      </c>
      <c r="M318" s="195">
        <v>309758719.25999999</v>
      </c>
      <c r="N318" s="257">
        <f t="shared" si="17"/>
        <v>0.71746437992695811</v>
      </c>
      <c r="O318" s="195">
        <v>20394545.329999998</v>
      </c>
      <c r="P318" s="257">
        <f t="shared" si="18"/>
        <v>4.7237927164848675E-2</v>
      </c>
      <c r="Q318" s="195">
        <v>20394545.329999998</v>
      </c>
      <c r="R318" s="260">
        <f t="shared" si="19"/>
        <v>0</v>
      </c>
    </row>
    <row r="319" spans="1:18" x14ac:dyDescent="0.25">
      <c r="A319" s="194" t="s">
        <v>546</v>
      </c>
      <c r="B319" s="194" t="s">
        <v>127</v>
      </c>
      <c r="C319" s="194" t="s">
        <v>128</v>
      </c>
      <c r="D319" s="194" t="s">
        <v>541</v>
      </c>
      <c r="E319" s="195">
        <v>719138329</v>
      </c>
      <c r="F319" s="195">
        <v>719138329</v>
      </c>
      <c r="G319" s="195">
        <v>719138329</v>
      </c>
      <c r="H319" s="195">
        <v>0</v>
      </c>
      <c r="I319" s="195">
        <v>76054032.579999998</v>
      </c>
      <c r="J319" s="195">
        <v>0</v>
      </c>
      <c r="K319" s="195">
        <v>423755660.02999997</v>
      </c>
      <c r="L319" s="257">
        <f t="shared" si="16"/>
        <v>0.58925472741698348</v>
      </c>
      <c r="M319" s="195">
        <v>423755660.02999997</v>
      </c>
      <c r="N319" s="257">
        <f t="shared" si="17"/>
        <v>0.58925472741698348</v>
      </c>
      <c r="O319" s="195">
        <v>219328636.38999999</v>
      </c>
      <c r="P319" s="257">
        <f t="shared" si="18"/>
        <v>0.30498810527174669</v>
      </c>
      <c r="Q319" s="195">
        <v>219328636.38999999</v>
      </c>
      <c r="R319" s="260">
        <f t="shared" si="19"/>
        <v>0</v>
      </c>
    </row>
    <row r="320" spans="1:18" x14ac:dyDescent="0.25">
      <c r="A320" s="194" t="s">
        <v>546</v>
      </c>
      <c r="B320" s="194" t="s">
        <v>322</v>
      </c>
      <c r="C320" s="194" t="s">
        <v>323</v>
      </c>
      <c r="D320" s="194" t="s">
        <v>541</v>
      </c>
      <c r="E320" s="195">
        <v>23472000</v>
      </c>
      <c r="F320" s="195">
        <v>23472000</v>
      </c>
      <c r="G320" s="195">
        <v>23472000</v>
      </c>
      <c r="H320" s="195">
        <v>0</v>
      </c>
      <c r="I320" s="195">
        <v>515511.72</v>
      </c>
      <c r="J320" s="195">
        <v>0</v>
      </c>
      <c r="K320" s="195">
        <v>22121684.949999999</v>
      </c>
      <c r="L320" s="257">
        <f t="shared" si="16"/>
        <v>0.94247124020109063</v>
      </c>
      <c r="M320" s="195">
        <v>22121684.949999999</v>
      </c>
      <c r="N320" s="257">
        <f t="shared" si="17"/>
        <v>0.94247124020109063</v>
      </c>
      <c r="O320" s="195">
        <v>834803.33</v>
      </c>
      <c r="P320" s="257">
        <f t="shared" si="18"/>
        <v>3.5565922375596457E-2</v>
      </c>
      <c r="Q320" s="195">
        <v>834803.33</v>
      </c>
      <c r="R320" s="260">
        <f t="shared" si="19"/>
        <v>0</v>
      </c>
    </row>
    <row r="321" spans="1:18" x14ac:dyDescent="0.25">
      <c r="A321" s="194" t="s">
        <v>546</v>
      </c>
      <c r="B321" s="194" t="s">
        <v>129</v>
      </c>
      <c r="C321" s="194" t="s">
        <v>130</v>
      </c>
      <c r="D321" s="194" t="s">
        <v>541</v>
      </c>
      <c r="E321" s="195">
        <v>2007117327</v>
      </c>
      <c r="F321" s="195">
        <v>2007117327</v>
      </c>
      <c r="G321" s="195">
        <v>2007117327</v>
      </c>
      <c r="H321" s="195">
        <v>0</v>
      </c>
      <c r="I321" s="195">
        <v>261364230.18000001</v>
      </c>
      <c r="J321" s="195">
        <v>35662389</v>
      </c>
      <c r="K321" s="195">
        <v>639520254.07000005</v>
      </c>
      <c r="L321" s="257">
        <f t="shared" si="16"/>
        <v>0.31862624345228424</v>
      </c>
      <c r="M321" s="195">
        <v>509701617.94</v>
      </c>
      <c r="N321" s="257">
        <f t="shared" si="17"/>
        <v>0.25394709670602134</v>
      </c>
      <c r="O321" s="195">
        <v>1070570453.75</v>
      </c>
      <c r="P321" s="257">
        <f t="shared" si="18"/>
        <v>0.53338708173585514</v>
      </c>
      <c r="Q321" s="195">
        <v>1070570453.75</v>
      </c>
      <c r="R321" s="260">
        <f t="shared" si="19"/>
        <v>0</v>
      </c>
    </row>
    <row r="322" spans="1:18" x14ac:dyDescent="0.25">
      <c r="A322" s="194" t="s">
        <v>546</v>
      </c>
      <c r="B322" s="194" t="s">
        <v>129</v>
      </c>
      <c r="C322" s="194" t="s">
        <v>130</v>
      </c>
      <c r="D322" s="194" t="s">
        <v>543</v>
      </c>
      <c r="E322" s="195">
        <v>0</v>
      </c>
      <c r="F322" s="195">
        <v>4000000000</v>
      </c>
      <c r="G322" s="195">
        <v>4000000000</v>
      </c>
      <c r="H322" s="195">
        <v>0</v>
      </c>
      <c r="I322" s="195">
        <v>0</v>
      </c>
      <c r="J322" s="195">
        <v>0</v>
      </c>
      <c r="K322" s="195">
        <v>3674393660.52</v>
      </c>
      <c r="L322" s="257">
        <f t="shared" si="16"/>
        <v>0.91859841512999996</v>
      </c>
      <c r="M322" s="195">
        <v>3674393660.52</v>
      </c>
      <c r="N322" s="257">
        <f t="shared" si="17"/>
        <v>0.91859841512999996</v>
      </c>
      <c r="O322" s="195">
        <v>325606339.48000002</v>
      </c>
      <c r="P322" s="257">
        <f t="shared" si="18"/>
        <v>8.1401584870000002E-2</v>
      </c>
      <c r="Q322" s="195">
        <v>325606339.48000002</v>
      </c>
      <c r="R322" s="260">
        <f t="shared" si="19"/>
        <v>0</v>
      </c>
    </row>
    <row r="323" spans="1:18" x14ac:dyDescent="0.25">
      <c r="A323" s="194" t="s">
        <v>546</v>
      </c>
      <c r="B323" s="194" t="s">
        <v>131</v>
      </c>
      <c r="C323" s="194" t="s">
        <v>132</v>
      </c>
      <c r="D323" s="194" t="s">
        <v>541</v>
      </c>
      <c r="E323" s="195">
        <v>4328674526</v>
      </c>
      <c r="F323" s="195">
        <v>4329984526</v>
      </c>
      <c r="G323" s="195">
        <v>4329984526</v>
      </c>
      <c r="H323" s="195">
        <v>0</v>
      </c>
      <c r="I323" s="195">
        <v>326000601.25</v>
      </c>
      <c r="J323" s="195">
        <v>4764423.4000000004</v>
      </c>
      <c r="K323" s="195">
        <v>3670865987.54</v>
      </c>
      <c r="L323" s="257">
        <f t="shared" ref="L323:L386" si="20">+K323/F323</f>
        <v>0.84777808453997228</v>
      </c>
      <c r="M323" s="195">
        <v>3658971863.1999998</v>
      </c>
      <c r="N323" s="257">
        <f t="shared" ref="N323:N386" si="21">+M323/F323</f>
        <v>0.84503116379035292</v>
      </c>
      <c r="O323" s="195">
        <v>328353513.81</v>
      </c>
      <c r="P323" s="257">
        <f t="shared" ref="P323:P386" si="22">+O323/F323</f>
        <v>7.5832491279900702E-2</v>
      </c>
      <c r="Q323" s="195">
        <v>328353513.81</v>
      </c>
      <c r="R323" s="260">
        <f t="shared" si="19"/>
        <v>0</v>
      </c>
    </row>
    <row r="324" spans="1:18" x14ac:dyDescent="0.25">
      <c r="A324" s="194" t="s">
        <v>546</v>
      </c>
      <c r="B324" s="194" t="s">
        <v>133</v>
      </c>
      <c r="C324" s="194" t="s">
        <v>134</v>
      </c>
      <c r="D324" s="194" t="s">
        <v>541</v>
      </c>
      <c r="E324" s="195">
        <v>2503011786</v>
      </c>
      <c r="F324" s="195">
        <v>2503011786</v>
      </c>
      <c r="G324" s="195">
        <v>2503011786</v>
      </c>
      <c r="H324" s="195">
        <v>0</v>
      </c>
      <c r="I324" s="195">
        <v>243141174.13</v>
      </c>
      <c r="J324" s="195">
        <v>0</v>
      </c>
      <c r="K324" s="195">
        <v>2259870611.3699999</v>
      </c>
      <c r="L324" s="257">
        <f t="shared" si="20"/>
        <v>0.90286055543567456</v>
      </c>
      <c r="M324" s="195">
        <v>2253435247.3699999</v>
      </c>
      <c r="N324" s="257">
        <f t="shared" si="21"/>
        <v>0.90028950721448975</v>
      </c>
      <c r="O324" s="195">
        <v>0.5</v>
      </c>
      <c r="P324" s="257">
        <f t="shared" si="22"/>
        <v>1.9975934703808862E-10</v>
      </c>
      <c r="Q324" s="195">
        <v>0.5</v>
      </c>
      <c r="R324" s="260">
        <f t="shared" si="19"/>
        <v>0</v>
      </c>
    </row>
    <row r="325" spans="1:18" x14ac:dyDescent="0.25">
      <c r="A325" s="194" t="s">
        <v>546</v>
      </c>
      <c r="B325" s="194" t="s">
        <v>135</v>
      </c>
      <c r="C325" s="194" t="s">
        <v>136</v>
      </c>
      <c r="D325" s="194" t="s">
        <v>541</v>
      </c>
      <c r="E325" s="195">
        <v>973642474</v>
      </c>
      <c r="F325" s="195">
        <v>973642474</v>
      </c>
      <c r="G325" s="195">
        <v>973642474</v>
      </c>
      <c r="H325" s="195">
        <v>0</v>
      </c>
      <c r="I325" s="195">
        <v>25466868.859999999</v>
      </c>
      <c r="J325" s="195">
        <v>0</v>
      </c>
      <c r="K325" s="195">
        <v>948175604.63999999</v>
      </c>
      <c r="L325" s="257">
        <f t="shared" si="20"/>
        <v>0.9738437156964046</v>
      </c>
      <c r="M325" s="195">
        <v>948141955.53999996</v>
      </c>
      <c r="N325" s="257">
        <f t="shared" si="21"/>
        <v>0.97380915567987014</v>
      </c>
      <c r="O325" s="195">
        <v>0.5</v>
      </c>
      <c r="P325" s="257">
        <f t="shared" si="22"/>
        <v>5.1353552597788577E-10</v>
      </c>
      <c r="Q325" s="195">
        <v>0.5</v>
      </c>
      <c r="R325" s="260">
        <f t="shared" ref="R325:R388" si="23">G325-F325</f>
        <v>0</v>
      </c>
    </row>
    <row r="326" spans="1:18" x14ac:dyDescent="0.25">
      <c r="A326" s="194" t="s">
        <v>546</v>
      </c>
      <c r="B326" s="194" t="s">
        <v>137</v>
      </c>
      <c r="C326" s="194" t="s">
        <v>138</v>
      </c>
      <c r="D326" s="194" t="s">
        <v>541</v>
      </c>
      <c r="E326" s="195">
        <v>3942858</v>
      </c>
      <c r="F326" s="195">
        <v>3942858</v>
      </c>
      <c r="G326" s="195">
        <v>3942858</v>
      </c>
      <c r="H326" s="195">
        <v>0</v>
      </c>
      <c r="I326" s="195">
        <v>2167842.5</v>
      </c>
      <c r="J326" s="195">
        <v>0</v>
      </c>
      <c r="K326" s="195">
        <v>1336120</v>
      </c>
      <c r="L326" s="257">
        <f t="shared" si="20"/>
        <v>0.33887094082515778</v>
      </c>
      <c r="M326" s="195">
        <v>1336120</v>
      </c>
      <c r="N326" s="257">
        <f t="shared" si="21"/>
        <v>0.33887094082515778</v>
      </c>
      <c r="O326" s="195">
        <v>438895.5</v>
      </c>
      <c r="P326" s="257">
        <f t="shared" si="22"/>
        <v>0.1113140518882496</v>
      </c>
      <c r="Q326" s="195">
        <v>438895.5</v>
      </c>
      <c r="R326" s="260">
        <f t="shared" si="23"/>
        <v>0</v>
      </c>
    </row>
    <row r="327" spans="1:18" x14ac:dyDescent="0.25">
      <c r="A327" s="194" t="s">
        <v>546</v>
      </c>
      <c r="B327" s="194" t="s">
        <v>139</v>
      </c>
      <c r="C327" s="194" t="s">
        <v>140</v>
      </c>
      <c r="D327" s="194" t="s">
        <v>541</v>
      </c>
      <c r="E327" s="195">
        <v>753229000</v>
      </c>
      <c r="F327" s="195">
        <v>753229000</v>
      </c>
      <c r="G327" s="195">
        <v>753229000</v>
      </c>
      <c r="H327" s="195">
        <v>0</v>
      </c>
      <c r="I327" s="195">
        <v>33868152.240000002</v>
      </c>
      <c r="J327" s="195">
        <v>4764423.4000000004</v>
      </c>
      <c r="K327" s="195">
        <v>390302175.23000002</v>
      </c>
      <c r="L327" s="257">
        <f t="shared" si="20"/>
        <v>0.51817199713500151</v>
      </c>
      <c r="M327" s="195">
        <v>387627263.99000001</v>
      </c>
      <c r="N327" s="257">
        <f t="shared" si="21"/>
        <v>0.51462073816860476</v>
      </c>
      <c r="O327" s="195">
        <v>324294249.13</v>
      </c>
      <c r="P327" s="257">
        <f t="shared" si="22"/>
        <v>0.43053871947309519</v>
      </c>
      <c r="Q327" s="195">
        <v>324294249.13</v>
      </c>
      <c r="R327" s="260">
        <f t="shared" si="23"/>
        <v>0</v>
      </c>
    </row>
    <row r="328" spans="1:18" x14ac:dyDescent="0.25">
      <c r="A328" s="194" t="s">
        <v>546</v>
      </c>
      <c r="B328" s="194" t="s">
        <v>141</v>
      </c>
      <c r="C328" s="194" t="s">
        <v>142</v>
      </c>
      <c r="D328" s="194" t="s">
        <v>541</v>
      </c>
      <c r="E328" s="195">
        <v>94848408</v>
      </c>
      <c r="F328" s="195">
        <v>96158408</v>
      </c>
      <c r="G328" s="195">
        <v>96158408</v>
      </c>
      <c r="H328" s="195">
        <v>0</v>
      </c>
      <c r="I328" s="195">
        <v>21356563.52</v>
      </c>
      <c r="J328" s="195">
        <v>0</v>
      </c>
      <c r="K328" s="195">
        <v>71181476.299999997</v>
      </c>
      <c r="L328" s="257">
        <f t="shared" si="20"/>
        <v>0.74025223358523151</v>
      </c>
      <c r="M328" s="195">
        <v>68431276.299999997</v>
      </c>
      <c r="N328" s="257">
        <f t="shared" si="21"/>
        <v>0.71165151049505726</v>
      </c>
      <c r="O328" s="195">
        <v>3620368.18</v>
      </c>
      <c r="P328" s="257">
        <f t="shared" si="22"/>
        <v>3.7650042833487843E-2</v>
      </c>
      <c r="Q328" s="195">
        <v>3620368.18</v>
      </c>
      <c r="R328" s="260">
        <f t="shared" si="23"/>
        <v>0</v>
      </c>
    </row>
    <row r="329" spans="1:18" x14ac:dyDescent="0.25">
      <c r="A329" s="194" t="s">
        <v>546</v>
      </c>
      <c r="B329" s="194" t="s">
        <v>143</v>
      </c>
      <c r="C329" s="194" t="s">
        <v>144</v>
      </c>
      <c r="D329" s="194" t="s">
        <v>541</v>
      </c>
      <c r="E329" s="195">
        <v>4451091</v>
      </c>
      <c r="F329" s="195">
        <v>3141091</v>
      </c>
      <c r="G329" s="195">
        <v>3141091</v>
      </c>
      <c r="H329" s="195">
        <v>0</v>
      </c>
      <c r="I329" s="195">
        <v>411436.99</v>
      </c>
      <c r="J329" s="195">
        <v>0</v>
      </c>
      <c r="K329" s="195">
        <v>1530664.13</v>
      </c>
      <c r="L329" s="257">
        <f t="shared" si="20"/>
        <v>0.48730333823502719</v>
      </c>
      <c r="M329" s="195">
        <v>1171724.1299999999</v>
      </c>
      <c r="N329" s="257">
        <f t="shared" si="21"/>
        <v>0.37303094052353142</v>
      </c>
      <c r="O329" s="195">
        <v>1198989.8799999999</v>
      </c>
      <c r="P329" s="257">
        <f t="shared" si="22"/>
        <v>0.38171128439131496</v>
      </c>
      <c r="Q329" s="195">
        <v>1198989.8799999999</v>
      </c>
      <c r="R329" s="260">
        <f t="shared" si="23"/>
        <v>0</v>
      </c>
    </row>
    <row r="330" spans="1:18" x14ac:dyDescent="0.25">
      <c r="A330" s="194" t="s">
        <v>546</v>
      </c>
      <c r="B330" s="194" t="s">
        <v>145</v>
      </c>
      <c r="C330" s="194" t="s">
        <v>146</v>
      </c>
      <c r="D330" s="194" t="s">
        <v>541</v>
      </c>
      <c r="E330" s="195">
        <v>1831091</v>
      </c>
      <c r="F330" s="195">
        <v>1831091</v>
      </c>
      <c r="G330" s="195">
        <v>1831091</v>
      </c>
      <c r="H330" s="195">
        <v>0</v>
      </c>
      <c r="I330" s="195">
        <v>411436.99</v>
      </c>
      <c r="J330" s="195">
        <v>0</v>
      </c>
      <c r="K330" s="195">
        <v>1418664.13</v>
      </c>
      <c r="L330" s="257">
        <f t="shared" si="20"/>
        <v>0.77476440548285141</v>
      </c>
      <c r="M330" s="195">
        <v>1091724.1299999999</v>
      </c>
      <c r="N330" s="257">
        <f t="shared" si="21"/>
        <v>0.59621511437716634</v>
      </c>
      <c r="O330" s="195">
        <v>989.88</v>
      </c>
      <c r="P330" s="257">
        <f t="shared" si="22"/>
        <v>5.4059574319353866E-4</v>
      </c>
      <c r="Q330" s="195">
        <v>989.88</v>
      </c>
      <c r="R330" s="260">
        <f t="shared" si="23"/>
        <v>0</v>
      </c>
    </row>
    <row r="331" spans="1:18" x14ac:dyDescent="0.25">
      <c r="A331" s="252" t="s">
        <v>546</v>
      </c>
      <c r="B331" s="252" t="s">
        <v>147</v>
      </c>
      <c r="C331" s="252" t="s">
        <v>148</v>
      </c>
      <c r="D331" s="252" t="s">
        <v>541</v>
      </c>
      <c r="E331" s="253">
        <v>2620000</v>
      </c>
      <c r="F331" s="253">
        <v>1310000</v>
      </c>
      <c r="G331" s="253">
        <v>1310000</v>
      </c>
      <c r="H331" s="253">
        <v>0</v>
      </c>
      <c r="I331" s="253">
        <v>0</v>
      </c>
      <c r="J331" s="253">
        <v>0</v>
      </c>
      <c r="K331" s="253">
        <v>112000</v>
      </c>
      <c r="L331" s="258">
        <f t="shared" si="20"/>
        <v>8.5496183206106871E-2</v>
      </c>
      <c r="M331" s="253">
        <v>80000</v>
      </c>
      <c r="N331" s="258">
        <f t="shared" si="21"/>
        <v>6.1068702290076333E-2</v>
      </c>
      <c r="O331" s="253">
        <v>1198000</v>
      </c>
      <c r="P331" s="258">
        <f t="shared" si="22"/>
        <v>0.91450381679389314</v>
      </c>
      <c r="Q331" s="253">
        <v>1198000</v>
      </c>
      <c r="R331" s="260">
        <f t="shared" si="23"/>
        <v>0</v>
      </c>
    </row>
    <row r="332" spans="1:18" x14ac:dyDescent="0.25">
      <c r="A332" s="194" t="s">
        <v>546</v>
      </c>
      <c r="B332" s="194" t="s">
        <v>151</v>
      </c>
      <c r="C332" s="194" t="s">
        <v>152</v>
      </c>
      <c r="D332" s="194" t="s">
        <v>541</v>
      </c>
      <c r="E332" s="195">
        <v>310063679</v>
      </c>
      <c r="F332" s="195">
        <v>304063679</v>
      </c>
      <c r="G332" s="195">
        <v>294187012</v>
      </c>
      <c r="H332" s="195">
        <v>7788265</v>
      </c>
      <c r="I332" s="195">
        <v>79848629.719999999</v>
      </c>
      <c r="J332" s="195">
        <v>0</v>
      </c>
      <c r="K332" s="195">
        <v>118751642.12</v>
      </c>
      <c r="L332" s="257">
        <f t="shared" si="20"/>
        <v>0.39054859334251496</v>
      </c>
      <c r="M332" s="195">
        <v>100954363.93000001</v>
      </c>
      <c r="N332" s="257">
        <f t="shared" si="21"/>
        <v>0.3320171756850972</v>
      </c>
      <c r="O332" s="195">
        <v>97675142.159999996</v>
      </c>
      <c r="P332" s="257">
        <f t="shared" si="22"/>
        <v>0.3212325210338588</v>
      </c>
      <c r="Q332" s="195">
        <v>87798475.159999996</v>
      </c>
      <c r="R332" s="260">
        <f t="shared" si="23"/>
        <v>-9876667</v>
      </c>
    </row>
    <row r="333" spans="1:18" x14ac:dyDescent="0.25">
      <c r="A333" s="194" t="s">
        <v>546</v>
      </c>
      <c r="B333" s="194" t="s">
        <v>359</v>
      </c>
      <c r="C333" s="194" t="s">
        <v>605</v>
      </c>
      <c r="D333" s="194" t="s">
        <v>541</v>
      </c>
      <c r="E333" s="195">
        <v>21381819</v>
      </c>
      <c r="F333" s="195">
        <v>21381819</v>
      </c>
      <c r="G333" s="195">
        <v>21381819</v>
      </c>
      <c r="H333" s="195">
        <v>0</v>
      </c>
      <c r="I333" s="195">
        <v>7018160</v>
      </c>
      <c r="J333" s="195">
        <v>0</v>
      </c>
      <c r="K333" s="195">
        <v>14096192</v>
      </c>
      <c r="L333" s="257">
        <f t="shared" si="20"/>
        <v>0.65926065504529807</v>
      </c>
      <c r="M333" s="195">
        <v>14096192</v>
      </c>
      <c r="N333" s="257">
        <f t="shared" si="21"/>
        <v>0.65926065504529807</v>
      </c>
      <c r="O333" s="195">
        <v>267467</v>
      </c>
      <c r="P333" s="257">
        <f t="shared" si="22"/>
        <v>1.2509085405689759E-2</v>
      </c>
      <c r="Q333" s="195">
        <v>267467</v>
      </c>
      <c r="R333" s="260">
        <f t="shared" si="23"/>
        <v>0</v>
      </c>
    </row>
    <row r="334" spans="1:18" x14ac:dyDescent="0.25">
      <c r="A334" s="194" t="s">
        <v>546</v>
      </c>
      <c r="B334" s="194" t="s">
        <v>330</v>
      </c>
      <c r="C334" s="194" t="s">
        <v>604</v>
      </c>
      <c r="D334" s="194" t="s">
        <v>541</v>
      </c>
      <c r="E334" s="195">
        <v>106119000</v>
      </c>
      <c r="F334" s="195">
        <v>106119000</v>
      </c>
      <c r="G334" s="195">
        <v>96242333</v>
      </c>
      <c r="H334" s="195">
        <v>0</v>
      </c>
      <c r="I334" s="195">
        <v>69615807.349999994</v>
      </c>
      <c r="J334" s="195">
        <v>0</v>
      </c>
      <c r="K334" s="195">
        <v>25821424.989999998</v>
      </c>
      <c r="L334" s="257">
        <f t="shared" si="20"/>
        <v>0.24332518201264616</v>
      </c>
      <c r="M334" s="195">
        <v>24442424.989999998</v>
      </c>
      <c r="N334" s="257">
        <f t="shared" si="21"/>
        <v>0.23033033660324728</v>
      </c>
      <c r="O334" s="195">
        <v>10681767.66</v>
      </c>
      <c r="P334" s="257">
        <f t="shared" si="22"/>
        <v>0.10065838973228168</v>
      </c>
      <c r="Q334" s="195">
        <v>805100.66</v>
      </c>
      <c r="R334" s="260">
        <f t="shared" si="23"/>
        <v>-9876667</v>
      </c>
    </row>
    <row r="335" spans="1:18" x14ac:dyDescent="0.25">
      <c r="A335" s="194" t="s">
        <v>546</v>
      </c>
      <c r="B335" s="194" t="s">
        <v>154</v>
      </c>
      <c r="C335" s="194" t="s">
        <v>155</v>
      </c>
      <c r="D335" s="194" t="s">
        <v>541</v>
      </c>
      <c r="E335" s="195">
        <v>126000000</v>
      </c>
      <c r="F335" s="195">
        <v>120000000</v>
      </c>
      <c r="G335" s="195">
        <v>120000000</v>
      </c>
      <c r="H335" s="195">
        <v>7788265</v>
      </c>
      <c r="I335" s="195">
        <v>1310747.3</v>
      </c>
      <c r="J335" s="195">
        <v>0</v>
      </c>
      <c r="K335" s="195">
        <v>61823452.880000003</v>
      </c>
      <c r="L335" s="257">
        <f t="shared" si="20"/>
        <v>0.51519544066666667</v>
      </c>
      <c r="M335" s="195">
        <v>45512619.689999998</v>
      </c>
      <c r="N335" s="257">
        <f t="shared" si="21"/>
        <v>0.37927183074999998</v>
      </c>
      <c r="O335" s="195">
        <v>49077534.82</v>
      </c>
      <c r="P335" s="257">
        <f t="shared" si="22"/>
        <v>0.40897945683333331</v>
      </c>
      <c r="Q335" s="195">
        <v>49077534.82</v>
      </c>
      <c r="R335" s="260">
        <f t="shared" si="23"/>
        <v>0</v>
      </c>
    </row>
    <row r="336" spans="1:18" x14ac:dyDescent="0.25">
      <c r="A336" s="194" t="s">
        <v>546</v>
      </c>
      <c r="B336" s="194" t="s">
        <v>156</v>
      </c>
      <c r="C336" s="194" t="s">
        <v>157</v>
      </c>
      <c r="D336" s="194" t="s">
        <v>541</v>
      </c>
      <c r="E336" s="195">
        <v>56562860</v>
      </c>
      <c r="F336" s="195">
        <v>56562860</v>
      </c>
      <c r="G336" s="195">
        <v>56562860</v>
      </c>
      <c r="H336" s="195">
        <v>0</v>
      </c>
      <c r="I336" s="195">
        <v>1903915.07</v>
      </c>
      <c r="J336" s="195">
        <v>0</v>
      </c>
      <c r="K336" s="195">
        <v>17010572.25</v>
      </c>
      <c r="L336" s="257">
        <f t="shared" si="20"/>
        <v>0.30073748480893647</v>
      </c>
      <c r="M336" s="195">
        <v>16903127.25</v>
      </c>
      <c r="N336" s="257">
        <f t="shared" si="21"/>
        <v>0.29883791678850752</v>
      </c>
      <c r="O336" s="195">
        <v>37648372.68</v>
      </c>
      <c r="P336" s="257">
        <f t="shared" si="22"/>
        <v>0.66560235249773436</v>
      </c>
      <c r="Q336" s="195">
        <v>37648372.68</v>
      </c>
      <c r="R336" s="260">
        <f t="shared" si="23"/>
        <v>0</v>
      </c>
    </row>
    <row r="337" spans="1:18" x14ac:dyDescent="0.25">
      <c r="A337" s="194" t="s">
        <v>546</v>
      </c>
      <c r="B337" s="194" t="s">
        <v>158</v>
      </c>
      <c r="C337" s="194" t="s">
        <v>159</v>
      </c>
      <c r="D337" s="194" t="s">
        <v>541</v>
      </c>
      <c r="E337" s="195">
        <v>128523280</v>
      </c>
      <c r="F337" s="195">
        <v>128523280</v>
      </c>
      <c r="G337" s="195">
        <v>123983137</v>
      </c>
      <c r="H337" s="195">
        <v>0</v>
      </c>
      <c r="I337" s="195">
        <v>27466930</v>
      </c>
      <c r="J337" s="195">
        <v>0</v>
      </c>
      <c r="K337" s="195">
        <v>75591740</v>
      </c>
      <c r="L337" s="257">
        <f t="shared" si="20"/>
        <v>0.58815601344752488</v>
      </c>
      <c r="M337" s="195">
        <v>75133440</v>
      </c>
      <c r="N337" s="257">
        <f t="shared" si="21"/>
        <v>0.58459012250543252</v>
      </c>
      <c r="O337" s="195">
        <v>25464610</v>
      </c>
      <c r="P337" s="257">
        <f t="shared" si="22"/>
        <v>0.19813227611371262</v>
      </c>
      <c r="Q337" s="195">
        <v>20924467</v>
      </c>
      <c r="R337" s="260">
        <f t="shared" si="23"/>
        <v>-4540143</v>
      </c>
    </row>
    <row r="338" spans="1:18" x14ac:dyDescent="0.25">
      <c r="A338" s="194" t="s">
        <v>546</v>
      </c>
      <c r="B338" s="194" t="s">
        <v>160</v>
      </c>
      <c r="C338" s="194" t="s">
        <v>161</v>
      </c>
      <c r="D338" s="194" t="s">
        <v>541</v>
      </c>
      <c r="E338" s="195">
        <v>4829000</v>
      </c>
      <c r="F338" s="195">
        <v>4829000</v>
      </c>
      <c r="G338" s="195">
        <v>4829000</v>
      </c>
      <c r="H338" s="195">
        <v>0</v>
      </c>
      <c r="I338" s="195">
        <v>506190</v>
      </c>
      <c r="J338" s="195">
        <v>0</v>
      </c>
      <c r="K338" s="195">
        <v>2284885</v>
      </c>
      <c r="L338" s="257">
        <f t="shared" si="20"/>
        <v>0.47315903913853802</v>
      </c>
      <c r="M338" s="195">
        <v>2274085</v>
      </c>
      <c r="N338" s="257">
        <f t="shared" si="21"/>
        <v>0.47092255125284738</v>
      </c>
      <c r="O338" s="195">
        <v>2037925</v>
      </c>
      <c r="P338" s="257">
        <f t="shared" si="22"/>
        <v>0.42201801615241252</v>
      </c>
      <c r="Q338" s="195">
        <v>2037925</v>
      </c>
      <c r="R338" s="260">
        <f t="shared" si="23"/>
        <v>0</v>
      </c>
    </row>
    <row r="339" spans="1:18" x14ac:dyDescent="0.25">
      <c r="A339" s="194" t="s">
        <v>546</v>
      </c>
      <c r="B339" s="194" t="s">
        <v>162</v>
      </c>
      <c r="C339" s="194" t="s">
        <v>163</v>
      </c>
      <c r="D339" s="194" t="s">
        <v>541</v>
      </c>
      <c r="E339" s="195">
        <v>119154137</v>
      </c>
      <c r="F339" s="195">
        <v>119154137</v>
      </c>
      <c r="G339" s="195">
        <v>119154137</v>
      </c>
      <c r="H339" s="195">
        <v>0</v>
      </c>
      <c r="I339" s="195">
        <v>26960740</v>
      </c>
      <c r="J339" s="195">
        <v>0</v>
      </c>
      <c r="K339" s="195">
        <v>73306855</v>
      </c>
      <c r="L339" s="257">
        <f t="shared" si="20"/>
        <v>0.61522710705378192</v>
      </c>
      <c r="M339" s="195">
        <v>72859355</v>
      </c>
      <c r="N339" s="257">
        <f t="shared" si="21"/>
        <v>0.61147146741535296</v>
      </c>
      <c r="O339" s="195">
        <v>18886542</v>
      </c>
      <c r="P339" s="257">
        <f t="shared" si="22"/>
        <v>0.15850513020794235</v>
      </c>
      <c r="Q339" s="195">
        <v>18886542</v>
      </c>
      <c r="R339" s="260">
        <f t="shared" si="23"/>
        <v>0</v>
      </c>
    </row>
    <row r="340" spans="1:18" x14ac:dyDescent="0.25">
      <c r="A340" s="194" t="s">
        <v>546</v>
      </c>
      <c r="B340" s="194" t="s">
        <v>164</v>
      </c>
      <c r="C340" s="194" t="s">
        <v>165</v>
      </c>
      <c r="D340" s="194" t="s">
        <v>541</v>
      </c>
      <c r="E340" s="195">
        <v>2851000</v>
      </c>
      <c r="F340" s="195">
        <v>2851000</v>
      </c>
      <c r="G340" s="195">
        <v>0</v>
      </c>
      <c r="H340" s="195">
        <v>0</v>
      </c>
      <c r="I340" s="195">
        <v>0</v>
      </c>
      <c r="J340" s="195">
        <v>0</v>
      </c>
      <c r="K340" s="195">
        <v>0</v>
      </c>
      <c r="L340" s="257">
        <f t="shared" si="20"/>
        <v>0</v>
      </c>
      <c r="M340" s="195">
        <v>0</v>
      </c>
      <c r="N340" s="257">
        <f t="shared" si="21"/>
        <v>0</v>
      </c>
      <c r="O340" s="195">
        <v>2851000</v>
      </c>
      <c r="P340" s="257">
        <f t="shared" si="22"/>
        <v>1</v>
      </c>
      <c r="Q340" s="195">
        <v>0</v>
      </c>
      <c r="R340" s="260">
        <f t="shared" si="23"/>
        <v>-2851000</v>
      </c>
    </row>
    <row r="341" spans="1:18" x14ac:dyDescent="0.25">
      <c r="A341" s="194" t="s">
        <v>546</v>
      </c>
      <c r="B341" s="194" t="s">
        <v>166</v>
      </c>
      <c r="C341" s="194" t="s">
        <v>167</v>
      </c>
      <c r="D341" s="194" t="s">
        <v>541</v>
      </c>
      <c r="E341" s="195">
        <v>1689143</v>
      </c>
      <c r="F341" s="195">
        <v>1689143</v>
      </c>
      <c r="G341" s="195">
        <v>0</v>
      </c>
      <c r="H341" s="195">
        <v>0</v>
      </c>
      <c r="I341" s="195">
        <v>0</v>
      </c>
      <c r="J341" s="195">
        <v>0</v>
      </c>
      <c r="K341" s="195">
        <v>0</v>
      </c>
      <c r="L341" s="257">
        <f t="shared" si="20"/>
        <v>0</v>
      </c>
      <c r="M341" s="195">
        <v>0</v>
      </c>
      <c r="N341" s="257">
        <f t="shared" si="21"/>
        <v>0</v>
      </c>
      <c r="O341" s="195">
        <v>1689143</v>
      </c>
      <c r="P341" s="257">
        <f t="shared" si="22"/>
        <v>1</v>
      </c>
      <c r="Q341" s="195">
        <v>0</v>
      </c>
      <c r="R341" s="260">
        <f t="shared" si="23"/>
        <v>-1689143</v>
      </c>
    </row>
    <row r="342" spans="1:18" x14ac:dyDescent="0.25">
      <c r="A342" s="194" t="s">
        <v>546</v>
      </c>
      <c r="B342" s="194" t="s">
        <v>168</v>
      </c>
      <c r="C342" s="194" t="s">
        <v>169</v>
      </c>
      <c r="D342" s="194" t="s">
        <v>541</v>
      </c>
      <c r="E342" s="195">
        <v>1290997262</v>
      </c>
      <c r="F342" s="195">
        <v>1244459372.29</v>
      </c>
      <c r="G342" s="195">
        <v>1244459372.29</v>
      </c>
      <c r="H342" s="195">
        <v>0</v>
      </c>
      <c r="I342" s="195">
        <v>63441719.399999999</v>
      </c>
      <c r="J342" s="195">
        <v>0</v>
      </c>
      <c r="K342" s="195">
        <v>1051836424.6</v>
      </c>
      <c r="L342" s="257">
        <f t="shared" si="20"/>
        <v>0.84521555947982163</v>
      </c>
      <c r="M342" s="195">
        <v>968800936.60000002</v>
      </c>
      <c r="N342" s="257">
        <f t="shared" si="21"/>
        <v>0.77849141416103818</v>
      </c>
      <c r="O342" s="195">
        <v>129181228.29000001</v>
      </c>
      <c r="P342" s="257">
        <f t="shared" si="22"/>
        <v>0.1038050989581816</v>
      </c>
      <c r="Q342" s="195">
        <v>129181228.29000001</v>
      </c>
      <c r="R342" s="260">
        <f t="shared" si="23"/>
        <v>0</v>
      </c>
    </row>
    <row r="343" spans="1:18" x14ac:dyDescent="0.25">
      <c r="A343" s="194" t="s">
        <v>546</v>
      </c>
      <c r="B343" s="194" t="s">
        <v>170</v>
      </c>
      <c r="C343" s="194" t="s">
        <v>171</v>
      </c>
      <c r="D343" s="194" t="s">
        <v>541</v>
      </c>
      <c r="E343" s="195">
        <v>1290997262</v>
      </c>
      <c r="F343" s="195">
        <v>1244459372.29</v>
      </c>
      <c r="G343" s="195">
        <v>1244459372.29</v>
      </c>
      <c r="H343" s="195">
        <v>0</v>
      </c>
      <c r="I343" s="195">
        <v>63441719.399999999</v>
      </c>
      <c r="J343" s="195">
        <v>0</v>
      </c>
      <c r="K343" s="195">
        <v>1051836424.6</v>
      </c>
      <c r="L343" s="257">
        <f t="shared" si="20"/>
        <v>0.84521555947982163</v>
      </c>
      <c r="M343" s="195">
        <v>968800936.60000002</v>
      </c>
      <c r="N343" s="257">
        <f t="shared" si="21"/>
        <v>0.77849141416103818</v>
      </c>
      <c r="O343" s="195">
        <v>129181228.29000001</v>
      </c>
      <c r="P343" s="257">
        <f t="shared" si="22"/>
        <v>0.1038050989581816</v>
      </c>
      <c r="Q343" s="195">
        <v>129181228.29000001</v>
      </c>
      <c r="R343" s="260">
        <f t="shared" si="23"/>
        <v>0</v>
      </c>
    </row>
    <row r="344" spans="1:18" x14ac:dyDescent="0.25">
      <c r="A344" s="194" t="s">
        <v>546</v>
      </c>
      <c r="B344" s="194" t="s">
        <v>172</v>
      </c>
      <c r="C344" s="194" t="s">
        <v>173</v>
      </c>
      <c r="D344" s="194" t="s">
        <v>541</v>
      </c>
      <c r="E344" s="195">
        <v>1413715</v>
      </c>
      <c r="F344" s="195">
        <v>1413715</v>
      </c>
      <c r="G344" s="195">
        <v>1413715</v>
      </c>
      <c r="H344" s="195">
        <v>0</v>
      </c>
      <c r="I344" s="195">
        <v>120780</v>
      </c>
      <c r="J344" s="195">
        <v>0</v>
      </c>
      <c r="K344" s="195">
        <v>670000</v>
      </c>
      <c r="L344" s="257">
        <f t="shared" si="20"/>
        <v>0.47392862069087477</v>
      </c>
      <c r="M344" s="195">
        <v>400000</v>
      </c>
      <c r="N344" s="257">
        <f t="shared" si="21"/>
        <v>0.28294246011395507</v>
      </c>
      <c r="O344" s="195">
        <v>622935</v>
      </c>
      <c r="P344" s="257">
        <f t="shared" si="22"/>
        <v>0.4406369034777165</v>
      </c>
      <c r="Q344" s="195">
        <v>622935</v>
      </c>
      <c r="R344" s="260">
        <f t="shared" si="23"/>
        <v>0</v>
      </c>
    </row>
    <row r="345" spans="1:18" x14ac:dyDescent="0.25">
      <c r="A345" s="194" t="s">
        <v>546</v>
      </c>
      <c r="B345" s="194" t="s">
        <v>309</v>
      </c>
      <c r="C345" s="194" t="s">
        <v>310</v>
      </c>
      <c r="D345" s="194" t="s">
        <v>541</v>
      </c>
      <c r="E345" s="195">
        <v>1413715</v>
      </c>
      <c r="F345" s="195">
        <v>1413715</v>
      </c>
      <c r="G345" s="195">
        <v>1413715</v>
      </c>
      <c r="H345" s="195">
        <v>0</v>
      </c>
      <c r="I345" s="195">
        <v>120780</v>
      </c>
      <c r="J345" s="195">
        <v>0</v>
      </c>
      <c r="K345" s="195">
        <v>670000</v>
      </c>
      <c r="L345" s="257">
        <f t="shared" si="20"/>
        <v>0.47392862069087477</v>
      </c>
      <c r="M345" s="195">
        <v>400000</v>
      </c>
      <c r="N345" s="257">
        <f t="shared" si="21"/>
        <v>0.28294246011395507</v>
      </c>
      <c r="O345" s="195">
        <v>622935</v>
      </c>
      <c r="P345" s="257">
        <f t="shared" si="22"/>
        <v>0.4406369034777165</v>
      </c>
      <c r="Q345" s="195">
        <v>622935</v>
      </c>
      <c r="R345" s="260">
        <f t="shared" si="23"/>
        <v>0</v>
      </c>
    </row>
    <row r="346" spans="1:18" x14ac:dyDescent="0.25">
      <c r="A346" s="194" t="s">
        <v>546</v>
      </c>
      <c r="B346" s="194" t="s">
        <v>178</v>
      </c>
      <c r="C346" s="194" t="s">
        <v>179</v>
      </c>
      <c r="D346" s="194" t="s">
        <v>541</v>
      </c>
      <c r="E346" s="195">
        <v>594069615</v>
      </c>
      <c r="F346" s="195">
        <v>600069615</v>
      </c>
      <c r="G346" s="195">
        <v>535034615</v>
      </c>
      <c r="H346" s="195">
        <v>15479482.92</v>
      </c>
      <c r="I346" s="195">
        <v>108790877.09999999</v>
      </c>
      <c r="J346" s="195">
        <v>9339154.4800000004</v>
      </c>
      <c r="K346" s="195">
        <v>305017902.56</v>
      </c>
      <c r="L346" s="257">
        <f t="shared" si="20"/>
        <v>0.50830419493911549</v>
      </c>
      <c r="M346" s="195">
        <v>285743294.07999998</v>
      </c>
      <c r="N346" s="257">
        <f t="shared" si="21"/>
        <v>0.47618357426746227</v>
      </c>
      <c r="O346" s="195">
        <v>161442197.94</v>
      </c>
      <c r="P346" s="257">
        <f t="shared" si="22"/>
        <v>0.26903911463672425</v>
      </c>
      <c r="Q346" s="195">
        <v>96407197.939999998</v>
      </c>
      <c r="R346" s="260">
        <f t="shared" si="23"/>
        <v>-65035000</v>
      </c>
    </row>
    <row r="347" spans="1:18" x14ac:dyDescent="0.25">
      <c r="A347" s="194" t="s">
        <v>546</v>
      </c>
      <c r="B347" s="194" t="s">
        <v>180</v>
      </c>
      <c r="C347" s="194" t="s">
        <v>181</v>
      </c>
      <c r="D347" s="194" t="s">
        <v>541</v>
      </c>
      <c r="E347" s="195">
        <v>125656000</v>
      </c>
      <c r="F347" s="195">
        <v>125656000</v>
      </c>
      <c r="G347" s="195">
        <v>65656000</v>
      </c>
      <c r="H347" s="195">
        <v>5644182.8399999999</v>
      </c>
      <c r="I347" s="195">
        <v>0</v>
      </c>
      <c r="J347" s="195">
        <v>0</v>
      </c>
      <c r="K347" s="195">
        <v>13454017</v>
      </c>
      <c r="L347" s="257">
        <f t="shared" si="20"/>
        <v>0.10707023142547908</v>
      </c>
      <c r="M347" s="195">
        <v>13349017</v>
      </c>
      <c r="N347" s="257">
        <f t="shared" si="21"/>
        <v>0.10623461673139364</v>
      </c>
      <c r="O347" s="195">
        <v>106557800.16</v>
      </c>
      <c r="P347" s="257">
        <f t="shared" si="22"/>
        <v>0.84801203412491244</v>
      </c>
      <c r="Q347" s="195">
        <v>46557800.159999996</v>
      </c>
      <c r="R347" s="260">
        <f t="shared" si="23"/>
        <v>-60000000</v>
      </c>
    </row>
    <row r="348" spans="1:18" x14ac:dyDescent="0.25">
      <c r="A348" s="194" t="s">
        <v>546</v>
      </c>
      <c r="B348" s="194" t="s">
        <v>332</v>
      </c>
      <c r="C348" s="194" t="s">
        <v>333</v>
      </c>
      <c r="D348" s="194" t="s">
        <v>541</v>
      </c>
      <c r="E348" s="195">
        <v>188229817</v>
      </c>
      <c r="F348" s="195">
        <v>188229817</v>
      </c>
      <c r="G348" s="195">
        <v>188229817</v>
      </c>
      <c r="H348" s="195">
        <v>0</v>
      </c>
      <c r="I348" s="195">
        <v>17535019.039999999</v>
      </c>
      <c r="J348" s="195">
        <v>4941898</v>
      </c>
      <c r="K348" s="195">
        <v>165733178.25999999</v>
      </c>
      <c r="L348" s="257">
        <f t="shared" si="20"/>
        <v>0.88048312908894766</v>
      </c>
      <c r="M348" s="195">
        <v>164801944.78</v>
      </c>
      <c r="N348" s="257">
        <f t="shared" si="21"/>
        <v>0.87553580727329716</v>
      </c>
      <c r="O348" s="195">
        <v>19721.7</v>
      </c>
      <c r="P348" s="257">
        <f t="shared" si="22"/>
        <v>1.0477457989559646E-4</v>
      </c>
      <c r="Q348" s="195">
        <v>19721.7</v>
      </c>
      <c r="R348" s="260">
        <f t="shared" si="23"/>
        <v>0</v>
      </c>
    </row>
    <row r="349" spans="1:18" x14ac:dyDescent="0.25">
      <c r="A349" s="194" t="s">
        <v>546</v>
      </c>
      <c r="B349" s="194" t="s">
        <v>182</v>
      </c>
      <c r="C349" s="194" t="s">
        <v>183</v>
      </c>
      <c r="D349" s="194" t="s">
        <v>541</v>
      </c>
      <c r="E349" s="195">
        <v>95028648</v>
      </c>
      <c r="F349" s="195">
        <v>95028648</v>
      </c>
      <c r="G349" s="195">
        <v>95028648</v>
      </c>
      <c r="H349" s="195">
        <v>9835300.0800000001</v>
      </c>
      <c r="I349" s="195">
        <v>15552396.189999999</v>
      </c>
      <c r="J349" s="195">
        <v>0</v>
      </c>
      <c r="K349" s="195">
        <v>54230370.439999998</v>
      </c>
      <c r="L349" s="257">
        <f t="shared" si="20"/>
        <v>0.57067391340767049</v>
      </c>
      <c r="M349" s="195">
        <v>52066061.93</v>
      </c>
      <c r="N349" s="257">
        <f t="shared" si="21"/>
        <v>0.54789858664515567</v>
      </c>
      <c r="O349" s="195">
        <v>15410581.289999999</v>
      </c>
      <c r="P349" s="257">
        <f t="shared" si="22"/>
        <v>0.16216774219496419</v>
      </c>
      <c r="Q349" s="195">
        <v>15410581.289999999</v>
      </c>
      <c r="R349" s="260">
        <f t="shared" si="23"/>
        <v>0</v>
      </c>
    </row>
    <row r="350" spans="1:18" x14ac:dyDescent="0.25">
      <c r="A350" s="194" t="s">
        <v>546</v>
      </c>
      <c r="B350" s="194" t="s">
        <v>184</v>
      </c>
      <c r="C350" s="194" t="s">
        <v>185</v>
      </c>
      <c r="D350" s="194" t="s">
        <v>541</v>
      </c>
      <c r="E350" s="195">
        <v>6300000</v>
      </c>
      <c r="F350" s="195">
        <v>6300000</v>
      </c>
      <c r="G350" s="195">
        <v>1800000</v>
      </c>
      <c r="H350" s="195">
        <v>0</v>
      </c>
      <c r="I350" s="195">
        <v>0</v>
      </c>
      <c r="J350" s="195">
        <v>0</v>
      </c>
      <c r="K350" s="195">
        <v>0</v>
      </c>
      <c r="L350" s="257">
        <f t="shared" si="20"/>
        <v>0</v>
      </c>
      <c r="M350" s="195">
        <v>0</v>
      </c>
      <c r="N350" s="257">
        <f t="shared" si="21"/>
        <v>0</v>
      </c>
      <c r="O350" s="195">
        <v>6300000</v>
      </c>
      <c r="P350" s="257">
        <f t="shared" si="22"/>
        <v>1</v>
      </c>
      <c r="Q350" s="195">
        <v>1800000</v>
      </c>
      <c r="R350" s="260">
        <f t="shared" si="23"/>
        <v>-4500000</v>
      </c>
    </row>
    <row r="351" spans="1:18" x14ac:dyDescent="0.25">
      <c r="A351" s="194" t="s">
        <v>546</v>
      </c>
      <c r="B351" s="194" t="s">
        <v>186</v>
      </c>
      <c r="C351" s="194" t="s">
        <v>187</v>
      </c>
      <c r="D351" s="194" t="s">
        <v>541</v>
      </c>
      <c r="E351" s="195">
        <v>11141667</v>
      </c>
      <c r="F351" s="195">
        <v>11141667</v>
      </c>
      <c r="G351" s="195">
        <v>10606667</v>
      </c>
      <c r="H351" s="195">
        <v>0</v>
      </c>
      <c r="I351" s="195">
        <v>2046880.09</v>
      </c>
      <c r="J351" s="195">
        <v>0</v>
      </c>
      <c r="K351" s="195">
        <v>5840214.8899999997</v>
      </c>
      <c r="L351" s="257">
        <f t="shared" si="20"/>
        <v>0.52417783532751427</v>
      </c>
      <c r="M351" s="195">
        <v>3564000</v>
      </c>
      <c r="N351" s="257">
        <f t="shared" si="21"/>
        <v>0.31988031952489693</v>
      </c>
      <c r="O351" s="195">
        <v>3254572.02</v>
      </c>
      <c r="P351" s="257">
        <f t="shared" si="22"/>
        <v>0.29210817555398128</v>
      </c>
      <c r="Q351" s="195">
        <v>2719572.02</v>
      </c>
      <c r="R351" s="260">
        <f t="shared" si="23"/>
        <v>-535000</v>
      </c>
    </row>
    <row r="352" spans="1:18" x14ac:dyDescent="0.25">
      <c r="A352" s="194" t="s">
        <v>546</v>
      </c>
      <c r="B352" s="194" t="s">
        <v>188</v>
      </c>
      <c r="C352" s="194" t="s">
        <v>189</v>
      </c>
      <c r="D352" s="194" t="s">
        <v>541</v>
      </c>
      <c r="E352" s="195">
        <v>40562000</v>
      </c>
      <c r="F352" s="195">
        <v>40562000</v>
      </c>
      <c r="G352" s="195">
        <v>40562000</v>
      </c>
      <c r="H352" s="195">
        <v>0</v>
      </c>
      <c r="I352" s="195">
        <v>26905829.579999998</v>
      </c>
      <c r="J352" s="195">
        <v>0</v>
      </c>
      <c r="K352" s="195">
        <v>7460314.8600000003</v>
      </c>
      <c r="L352" s="257">
        <f t="shared" si="20"/>
        <v>0.18392374291208521</v>
      </c>
      <c r="M352" s="195">
        <v>4602212.9800000004</v>
      </c>
      <c r="N352" s="257">
        <f t="shared" si="21"/>
        <v>0.11346119471426459</v>
      </c>
      <c r="O352" s="195">
        <v>6195855.5599999996</v>
      </c>
      <c r="P352" s="257">
        <f t="shared" si="22"/>
        <v>0.15275024801538384</v>
      </c>
      <c r="Q352" s="195">
        <v>6195855.5599999996</v>
      </c>
      <c r="R352" s="260">
        <f t="shared" si="23"/>
        <v>0</v>
      </c>
    </row>
    <row r="353" spans="1:18" x14ac:dyDescent="0.25">
      <c r="A353" s="194" t="s">
        <v>546</v>
      </c>
      <c r="B353" s="194" t="s">
        <v>190</v>
      </c>
      <c r="C353" s="194" t="s">
        <v>191</v>
      </c>
      <c r="D353" s="194" t="s">
        <v>541</v>
      </c>
      <c r="E353" s="195">
        <v>127151483</v>
      </c>
      <c r="F353" s="195">
        <v>133151483</v>
      </c>
      <c r="G353" s="195">
        <v>133151483</v>
      </c>
      <c r="H353" s="195">
        <v>0</v>
      </c>
      <c r="I353" s="195">
        <v>46750752.200000003</v>
      </c>
      <c r="J353" s="195">
        <v>4397256.4800000004</v>
      </c>
      <c r="K353" s="195">
        <v>58299807.109999999</v>
      </c>
      <c r="L353" s="257">
        <f t="shared" si="20"/>
        <v>0.43784572125268778</v>
      </c>
      <c r="M353" s="195">
        <v>47360057.390000001</v>
      </c>
      <c r="N353" s="257">
        <f t="shared" si="21"/>
        <v>0.35568554193271734</v>
      </c>
      <c r="O353" s="195">
        <v>23703667.210000001</v>
      </c>
      <c r="P353" s="257">
        <f t="shared" si="22"/>
        <v>0.17802030195938562</v>
      </c>
      <c r="Q353" s="195">
        <v>23703667.210000001</v>
      </c>
      <c r="R353" s="260">
        <f t="shared" si="23"/>
        <v>0</v>
      </c>
    </row>
    <row r="354" spans="1:18" x14ac:dyDescent="0.25">
      <c r="A354" s="194" t="s">
        <v>546</v>
      </c>
      <c r="B354" s="194" t="s">
        <v>192</v>
      </c>
      <c r="C354" s="194" t="s">
        <v>193</v>
      </c>
      <c r="D354" s="194" t="s">
        <v>541</v>
      </c>
      <c r="E354" s="195">
        <v>11126154</v>
      </c>
      <c r="F354" s="195">
        <v>11126154</v>
      </c>
      <c r="G354" s="195">
        <v>11126154</v>
      </c>
      <c r="H354" s="195">
        <v>0</v>
      </c>
      <c r="I354" s="195">
        <v>1008208</v>
      </c>
      <c r="J354" s="195">
        <v>0</v>
      </c>
      <c r="K354" s="195">
        <v>397220</v>
      </c>
      <c r="L354" s="257">
        <f t="shared" si="20"/>
        <v>3.5701465214304964E-2</v>
      </c>
      <c r="M354" s="195">
        <v>397220</v>
      </c>
      <c r="N354" s="257">
        <f t="shared" si="21"/>
        <v>3.5701465214304964E-2</v>
      </c>
      <c r="O354" s="195">
        <v>9720726</v>
      </c>
      <c r="P354" s="257">
        <f t="shared" si="22"/>
        <v>0.8736824962156734</v>
      </c>
      <c r="Q354" s="195">
        <v>9720726</v>
      </c>
      <c r="R354" s="260">
        <f t="shared" si="23"/>
        <v>0</v>
      </c>
    </row>
    <row r="355" spans="1:18" x14ac:dyDescent="0.25">
      <c r="A355" s="194" t="s">
        <v>546</v>
      </c>
      <c r="B355" s="194" t="s">
        <v>194</v>
      </c>
      <c r="C355" s="194" t="s">
        <v>195</v>
      </c>
      <c r="D355" s="194" t="s">
        <v>541</v>
      </c>
      <c r="E355" s="195">
        <v>11126154</v>
      </c>
      <c r="F355" s="195">
        <v>11126154</v>
      </c>
      <c r="G355" s="195">
        <v>11126154</v>
      </c>
      <c r="H355" s="195">
        <v>0</v>
      </c>
      <c r="I355" s="195">
        <v>1008208</v>
      </c>
      <c r="J355" s="195">
        <v>0</v>
      </c>
      <c r="K355" s="195">
        <v>397220</v>
      </c>
      <c r="L355" s="257">
        <f t="shared" si="20"/>
        <v>3.5701465214304964E-2</v>
      </c>
      <c r="M355" s="195">
        <v>397220</v>
      </c>
      <c r="N355" s="257">
        <f t="shared" si="21"/>
        <v>3.5701465214304964E-2</v>
      </c>
      <c r="O355" s="195">
        <v>9720726</v>
      </c>
      <c r="P355" s="257">
        <f t="shared" si="22"/>
        <v>0.8736824962156734</v>
      </c>
      <c r="Q355" s="195">
        <v>9720726</v>
      </c>
      <c r="R355" s="260">
        <f t="shared" si="23"/>
        <v>0</v>
      </c>
    </row>
    <row r="356" spans="1:18" x14ac:dyDescent="0.25">
      <c r="A356" s="194" t="s">
        <v>546</v>
      </c>
      <c r="B356" s="194" t="s">
        <v>196</v>
      </c>
      <c r="C356" s="194" t="s">
        <v>197</v>
      </c>
      <c r="D356" s="194" t="s">
        <v>541</v>
      </c>
      <c r="E356" s="195">
        <v>18666301</v>
      </c>
      <c r="F356" s="195">
        <v>65204190.710000001</v>
      </c>
      <c r="G356" s="195">
        <v>65204190.710000001</v>
      </c>
      <c r="H356" s="195">
        <v>0</v>
      </c>
      <c r="I356" s="195">
        <v>13217473.060000001</v>
      </c>
      <c r="J356" s="195">
        <v>0</v>
      </c>
      <c r="K356" s="195">
        <v>9671419</v>
      </c>
      <c r="L356" s="257">
        <f t="shared" si="20"/>
        <v>0.14832511368807999</v>
      </c>
      <c r="M356" s="195">
        <v>9671419</v>
      </c>
      <c r="N356" s="257">
        <f t="shared" si="21"/>
        <v>0.14832511368807999</v>
      </c>
      <c r="O356" s="195">
        <v>42315298.649999999</v>
      </c>
      <c r="P356" s="257">
        <f t="shared" si="22"/>
        <v>0.648965935919673</v>
      </c>
      <c r="Q356" s="195">
        <v>42315298.649999999</v>
      </c>
      <c r="R356" s="260">
        <f t="shared" si="23"/>
        <v>0</v>
      </c>
    </row>
    <row r="357" spans="1:18" x14ac:dyDescent="0.25">
      <c r="A357" s="194" t="s">
        <v>546</v>
      </c>
      <c r="B357" s="194" t="s">
        <v>360</v>
      </c>
      <c r="C357" s="194" t="s">
        <v>361</v>
      </c>
      <c r="D357" s="194" t="s">
        <v>541</v>
      </c>
      <c r="E357" s="195">
        <v>3000000</v>
      </c>
      <c r="F357" s="195">
        <v>3000000</v>
      </c>
      <c r="G357" s="195">
        <v>3000000</v>
      </c>
      <c r="H357" s="195">
        <v>0</v>
      </c>
      <c r="I357" s="195">
        <v>310619.25</v>
      </c>
      <c r="J357" s="195">
        <v>0</v>
      </c>
      <c r="K357" s="195">
        <v>2689379.96</v>
      </c>
      <c r="L357" s="257">
        <f t="shared" si="20"/>
        <v>0.89645998666666671</v>
      </c>
      <c r="M357" s="195">
        <v>2689379.96</v>
      </c>
      <c r="N357" s="257">
        <f t="shared" si="21"/>
        <v>0.89645998666666671</v>
      </c>
      <c r="O357" s="195">
        <v>0.79</v>
      </c>
      <c r="P357" s="257">
        <f t="shared" si="22"/>
        <v>2.6333333333333334E-7</v>
      </c>
      <c r="Q357" s="195">
        <v>0.79</v>
      </c>
      <c r="R357" s="260">
        <f t="shared" si="23"/>
        <v>0</v>
      </c>
    </row>
    <row r="358" spans="1:18" x14ac:dyDescent="0.25">
      <c r="A358" s="194" t="s">
        <v>546</v>
      </c>
      <c r="B358" s="194" t="s">
        <v>334</v>
      </c>
      <c r="C358" s="194" t="s">
        <v>335</v>
      </c>
      <c r="D358" s="194" t="s">
        <v>541</v>
      </c>
      <c r="E358" s="195">
        <v>1275676</v>
      </c>
      <c r="F358" s="195">
        <v>47166460.710000001</v>
      </c>
      <c r="G358" s="195">
        <v>47166460.710000001</v>
      </c>
      <c r="H358" s="195">
        <v>0</v>
      </c>
      <c r="I358" s="195">
        <v>1537879.56</v>
      </c>
      <c r="J358" s="195">
        <v>0</v>
      </c>
      <c r="K358" s="195">
        <v>3313284.04</v>
      </c>
      <c r="L358" s="257">
        <f t="shared" si="20"/>
        <v>7.0246611471899853E-2</v>
      </c>
      <c r="M358" s="195">
        <v>3313284.04</v>
      </c>
      <c r="N358" s="257">
        <f t="shared" si="21"/>
        <v>7.0246611471899853E-2</v>
      </c>
      <c r="O358" s="195">
        <v>42315297.109999999</v>
      </c>
      <c r="P358" s="257">
        <f t="shared" si="22"/>
        <v>0.89714802580106501</v>
      </c>
      <c r="Q358" s="195">
        <v>42315297.109999999</v>
      </c>
      <c r="R358" s="260">
        <f t="shared" si="23"/>
        <v>0</v>
      </c>
    </row>
    <row r="359" spans="1:18" x14ac:dyDescent="0.25">
      <c r="A359" s="194" t="s">
        <v>546</v>
      </c>
      <c r="B359" s="194" t="s">
        <v>198</v>
      </c>
      <c r="C359" s="194" t="s">
        <v>199</v>
      </c>
      <c r="D359" s="194" t="s">
        <v>541</v>
      </c>
      <c r="E359" s="195">
        <v>14390625</v>
      </c>
      <c r="F359" s="195">
        <v>15037730</v>
      </c>
      <c r="G359" s="195">
        <v>15037730</v>
      </c>
      <c r="H359" s="195">
        <v>0</v>
      </c>
      <c r="I359" s="195">
        <v>11368974.25</v>
      </c>
      <c r="J359" s="195">
        <v>0</v>
      </c>
      <c r="K359" s="195">
        <v>3668755</v>
      </c>
      <c r="L359" s="257">
        <f t="shared" si="20"/>
        <v>0.24397000079134284</v>
      </c>
      <c r="M359" s="195">
        <v>3668755</v>
      </c>
      <c r="N359" s="257">
        <f t="shared" si="21"/>
        <v>0.24397000079134284</v>
      </c>
      <c r="O359" s="195">
        <v>0.75</v>
      </c>
      <c r="P359" s="257">
        <f t="shared" si="22"/>
        <v>4.9874548884705336E-8</v>
      </c>
      <c r="Q359" s="195">
        <v>0.75</v>
      </c>
      <c r="R359" s="260">
        <f t="shared" si="23"/>
        <v>0</v>
      </c>
    </row>
    <row r="360" spans="1:18" x14ac:dyDescent="0.25">
      <c r="A360" s="194" t="s">
        <v>546</v>
      </c>
      <c r="B360" s="194" t="s">
        <v>200</v>
      </c>
      <c r="C360" s="194" t="s">
        <v>201</v>
      </c>
      <c r="D360" s="194" t="s">
        <v>541</v>
      </c>
      <c r="E360" s="195">
        <v>14015826994</v>
      </c>
      <c r="F360" s="195">
        <v>14015826994</v>
      </c>
      <c r="G360" s="195">
        <v>13896768494</v>
      </c>
      <c r="H360" s="195">
        <v>132783464.2</v>
      </c>
      <c r="I360" s="195">
        <v>2404347931.8499999</v>
      </c>
      <c r="J360" s="195">
        <v>188942936.86000001</v>
      </c>
      <c r="K360" s="195">
        <v>9317924152.4699993</v>
      </c>
      <c r="L360" s="257">
        <f t="shared" si="20"/>
        <v>0.66481443845296362</v>
      </c>
      <c r="M360" s="195">
        <v>8760893839.4699993</v>
      </c>
      <c r="N360" s="257">
        <f t="shared" si="21"/>
        <v>0.62507148834103243</v>
      </c>
      <c r="O360" s="195">
        <v>1971828508.6199999</v>
      </c>
      <c r="P360" s="257">
        <f t="shared" si="22"/>
        <v>0.14068584818178156</v>
      </c>
      <c r="Q360" s="195">
        <v>1852770008.6199999</v>
      </c>
      <c r="R360" s="260">
        <f t="shared" si="23"/>
        <v>-119058500</v>
      </c>
    </row>
    <row r="361" spans="1:18" x14ac:dyDescent="0.25">
      <c r="A361" s="194" t="s">
        <v>546</v>
      </c>
      <c r="B361" s="194" t="s">
        <v>202</v>
      </c>
      <c r="C361" s="194" t="s">
        <v>203</v>
      </c>
      <c r="D361" s="194" t="s">
        <v>541</v>
      </c>
      <c r="E361" s="195">
        <v>777682724</v>
      </c>
      <c r="F361" s="195">
        <v>777682724</v>
      </c>
      <c r="G361" s="195">
        <v>760204724</v>
      </c>
      <c r="H361" s="195">
        <v>5194580</v>
      </c>
      <c r="I361" s="195">
        <v>123618504.27</v>
      </c>
      <c r="J361" s="195">
        <v>32549124.359999999</v>
      </c>
      <c r="K361" s="195">
        <v>590417684.74000001</v>
      </c>
      <c r="L361" s="257">
        <f t="shared" si="20"/>
        <v>0.7592012353099411</v>
      </c>
      <c r="M361" s="195">
        <v>574508842.10000002</v>
      </c>
      <c r="N361" s="257">
        <f t="shared" si="21"/>
        <v>0.73874450900107691</v>
      </c>
      <c r="O361" s="195">
        <v>25902830.629999999</v>
      </c>
      <c r="P361" s="257">
        <f t="shared" si="22"/>
        <v>3.3307709983281045E-2</v>
      </c>
      <c r="Q361" s="195">
        <v>8424830.6300000008</v>
      </c>
      <c r="R361" s="260">
        <f t="shared" si="23"/>
        <v>-17478000</v>
      </c>
    </row>
    <row r="362" spans="1:18" x14ac:dyDescent="0.25">
      <c r="A362" s="194" t="s">
        <v>546</v>
      </c>
      <c r="B362" s="194" t="s">
        <v>204</v>
      </c>
      <c r="C362" s="194" t="s">
        <v>205</v>
      </c>
      <c r="D362" s="194" t="s">
        <v>541</v>
      </c>
      <c r="E362" s="195">
        <v>543016724</v>
      </c>
      <c r="F362" s="195">
        <v>543016724</v>
      </c>
      <c r="G362" s="195">
        <v>543016724</v>
      </c>
      <c r="H362" s="195">
        <v>0</v>
      </c>
      <c r="I362" s="195">
        <v>68723664.040000007</v>
      </c>
      <c r="J362" s="195">
        <v>931224.36</v>
      </c>
      <c r="K362" s="195">
        <v>469712382.13999999</v>
      </c>
      <c r="L362" s="257">
        <f t="shared" si="20"/>
        <v>0.86500536977936615</v>
      </c>
      <c r="M362" s="195">
        <v>455795654.5</v>
      </c>
      <c r="N362" s="257">
        <f t="shared" si="21"/>
        <v>0.83937682644927158</v>
      </c>
      <c r="O362" s="195">
        <v>3649453.46</v>
      </c>
      <c r="P362" s="257">
        <f t="shared" si="22"/>
        <v>6.7207017734503514E-3</v>
      </c>
      <c r="Q362" s="195">
        <v>3649453.46</v>
      </c>
      <c r="R362" s="260">
        <f t="shared" si="23"/>
        <v>0</v>
      </c>
    </row>
    <row r="363" spans="1:18" x14ac:dyDescent="0.25">
      <c r="A363" s="194" t="s">
        <v>546</v>
      </c>
      <c r="B363" s="194" t="s">
        <v>206</v>
      </c>
      <c r="C363" s="194" t="s">
        <v>207</v>
      </c>
      <c r="D363" s="194" t="s">
        <v>541</v>
      </c>
      <c r="E363" s="195">
        <v>195656000</v>
      </c>
      <c r="F363" s="195">
        <v>195656000</v>
      </c>
      <c r="G363" s="195">
        <v>181276000</v>
      </c>
      <c r="H363" s="195">
        <v>0</v>
      </c>
      <c r="I363" s="195">
        <v>41593000</v>
      </c>
      <c r="J363" s="195">
        <v>31617900</v>
      </c>
      <c r="K363" s="195">
        <v>105609900</v>
      </c>
      <c r="L363" s="257">
        <f t="shared" si="20"/>
        <v>0.53977337776505707</v>
      </c>
      <c r="M363" s="195">
        <v>105609900</v>
      </c>
      <c r="N363" s="257">
        <f t="shared" si="21"/>
        <v>0.53977337776505707</v>
      </c>
      <c r="O363" s="195">
        <v>16835200</v>
      </c>
      <c r="P363" s="257">
        <f t="shared" si="22"/>
        <v>8.6044895122050949E-2</v>
      </c>
      <c r="Q363" s="195">
        <v>2455200</v>
      </c>
      <c r="R363" s="260">
        <f t="shared" si="23"/>
        <v>-14380000</v>
      </c>
    </row>
    <row r="364" spans="1:18" x14ac:dyDescent="0.25">
      <c r="A364" s="194" t="s">
        <v>546</v>
      </c>
      <c r="B364" s="194" t="s">
        <v>362</v>
      </c>
      <c r="C364" s="194" t="s">
        <v>363</v>
      </c>
      <c r="D364" s="194" t="s">
        <v>541</v>
      </c>
      <c r="E364" s="195">
        <v>2674000</v>
      </c>
      <c r="F364" s="195">
        <v>2674000</v>
      </c>
      <c r="G364" s="195">
        <v>2674000</v>
      </c>
      <c r="H364" s="195">
        <v>2335180</v>
      </c>
      <c r="I364" s="195">
        <v>120975</v>
      </c>
      <c r="J364" s="195">
        <v>0</v>
      </c>
      <c r="K364" s="195">
        <v>77925</v>
      </c>
      <c r="L364" s="257">
        <f t="shared" si="20"/>
        <v>2.9141735228122662E-2</v>
      </c>
      <c r="M364" s="195">
        <v>77925</v>
      </c>
      <c r="N364" s="257">
        <f t="shared" si="21"/>
        <v>2.9141735228122662E-2</v>
      </c>
      <c r="O364" s="195">
        <v>139920</v>
      </c>
      <c r="P364" s="257">
        <f t="shared" si="22"/>
        <v>5.2326103216155571E-2</v>
      </c>
      <c r="Q364" s="195">
        <v>139920</v>
      </c>
      <c r="R364" s="260">
        <f t="shared" si="23"/>
        <v>0</v>
      </c>
    </row>
    <row r="365" spans="1:18" x14ac:dyDescent="0.25">
      <c r="A365" s="194" t="s">
        <v>546</v>
      </c>
      <c r="B365" s="194" t="s">
        <v>208</v>
      </c>
      <c r="C365" s="194" t="s">
        <v>209</v>
      </c>
      <c r="D365" s="194" t="s">
        <v>541</v>
      </c>
      <c r="E365" s="195">
        <v>30373000</v>
      </c>
      <c r="F365" s="195">
        <v>30373000</v>
      </c>
      <c r="G365" s="195">
        <v>30373000</v>
      </c>
      <c r="H365" s="195">
        <v>0</v>
      </c>
      <c r="I365" s="195">
        <v>13180865.23</v>
      </c>
      <c r="J365" s="195">
        <v>0</v>
      </c>
      <c r="K365" s="195">
        <v>15017477.6</v>
      </c>
      <c r="L365" s="257">
        <f t="shared" si="20"/>
        <v>0.49443511013070818</v>
      </c>
      <c r="M365" s="195">
        <v>13025362.6</v>
      </c>
      <c r="N365" s="257">
        <f t="shared" si="21"/>
        <v>0.42884675863431337</v>
      </c>
      <c r="O365" s="195">
        <v>2174657.17</v>
      </c>
      <c r="P365" s="257">
        <f t="shared" si="22"/>
        <v>7.1598365982945375E-2</v>
      </c>
      <c r="Q365" s="195">
        <v>2174657.17</v>
      </c>
      <c r="R365" s="260">
        <f t="shared" si="23"/>
        <v>0</v>
      </c>
    </row>
    <row r="366" spans="1:18" x14ac:dyDescent="0.25">
      <c r="A366" s="194" t="s">
        <v>546</v>
      </c>
      <c r="B366" s="194" t="s">
        <v>210</v>
      </c>
      <c r="C366" s="194" t="s">
        <v>211</v>
      </c>
      <c r="D366" s="194" t="s">
        <v>541</v>
      </c>
      <c r="E366" s="195">
        <v>5963000</v>
      </c>
      <c r="F366" s="195">
        <v>5963000</v>
      </c>
      <c r="G366" s="195">
        <v>2865000</v>
      </c>
      <c r="H366" s="195">
        <v>2859400</v>
      </c>
      <c r="I366" s="195">
        <v>0</v>
      </c>
      <c r="J366" s="195">
        <v>0</v>
      </c>
      <c r="K366" s="195">
        <v>0</v>
      </c>
      <c r="L366" s="257">
        <f t="shared" si="20"/>
        <v>0</v>
      </c>
      <c r="M366" s="195">
        <v>0</v>
      </c>
      <c r="N366" s="257">
        <f t="shared" si="21"/>
        <v>0</v>
      </c>
      <c r="O366" s="195">
        <v>3103600</v>
      </c>
      <c r="P366" s="257">
        <f t="shared" si="22"/>
        <v>0.52047627033372468</v>
      </c>
      <c r="Q366" s="195">
        <v>5600</v>
      </c>
      <c r="R366" s="260">
        <f t="shared" si="23"/>
        <v>-3098000</v>
      </c>
    </row>
    <row r="367" spans="1:18" x14ac:dyDescent="0.25">
      <c r="A367" s="194" t="s">
        <v>546</v>
      </c>
      <c r="B367" s="194" t="s">
        <v>212</v>
      </c>
      <c r="C367" s="194" t="s">
        <v>213</v>
      </c>
      <c r="D367" s="194" t="s">
        <v>541</v>
      </c>
      <c r="E367" s="195">
        <v>10984366500</v>
      </c>
      <c r="F367" s="195">
        <v>10984366500</v>
      </c>
      <c r="G367" s="195">
        <v>10984366500</v>
      </c>
      <c r="H367" s="195">
        <v>0</v>
      </c>
      <c r="I367" s="195">
        <v>1671567021.6600001</v>
      </c>
      <c r="J367" s="195">
        <v>81568685</v>
      </c>
      <c r="K367" s="195">
        <v>7520840165.4799995</v>
      </c>
      <c r="L367" s="257">
        <f t="shared" si="20"/>
        <v>0.68468583650044812</v>
      </c>
      <c r="M367" s="195">
        <v>7082639858.5200005</v>
      </c>
      <c r="N367" s="257">
        <f t="shared" si="21"/>
        <v>0.64479274781299412</v>
      </c>
      <c r="O367" s="195">
        <v>1710390627.8599999</v>
      </c>
      <c r="P367" s="257">
        <f t="shared" si="22"/>
        <v>0.15571135830728153</v>
      </c>
      <c r="Q367" s="195">
        <v>1710390627.8599999</v>
      </c>
      <c r="R367" s="260">
        <f t="shared" si="23"/>
        <v>0</v>
      </c>
    </row>
    <row r="368" spans="1:18" x14ac:dyDescent="0.25">
      <c r="A368" s="194" t="s">
        <v>546</v>
      </c>
      <c r="B368" s="194" t="s">
        <v>214</v>
      </c>
      <c r="C368" s="194" t="s">
        <v>215</v>
      </c>
      <c r="D368" s="194" t="s">
        <v>541</v>
      </c>
      <c r="E368" s="195">
        <v>10972726000</v>
      </c>
      <c r="F368" s="195">
        <v>10972726000</v>
      </c>
      <c r="G368" s="195">
        <v>10972726000</v>
      </c>
      <c r="H368" s="195">
        <v>0</v>
      </c>
      <c r="I368" s="195">
        <v>1671566871.6600001</v>
      </c>
      <c r="J368" s="195">
        <v>81568685</v>
      </c>
      <c r="K368" s="195">
        <v>7515020315.4799995</v>
      </c>
      <c r="L368" s="257">
        <f t="shared" si="20"/>
        <v>0.68488179833160867</v>
      </c>
      <c r="M368" s="195">
        <v>7076820008.5200005</v>
      </c>
      <c r="N368" s="257">
        <f t="shared" si="21"/>
        <v>0.64494638875699628</v>
      </c>
      <c r="O368" s="195">
        <v>1704570127.8599999</v>
      </c>
      <c r="P368" s="257">
        <f t="shared" si="22"/>
        <v>0.15534609429416171</v>
      </c>
      <c r="Q368" s="195">
        <v>1704570127.8599999</v>
      </c>
      <c r="R368" s="260">
        <f t="shared" si="23"/>
        <v>0</v>
      </c>
    </row>
    <row r="369" spans="1:18" x14ac:dyDescent="0.25">
      <c r="A369" s="194" t="s">
        <v>546</v>
      </c>
      <c r="B369" s="194" t="s">
        <v>364</v>
      </c>
      <c r="C369" s="194" t="s">
        <v>365</v>
      </c>
      <c r="D369" s="194" t="s">
        <v>541</v>
      </c>
      <c r="E369" s="195">
        <v>11640500</v>
      </c>
      <c r="F369" s="195">
        <v>11640500</v>
      </c>
      <c r="G369" s="195">
        <v>11640500</v>
      </c>
      <c r="H369" s="195">
        <v>0</v>
      </c>
      <c r="I369" s="195">
        <v>150</v>
      </c>
      <c r="J369" s="195">
        <v>0</v>
      </c>
      <c r="K369" s="195">
        <v>5819850</v>
      </c>
      <c r="L369" s="257">
        <f t="shared" si="20"/>
        <v>0.49996563721489629</v>
      </c>
      <c r="M369" s="195">
        <v>5819850</v>
      </c>
      <c r="N369" s="257">
        <f t="shared" si="21"/>
        <v>0.49996563721489629</v>
      </c>
      <c r="O369" s="195">
        <v>5820500</v>
      </c>
      <c r="P369" s="257">
        <f t="shared" si="22"/>
        <v>0.50002147674068986</v>
      </c>
      <c r="Q369" s="195">
        <v>5820500</v>
      </c>
      <c r="R369" s="260">
        <f t="shared" si="23"/>
        <v>0</v>
      </c>
    </row>
    <row r="370" spans="1:18" x14ac:dyDescent="0.25">
      <c r="A370" s="194" t="s">
        <v>546</v>
      </c>
      <c r="B370" s="194" t="s">
        <v>216</v>
      </c>
      <c r="C370" s="194" t="s">
        <v>217</v>
      </c>
      <c r="D370" s="194" t="s">
        <v>541</v>
      </c>
      <c r="E370" s="195">
        <v>446867786</v>
      </c>
      <c r="F370" s="195">
        <v>442289969</v>
      </c>
      <c r="G370" s="195">
        <v>417864969</v>
      </c>
      <c r="H370" s="195">
        <v>19393880</v>
      </c>
      <c r="I370" s="195">
        <v>124228938.01000001</v>
      </c>
      <c r="J370" s="195">
        <v>0</v>
      </c>
      <c r="K370" s="195">
        <v>241581325</v>
      </c>
      <c r="L370" s="257">
        <f t="shared" si="20"/>
        <v>0.54620575172935926</v>
      </c>
      <c r="M370" s="195">
        <v>197284366.38</v>
      </c>
      <c r="N370" s="257">
        <f t="shared" si="21"/>
        <v>0.44605209298789228</v>
      </c>
      <c r="O370" s="195">
        <v>57085825.990000002</v>
      </c>
      <c r="P370" s="257">
        <f t="shared" si="22"/>
        <v>0.12906877838326014</v>
      </c>
      <c r="Q370" s="195">
        <v>32660825.989999998</v>
      </c>
      <c r="R370" s="260">
        <f t="shared" si="23"/>
        <v>-24425000</v>
      </c>
    </row>
    <row r="371" spans="1:18" x14ac:dyDescent="0.25">
      <c r="A371" s="194" t="s">
        <v>546</v>
      </c>
      <c r="B371" s="194" t="s">
        <v>218</v>
      </c>
      <c r="C371" s="194" t="s">
        <v>219</v>
      </c>
      <c r="D371" s="194" t="s">
        <v>541</v>
      </c>
      <c r="E371" s="195">
        <v>122902000</v>
      </c>
      <c r="F371" s="195">
        <v>122902000</v>
      </c>
      <c r="G371" s="195">
        <v>122902000</v>
      </c>
      <c r="H371" s="195">
        <v>4851000</v>
      </c>
      <c r="I371" s="195">
        <v>42786156.039999999</v>
      </c>
      <c r="J371" s="195">
        <v>0</v>
      </c>
      <c r="K371" s="195">
        <v>65857117.759999998</v>
      </c>
      <c r="L371" s="257">
        <f t="shared" si="20"/>
        <v>0.53585065954988531</v>
      </c>
      <c r="M371" s="195">
        <v>48833797.759999998</v>
      </c>
      <c r="N371" s="257">
        <f t="shared" si="21"/>
        <v>0.3973393253161055</v>
      </c>
      <c r="O371" s="195">
        <v>9407726.1999999993</v>
      </c>
      <c r="P371" s="257">
        <f t="shared" si="22"/>
        <v>7.6546567183609693E-2</v>
      </c>
      <c r="Q371" s="195">
        <v>9407726.1999999993</v>
      </c>
      <c r="R371" s="260">
        <f t="shared" si="23"/>
        <v>0</v>
      </c>
    </row>
    <row r="372" spans="1:18" x14ac:dyDescent="0.25">
      <c r="A372" s="194" t="s">
        <v>546</v>
      </c>
      <c r="B372" s="194" t="s">
        <v>336</v>
      </c>
      <c r="C372" s="194" t="s">
        <v>337</v>
      </c>
      <c r="D372" s="194" t="s">
        <v>541</v>
      </c>
      <c r="E372" s="195">
        <v>50168000</v>
      </c>
      <c r="F372" s="195">
        <v>50168000</v>
      </c>
      <c r="G372" s="195">
        <v>50168000</v>
      </c>
      <c r="H372" s="195">
        <v>0</v>
      </c>
      <c r="I372" s="195">
        <v>16377580</v>
      </c>
      <c r="J372" s="195">
        <v>0</v>
      </c>
      <c r="K372" s="195">
        <v>29126891</v>
      </c>
      <c r="L372" s="257">
        <f t="shared" si="20"/>
        <v>0.58058704752033163</v>
      </c>
      <c r="M372" s="195">
        <v>13934456</v>
      </c>
      <c r="N372" s="257">
        <f t="shared" si="21"/>
        <v>0.27775586030936056</v>
      </c>
      <c r="O372" s="195">
        <v>4663529</v>
      </c>
      <c r="P372" s="257">
        <f t="shared" si="22"/>
        <v>9.2958240312549831E-2</v>
      </c>
      <c r="Q372" s="195">
        <v>4663529</v>
      </c>
      <c r="R372" s="260">
        <f t="shared" si="23"/>
        <v>0</v>
      </c>
    </row>
    <row r="373" spans="1:18" x14ac:dyDescent="0.25">
      <c r="A373" s="194" t="s">
        <v>546</v>
      </c>
      <c r="B373" s="194" t="s">
        <v>338</v>
      </c>
      <c r="C373" s="194" t="s">
        <v>339</v>
      </c>
      <c r="D373" s="194" t="s">
        <v>541</v>
      </c>
      <c r="E373" s="195">
        <v>89195672</v>
      </c>
      <c r="F373" s="195">
        <v>89195672</v>
      </c>
      <c r="G373" s="195">
        <v>89195672</v>
      </c>
      <c r="H373" s="195">
        <v>0</v>
      </c>
      <c r="I373" s="195">
        <v>36126790</v>
      </c>
      <c r="J373" s="195">
        <v>0</v>
      </c>
      <c r="K373" s="195">
        <v>53066598</v>
      </c>
      <c r="L373" s="257">
        <f t="shared" si="20"/>
        <v>0.59494588481826782</v>
      </c>
      <c r="M373" s="195">
        <v>53066598</v>
      </c>
      <c r="N373" s="257">
        <f t="shared" si="21"/>
        <v>0.59494588481826782</v>
      </c>
      <c r="O373" s="195">
        <v>2284</v>
      </c>
      <c r="P373" s="257">
        <f t="shared" si="22"/>
        <v>2.5606623603889659E-5</v>
      </c>
      <c r="Q373" s="195">
        <v>2284</v>
      </c>
      <c r="R373" s="260">
        <f t="shared" si="23"/>
        <v>0</v>
      </c>
    </row>
    <row r="374" spans="1:18" x14ac:dyDescent="0.25">
      <c r="A374" s="194" t="s">
        <v>546</v>
      </c>
      <c r="B374" s="194" t="s">
        <v>220</v>
      </c>
      <c r="C374" s="194" t="s">
        <v>221</v>
      </c>
      <c r="D374" s="194" t="s">
        <v>541</v>
      </c>
      <c r="E374" s="195">
        <v>90316000</v>
      </c>
      <c r="F374" s="195">
        <v>90316000</v>
      </c>
      <c r="G374" s="195">
        <v>90316000</v>
      </c>
      <c r="H374" s="195">
        <v>2000000</v>
      </c>
      <c r="I374" s="195">
        <v>28565399.190000001</v>
      </c>
      <c r="J374" s="195">
        <v>0</v>
      </c>
      <c r="K374" s="195">
        <v>49657383.740000002</v>
      </c>
      <c r="L374" s="257">
        <f t="shared" si="20"/>
        <v>0.5498182353071438</v>
      </c>
      <c r="M374" s="195">
        <v>42416812.640000001</v>
      </c>
      <c r="N374" s="257">
        <f t="shared" si="21"/>
        <v>0.469648928650516</v>
      </c>
      <c r="O374" s="195">
        <v>10093217.07</v>
      </c>
      <c r="P374" s="257">
        <f t="shared" si="22"/>
        <v>0.11175447395810266</v>
      </c>
      <c r="Q374" s="195">
        <v>10093217.07</v>
      </c>
      <c r="R374" s="260">
        <f t="shared" si="23"/>
        <v>0</v>
      </c>
    </row>
    <row r="375" spans="1:18" x14ac:dyDescent="0.25">
      <c r="A375" s="194" t="s">
        <v>546</v>
      </c>
      <c r="B375" s="194" t="s">
        <v>222</v>
      </c>
      <c r="C375" s="194" t="s">
        <v>223</v>
      </c>
      <c r="D375" s="194" t="s">
        <v>541</v>
      </c>
      <c r="E375" s="195">
        <v>7059000</v>
      </c>
      <c r="F375" s="195">
        <v>2481183</v>
      </c>
      <c r="G375" s="195">
        <v>2481183</v>
      </c>
      <c r="H375" s="195">
        <v>0</v>
      </c>
      <c r="I375" s="195">
        <v>0</v>
      </c>
      <c r="J375" s="195">
        <v>0</v>
      </c>
      <c r="K375" s="195">
        <v>2327835.92</v>
      </c>
      <c r="L375" s="257">
        <f t="shared" si="20"/>
        <v>0.93819598151365702</v>
      </c>
      <c r="M375" s="195">
        <v>185000</v>
      </c>
      <c r="N375" s="257">
        <f t="shared" si="21"/>
        <v>7.4561207295068516E-2</v>
      </c>
      <c r="O375" s="195">
        <v>153347.07999999999</v>
      </c>
      <c r="P375" s="257">
        <f t="shared" si="22"/>
        <v>6.1804018486343003E-2</v>
      </c>
      <c r="Q375" s="195">
        <v>153347.07999999999</v>
      </c>
      <c r="R375" s="260">
        <f t="shared" si="23"/>
        <v>0</v>
      </c>
    </row>
    <row r="376" spans="1:18" x14ac:dyDescent="0.25">
      <c r="A376" s="194" t="s">
        <v>546</v>
      </c>
      <c r="B376" s="194" t="s">
        <v>224</v>
      </c>
      <c r="C376" s="194" t="s">
        <v>225</v>
      </c>
      <c r="D376" s="194" t="s">
        <v>541</v>
      </c>
      <c r="E376" s="195">
        <v>61279000</v>
      </c>
      <c r="F376" s="195">
        <v>61279000</v>
      </c>
      <c r="G376" s="195">
        <v>49954000</v>
      </c>
      <c r="H376" s="195">
        <v>0</v>
      </c>
      <c r="I376" s="195">
        <v>373012.78</v>
      </c>
      <c r="J376" s="195">
        <v>0</v>
      </c>
      <c r="K376" s="195">
        <v>41545498.579999998</v>
      </c>
      <c r="L376" s="257">
        <f t="shared" si="20"/>
        <v>0.67797285497478743</v>
      </c>
      <c r="M376" s="195">
        <v>38847701.979999997</v>
      </c>
      <c r="N376" s="257">
        <f t="shared" si="21"/>
        <v>0.6339480406011847</v>
      </c>
      <c r="O376" s="195">
        <v>19360488.640000001</v>
      </c>
      <c r="P376" s="257">
        <f t="shared" si="22"/>
        <v>0.31594002251994974</v>
      </c>
      <c r="Q376" s="195">
        <v>8035488.6399999997</v>
      </c>
      <c r="R376" s="260">
        <f t="shared" si="23"/>
        <v>-11325000</v>
      </c>
    </row>
    <row r="377" spans="1:18" x14ac:dyDescent="0.25">
      <c r="A377" s="194" t="s">
        <v>546</v>
      </c>
      <c r="B377" s="194" t="s">
        <v>226</v>
      </c>
      <c r="C377" s="194" t="s">
        <v>227</v>
      </c>
      <c r="D377" s="194" t="s">
        <v>541</v>
      </c>
      <c r="E377" s="195">
        <v>25948114</v>
      </c>
      <c r="F377" s="195">
        <v>25948114</v>
      </c>
      <c r="G377" s="195">
        <v>12848114</v>
      </c>
      <c r="H377" s="195">
        <v>12542880</v>
      </c>
      <c r="I377" s="195">
        <v>0</v>
      </c>
      <c r="J377" s="195">
        <v>0</v>
      </c>
      <c r="K377" s="195">
        <v>0</v>
      </c>
      <c r="L377" s="257">
        <f t="shared" si="20"/>
        <v>0</v>
      </c>
      <c r="M377" s="195">
        <v>0</v>
      </c>
      <c r="N377" s="257">
        <f t="shared" si="21"/>
        <v>0</v>
      </c>
      <c r="O377" s="195">
        <v>13405234</v>
      </c>
      <c r="P377" s="257">
        <f t="shared" si="22"/>
        <v>0.51661689169393965</v>
      </c>
      <c r="Q377" s="195">
        <v>305234</v>
      </c>
      <c r="R377" s="260">
        <f t="shared" si="23"/>
        <v>-13100000</v>
      </c>
    </row>
    <row r="378" spans="1:18" x14ac:dyDescent="0.25">
      <c r="A378" s="194" t="s">
        <v>546</v>
      </c>
      <c r="B378" s="194" t="s">
        <v>228</v>
      </c>
      <c r="C378" s="194" t="s">
        <v>229</v>
      </c>
      <c r="D378" s="194" t="s">
        <v>541</v>
      </c>
      <c r="E378" s="195">
        <v>150560000</v>
      </c>
      <c r="F378" s="195">
        <v>150560000</v>
      </c>
      <c r="G378" s="195">
        <v>148757500</v>
      </c>
      <c r="H378" s="195">
        <v>4707916.58</v>
      </c>
      <c r="I378" s="195">
        <v>14507934.02</v>
      </c>
      <c r="J378" s="195">
        <v>0</v>
      </c>
      <c r="K378" s="195">
        <v>87659541.810000002</v>
      </c>
      <c r="L378" s="257">
        <f t="shared" si="20"/>
        <v>0.58222331170297559</v>
      </c>
      <c r="M378" s="195">
        <v>86352065.510000005</v>
      </c>
      <c r="N378" s="257">
        <f t="shared" si="21"/>
        <v>0.57353922363177479</v>
      </c>
      <c r="O378" s="195">
        <v>43684607.590000004</v>
      </c>
      <c r="P378" s="257">
        <f t="shared" si="22"/>
        <v>0.2901474999335813</v>
      </c>
      <c r="Q378" s="195">
        <v>41882107.590000004</v>
      </c>
      <c r="R378" s="260">
        <f t="shared" si="23"/>
        <v>-1802500</v>
      </c>
    </row>
    <row r="379" spans="1:18" x14ac:dyDescent="0.25">
      <c r="A379" s="194" t="s">
        <v>546</v>
      </c>
      <c r="B379" s="194" t="s">
        <v>230</v>
      </c>
      <c r="C379" s="194" t="s">
        <v>231</v>
      </c>
      <c r="D379" s="194" t="s">
        <v>541</v>
      </c>
      <c r="E379" s="195">
        <v>53615000</v>
      </c>
      <c r="F379" s="195">
        <v>53615000</v>
      </c>
      <c r="G379" s="195">
        <v>51812500</v>
      </c>
      <c r="H379" s="195">
        <v>315622.59999999998</v>
      </c>
      <c r="I379" s="195">
        <v>290885</v>
      </c>
      <c r="J379" s="195">
        <v>0</v>
      </c>
      <c r="K379" s="195">
        <v>17761586</v>
      </c>
      <c r="L379" s="257">
        <f t="shared" si="20"/>
        <v>0.33128016413317168</v>
      </c>
      <c r="M379" s="195">
        <v>17761586</v>
      </c>
      <c r="N379" s="257">
        <f t="shared" si="21"/>
        <v>0.33128016413317168</v>
      </c>
      <c r="O379" s="195">
        <v>35246906.399999999</v>
      </c>
      <c r="P379" s="257">
        <f t="shared" si="22"/>
        <v>0.65740756131679567</v>
      </c>
      <c r="Q379" s="195">
        <v>33444406.399999999</v>
      </c>
      <c r="R379" s="260">
        <f t="shared" si="23"/>
        <v>-1802500</v>
      </c>
    </row>
    <row r="380" spans="1:18" x14ac:dyDescent="0.25">
      <c r="A380" s="194" t="s">
        <v>546</v>
      </c>
      <c r="B380" s="194" t="s">
        <v>232</v>
      </c>
      <c r="C380" s="194" t="s">
        <v>233</v>
      </c>
      <c r="D380" s="194" t="s">
        <v>541</v>
      </c>
      <c r="E380" s="195">
        <v>96945000</v>
      </c>
      <c r="F380" s="195">
        <v>96945000</v>
      </c>
      <c r="G380" s="195">
        <v>96945000</v>
      </c>
      <c r="H380" s="195">
        <v>4392293.9800000004</v>
      </c>
      <c r="I380" s="195">
        <v>14217049.02</v>
      </c>
      <c r="J380" s="195">
        <v>0</v>
      </c>
      <c r="K380" s="195">
        <v>69897955.810000002</v>
      </c>
      <c r="L380" s="257">
        <f t="shared" si="20"/>
        <v>0.72100630058280468</v>
      </c>
      <c r="M380" s="195">
        <v>68590479.510000005</v>
      </c>
      <c r="N380" s="257">
        <f t="shared" si="21"/>
        <v>0.7075195163236887</v>
      </c>
      <c r="O380" s="195">
        <v>8437701.1899999995</v>
      </c>
      <c r="P380" s="257">
        <f t="shared" si="22"/>
        <v>8.7035960493063072E-2</v>
      </c>
      <c r="Q380" s="195">
        <v>8437701.1899999995</v>
      </c>
      <c r="R380" s="260">
        <f t="shared" si="23"/>
        <v>0</v>
      </c>
    </row>
    <row r="381" spans="1:18" x14ac:dyDescent="0.25">
      <c r="A381" s="194" t="s">
        <v>546</v>
      </c>
      <c r="B381" s="194" t="s">
        <v>609</v>
      </c>
      <c r="C381" s="194" t="s">
        <v>610</v>
      </c>
      <c r="D381" s="194" t="s">
        <v>541</v>
      </c>
      <c r="E381" s="195">
        <v>0</v>
      </c>
      <c r="F381" s="195">
        <v>4577817</v>
      </c>
      <c r="G381" s="195">
        <v>4577817</v>
      </c>
      <c r="H381" s="195">
        <v>0</v>
      </c>
      <c r="I381" s="195">
        <v>0</v>
      </c>
      <c r="J381" s="195">
        <v>0</v>
      </c>
      <c r="K381" s="195">
        <v>0</v>
      </c>
      <c r="L381" s="257">
        <f t="shared" si="20"/>
        <v>0</v>
      </c>
      <c r="M381" s="195">
        <v>0</v>
      </c>
      <c r="N381" s="257">
        <f t="shared" si="21"/>
        <v>0</v>
      </c>
      <c r="O381" s="195">
        <v>4577817</v>
      </c>
      <c r="P381" s="257">
        <f t="shared" si="22"/>
        <v>1</v>
      </c>
      <c r="Q381" s="195">
        <v>4577817</v>
      </c>
      <c r="R381" s="260">
        <f t="shared" si="23"/>
        <v>0</v>
      </c>
    </row>
    <row r="382" spans="1:18" x14ac:dyDescent="0.25">
      <c r="A382" s="194" t="s">
        <v>546</v>
      </c>
      <c r="B382" s="194" t="s">
        <v>611</v>
      </c>
      <c r="C382" s="194" t="s">
        <v>612</v>
      </c>
      <c r="D382" s="194" t="s">
        <v>541</v>
      </c>
      <c r="E382" s="195">
        <v>0</v>
      </c>
      <c r="F382" s="195">
        <v>4577817</v>
      </c>
      <c r="G382" s="195">
        <v>4577817</v>
      </c>
      <c r="H382" s="195">
        <v>0</v>
      </c>
      <c r="I382" s="195">
        <v>0</v>
      </c>
      <c r="J382" s="195">
        <v>0</v>
      </c>
      <c r="K382" s="195">
        <v>0</v>
      </c>
      <c r="L382" s="257">
        <f t="shared" si="20"/>
        <v>0</v>
      </c>
      <c r="M382" s="195">
        <v>0</v>
      </c>
      <c r="N382" s="257">
        <f t="shared" si="21"/>
        <v>0</v>
      </c>
      <c r="O382" s="195">
        <v>4577817</v>
      </c>
      <c r="P382" s="257">
        <f t="shared" si="22"/>
        <v>1</v>
      </c>
      <c r="Q382" s="195">
        <v>4577817</v>
      </c>
      <c r="R382" s="260">
        <f t="shared" si="23"/>
        <v>0</v>
      </c>
    </row>
    <row r="383" spans="1:18" x14ac:dyDescent="0.25">
      <c r="A383" s="194" t="s">
        <v>546</v>
      </c>
      <c r="B383" s="194" t="s">
        <v>234</v>
      </c>
      <c r="C383" s="194" t="s">
        <v>601</v>
      </c>
      <c r="D383" s="194" t="s">
        <v>541</v>
      </c>
      <c r="E383" s="195">
        <v>1656349984</v>
      </c>
      <c r="F383" s="195">
        <v>1656349984</v>
      </c>
      <c r="G383" s="195">
        <v>1580996984</v>
      </c>
      <c r="H383" s="195">
        <v>103487087.62</v>
      </c>
      <c r="I383" s="195">
        <v>470425533.88999999</v>
      </c>
      <c r="J383" s="195">
        <v>74825127.5</v>
      </c>
      <c r="K383" s="195">
        <v>877425435.44000006</v>
      </c>
      <c r="L383" s="257">
        <f t="shared" si="20"/>
        <v>0.52973432180140023</v>
      </c>
      <c r="M383" s="195">
        <v>820108706.96000004</v>
      </c>
      <c r="N383" s="257">
        <f t="shared" si="21"/>
        <v>0.49513008415013821</v>
      </c>
      <c r="O383" s="195">
        <v>130186799.55</v>
      </c>
      <c r="P383" s="257">
        <f t="shared" si="22"/>
        <v>7.8598605854787756E-2</v>
      </c>
      <c r="Q383" s="195">
        <v>54833799.549999997</v>
      </c>
      <c r="R383" s="260">
        <f t="shared" si="23"/>
        <v>-75353000</v>
      </c>
    </row>
    <row r="384" spans="1:18" x14ac:dyDescent="0.25">
      <c r="A384" s="194" t="s">
        <v>546</v>
      </c>
      <c r="B384" s="194" t="s">
        <v>235</v>
      </c>
      <c r="C384" s="194" t="s">
        <v>236</v>
      </c>
      <c r="D384" s="194" t="s">
        <v>541</v>
      </c>
      <c r="E384" s="195">
        <v>34070136</v>
      </c>
      <c r="F384" s="195">
        <v>34070136</v>
      </c>
      <c r="G384" s="195">
        <v>19870136</v>
      </c>
      <c r="H384" s="195">
        <v>1102772</v>
      </c>
      <c r="I384" s="195">
        <v>8620436.8100000005</v>
      </c>
      <c r="J384" s="195">
        <v>0</v>
      </c>
      <c r="K384" s="195">
        <v>1039487</v>
      </c>
      <c r="L384" s="257">
        <f t="shared" si="20"/>
        <v>3.0510209879995785E-2</v>
      </c>
      <c r="M384" s="195">
        <v>1039487</v>
      </c>
      <c r="N384" s="257">
        <f t="shared" si="21"/>
        <v>3.0510209879995785E-2</v>
      </c>
      <c r="O384" s="195">
        <v>23307440.190000001</v>
      </c>
      <c r="P384" s="257">
        <f t="shared" si="22"/>
        <v>0.68410176554622504</v>
      </c>
      <c r="Q384" s="195">
        <v>9107440.1899999995</v>
      </c>
      <c r="R384" s="260">
        <f t="shared" si="23"/>
        <v>-14200000</v>
      </c>
    </row>
    <row r="385" spans="1:18" x14ac:dyDescent="0.25">
      <c r="A385" s="194" t="s">
        <v>546</v>
      </c>
      <c r="B385" s="194" t="s">
        <v>237</v>
      </c>
      <c r="C385" s="194" t="s">
        <v>238</v>
      </c>
      <c r="D385" s="194" t="s">
        <v>541</v>
      </c>
      <c r="E385" s="195">
        <v>65363019</v>
      </c>
      <c r="F385" s="195">
        <v>65363019</v>
      </c>
      <c r="G385" s="195">
        <v>49911019</v>
      </c>
      <c r="H385" s="195">
        <v>13716264.4</v>
      </c>
      <c r="I385" s="195">
        <v>9681992.8800000008</v>
      </c>
      <c r="J385" s="195">
        <v>0</v>
      </c>
      <c r="K385" s="195">
        <v>19112210.600000001</v>
      </c>
      <c r="L385" s="257">
        <f t="shared" si="20"/>
        <v>0.29240097676638838</v>
      </c>
      <c r="M385" s="195">
        <v>9284222.0999999996</v>
      </c>
      <c r="N385" s="257">
        <f t="shared" si="21"/>
        <v>0.14204090083415516</v>
      </c>
      <c r="O385" s="195">
        <v>22852551.120000001</v>
      </c>
      <c r="P385" s="257">
        <f t="shared" si="22"/>
        <v>0.34962508570786793</v>
      </c>
      <c r="Q385" s="195">
        <v>7400551.1200000001</v>
      </c>
      <c r="R385" s="260">
        <f t="shared" si="23"/>
        <v>-15452000</v>
      </c>
    </row>
    <row r="386" spans="1:18" x14ac:dyDescent="0.25">
      <c r="A386" s="194" t="s">
        <v>546</v>
      </c>
      <c r="B386" s="194" t="s">
        <v>239</v>
      </c>
      <c r="C386" s="194" t="s">
        <v>240</v>
      </c>
      <c r="D386" s="194" t="s">
        <v>541</v>
      </c>
      <c r="E386" s="195">
        <v>146259000</v>
      </c>
      <c r="F386" s="195">
        <v>146259000</v>
      </c>
      <c r="G386" s="195">
        <v>113759000</v>
      </c>
      <c r="H386" s="195">
        <v>14662900</v>
      </c>
      <c r="I386" s="195">
        <v>54756238.32</v>
      </c>
      <c r="J386" s="195">
        <v>9445008</v>
      </c>
      <c r="K386" s="195">
        <v>30454144.09</v>
      </c>
      <c r="L386" s="257">
        <f t="shared" si="20"/>
        <v>0.2082206502847688</v>
      </c>
      <c r="M386" s="195">
        <v>30454144.09</v>
      </c>
      <c r="N386" s="257">
        <f t="shared" si="21"/>
        <v>0.2082206502847688</v>
      </c>
      <c r="O386" s="195">
        <v>36940709.590000004</v>
      </c>
      <c r="P386" s="257">
        <f t="shared" si="22"/>
        <v>0.2525705056782831</v>
      </c>
      <c r="Q386" s="195">
        <v>4440709.59</v>
      </c>
      <c r="R386" s="260">
        <f t="shared" si="23"/>
        <v>-32500000</v>
      </c>
    </row>
    <row r="387" spans="1:18" x14ac:dyDescent="0.25">
      <c r="A387" s="194" t="s">
        <v>546</v>
      </c>
      <c r="B387" s="194" t="s">
        <v>241</v>
      </c>
      <c r="C387" s="194" t="s">
        <v>242</v>
      </c>
      <c r="D387" s="194" t="s">
        <v>541</v>
      </c>
      <c r="E387" s="195">
        <v>643150000</v>
      </c>
      <c r="F387" s="195">
        <v>643150000</v>
      </c>
      <c r="G387" s="195">
        <v>634223000</v>
      </c>
      <c r="H387" s="195">
        <v>26694100</v>
      </c>
      <c r="I387" s="195">
        <v>284752471.70999998</v>
      </c>
      <c r="J387" s="195">
        <v>8624714.75</v>
      </c>
      <c r="K387" s="195">
        <v>303963246.25</v>
      </c>
      <c r="L387" s="257">
        <f t="shared" ref="L387:L450" si="24">+K387/F387</f>
        <v>0.47261641335613774</v>
      </c>
      <c r="M387" s="195">
        <v>302825746.25</v>
      </c>
      <c r="N387" s="257">
        <f t="shared" ref="N387:N450" si="25">+M387/F387</f>
        <v>0.47084777462489308</v>
      </c>
      <c r="O387" s="195">
        <v>19115467.289999999</v>
      </c>
      <c r="P387" s="257">
        <f t="shared" ref="P387:P450" si="26">+O387/F387</f>
        <v>2.9721631485656534E-2</v>
      </c>
      <c r="Q387" s="195">
        <v>10188467.289999999</v>
      </c>
      <c r="R387" s="260">
        <f t="shared" si="23"/>
        <v>-8927000</v>
      </c>
    </row>
    <row r="388" spans="1:18" x14ac:dyDescent="0.25">
      <c r="A388" s="194" t="s">
        <v>546</v>
      </c>
      <c r="B388" s="194" t="s">
        <v>243</v>
      </c>
      <c r="C388" s="194" t="s">
        <v>244</v>
      </c>
      <c r="D388" s="194" t="s">
        <v>541</v>
      </c>
      <c r="E388" s="195">
        <v>302355000</v>
      </c>
      <c r="F388" s="195">
        <v>302355000</v>
      </c>
      <c r="G388" s="195">
        <v>302355000</v>
      </c>
      <c r="H388" s="195">
        <v>37648551.219999999</v>
      </c>
      <c r="I388" s="195">
        <v>73131303.829999998</v>
      </c>
      <c r="J388" s="195">
        <v>0</v>
      </c>
      <c r="K388" s="195">
        <v>189099511.91</v>
      </c>
      <c r="L388" s="257">
        <f t="shared" si="24"/>
        <v>0.62542214254766748</v>
      </c>
      <c r="M388" s="195">
        <v>189099511.91</v>
      </c>
      <c r="N388" s="257">
        <f t="shared" si="25"/>
        <v>0.62542214254766748</v>
      </c>
      <c r="O388" s="195">
        <v>2475633.04</v>
      </c>
      <c r="P388" s="257">
        <f t="shared" si="26"/>
        <v>8.1878356236873874E-3</v>
      </c>
      <c r="Q388" s="195">
        <v>2475633.04</v>
      </c>
      <c r="R388" s="260">
        <f t="shared" si="23"/>
        <v>0</v>
      </c>
    </row>
    <row r="389" spans="1:18" x14ac:dyDescent="0.25">
      <c r="A389" s="194" t="s">
        <v>546</v>
      </c>
      <c r="B389" s="194" t="s">
        <v>245</v>
      </c>
      <c r="C389" s="194" t="s">
        <v>246</v>
      </c>
      <c r="D389" s="194" t="s">
        <v>541</v>
      </c>
      <c r="E389" s="195">
        <v>182921000</v>
      </c>
      <c r="F389" s="195">
        <v>182921000</v>
      </c>
      <c r="G389" s="195">
        <v>180421000</v>
      </c>
      <c r="H389" s="195">
        <v>5664000</v>
      </c>
      <c r="I389" s="195">
        <v>6659809.71</v>
      </c>
      <c r="J389" s="195">
        <v>3265712.5</v>
      </c>
      <c r="K389" s="195">
        <v>157561009.05000001</v>
      </c>
      <c r="L389" s="257">
        <f t="shared" si="24"/>
        <v>0.86136096484274638</v>
      </c>
      <c r="M389" s="195">
        <v>157561009.05000001</v>
      </c>
      <c r="N389" s="257">
        <f t="shared" si="25"/>
        <v>0.86136096484274638</v>
      </c>
      <c r="O389" s="195">
        <v>9770468.7400000002</v>
      </c>
      <c r="P389" s="257">
        <f t="shared" si="26"/>
        <v>5.3413597891986159E-2</v>
      </c>
      <c r="Q389" s="195">
        <v>7270468.7400000002</v>
      </c>
      <c r="R389" s="260">
        <f t="shared" ref="R389:R452" si="27">G389-F389</f>
        <v>-2500000</v>
      </c>
    </row>
    <row r="390" spans="1:18" x14ac:dyDescent="0.25">
      <c r="A390" s="194" t="s">
        <v>546</v>
      </c>
      <c r="B390" s="194" t="s">
        <v>247</v>
      </c>
      <c r="C390" s="194" t="s">
        <v>248</v>
      </c>
      <c r="D390" s="194" t="s">
        <v>541</v>
      </c>
      <c r="E390" s="195">
        <v>92727347</v>
      </c>
      <c r="F390" s="195">
        <v>92727347</v>
      </c>
      <c r="G390" s="195">
        <v>92727347</v>
      </c>
      <c r="H390" s="195">
        <v>0</v>
      </c>
      <c r="I390" s="195">
        <v>11179416.859999999</v>
      </c>
      <c r="J390" s="195">
        <v>53489692.25</v>
      </c>
      <c r="K390" s="195">
        <v>27068478.489999998</v>
      </c>
      <c r="L390" s="257">
        <f t="shared" si="24"/>
        <v>0.29191473028986797</v>
      </c>
      <c r="M390" s="195">
        <v>16868478.489999998</v>
      </c>
      <c r="N390" s="257">
        <f t="shared" si="25"/>
        <v>0.18191481839764054</v>
      </c>
      <c r="O390" s="195">
        <v>989759.4</v>
      </c>
      <c r="P390" s="257">
        <f t="shared" si="26"/>
        <v>1.0673867332794499E-2</v>
      </c>
      <c r="Q390" s="195">
        <v>989759.4</v>
      </c>
      <c r="R390" s="260">
        <f t="shared" si="27"/>
        <v>0</v>
      </c>
    </row>
    <row r="391" spans="1:18" x14ac:dyDescent="0.25">
      <c r="A391" s="194" t="s">
        <v>546</v>
      </c>
      <c r="B391" s="194" t="s">
        <v>249</v>
      </c>
      <c r="C391" s="194" t="s">
        <v>250</v>
      </c>
      <c r="D391" s="194" t="s">
        <v>541</v>
      </c>
      <c r="E391" s="195">
        <v>189504482</v>
      </c>
      <c r="F391" s="195">
        <v>189504482</v>
      </c>
      <c r="G391" s="195">
        <v>187730482</v>
      </c>
      <c r="H391" s="195">
        <v>3998500</v>
      </c>
      <c r="I391" s="195">
        <v>21643863.77</v>
      </c>
      <c r="J391" s="195">
        <v>0</v>
      </c>
      <c r="K391" s="195">
        <v>149127348.05000001</v>
      </c>
      <c r="L391" s="257">
        <f t="shared" si="24"/>
        <v>0.78693309243208298</v>
      </c>
      <c r="M391" s="195">
        <v>112976108.06999999</v>
      </c>
      <c r="N391" s="257">
        <f t="shared" si="25"/>
        <v>0.59616588946956939</v>
      </c>
      <c r="O391" s="195">
        <v>14734770.18</v>
      </c>
      <c r="P391" s="257">
        <f t="shared" si="26"/>
        <v>7.7754204145947317E-2</v>
      </c>
      <c r="Q391" s="195">
        <v>12960770.18</v>
      </c>
      <c r="R391" s="260">
        <f t="shared" si="27"/>
        <v>-1774000</v>
      </c>
    </row>
    <row r="392" spans="1:18" x14ac:dyDescent="0.25">
      <c r="A392" s="194" t="s">
        <v>546</v>
      </c>
      <c r="B392" s="194" t="s">
        <v>279</v>
      </c>
      <c r="C392" s="194" t="s">
        <v>280</v>
      </c>
      <c r="D392" s="194" t="s">
        <v>541</v>
      </c>
      <c r="E392" s="195">
        <v>883769579</v>
      </c>
      <c r="F392" s="195">
        <v>2869779259</v>
      </c>
      <c r="G392" s="195">
        <v>1830781706</v>
      </c>
      <c r="H392" s="195">
        <v>64155452.640000001</v>
      </c>
      <c r="I392" s="195">
        <v>385726978.13</v>
      </c>
      <c r="J392" s="195">
        <v>448800</v>
      </c>
      <c r="K392" s="195">
        <v>965763640.41999996</v>
      </c>
      <c r="L392" s="257">
        <f t="shared" si="24"/>
        <v>0.33652889412704473</v>
      </c>
      <c r="M392" s="195">
        <v>883443706.65999997</v>
      </c>
      <c r="N392" s="257">
        <f t="shared" si="25"/>
        <v>0.30784378411315294</v>
      </c>
      <c r="O392" s="195">
        <v>1453684387.8099999</v>
      </c>
      <c r="P392" s="257">
        <f t="shared" si="26"/>
        <v>0.50654919999545511</v>
      </c>
      <c r="Q392" s="195">
        <v>414686834.81</v>
      </c>
      <c r="R392" s="260">
        <f t="shared" si="27"/>
        <v>-1038997553</v>
      </c>
    </row>
    <row r="393" spans="1:18" x14ac:dyDescent="0.25">
      <c r="A393" s="194" t="s">
        <v>546</v>
      </c>
      <c r="B393" s="194" t="s">
        <v>281</v>
      </c>
      <c r="C393" s="194" t="s">
        <v>282</v>
      </c>
      <c r="D393" s="194" t="s">
        <v>541</v>
      </c>
      <c r="E393" s="195">
        <v>667187579</v>
      </c>
      <c r="F393" s="195">
        <v>667187579</v>
      </c>
      <c r="G393" s="195">
        <v>646404248</v>
      </c>
      <c r="H393" s="195">
        <v>64155452.640000001</v>
      </c>
      <c r="I393" s="195">
        <v>207621842.74000001</v>
      </c>
      <c r="J393" s="195">
        <v>0</v>
      </c>
      <c r="K393" s="195">
        <v>301466971.04000002</v>
      </c>
      <c r="L393" s="257">
        <f t="shared" si="24"/>
        <v>0.45184739723699208</v>
      </c>
      <c r="M393" s="195">
        <v>219826092.28</v>
      </c>
      <c r="N393" s="257">
        <f t="shared" si="25"/>
        <v>0.32948169180469711</v>
      </c>
      <c r="O393" s="195">
        <v>93943312.579999998</v>
      </c>
      <c r="P393" s="257">
        <f t="shared" si="26"/>
        <v>0.1408049483187396</v>
      </c>
      <c r="Q393" s="195">
        <v>73159981.579999998</v>
      </c>
      <c r="R393" s="260">
        <f t="shared" si="27"/>
        <v>-20783331</v>
      </c>
    </row>
    <row r="394" spans="1:18" x14ac:dyDescent="0.25">
      <c r="A394" s="194" t="s">
        <v>546</v>
      </c>
      <c r="B394" s="194" t="s">
        <v>283</v>
      </c>
      <c r="C394" s="194" t="s">
        <v>284</v>
      </c>
      <c r="D394" s="194" t="s">
        <v>543</v>
      </c>
      <c r="E394" s="195">
        <v>33062000</v>
      </c>
      <c r="F394" s="195">
        <v>19951724</v>
      </c>
      <c r="G394" s="195">
        <v>10198794</v>
      </c>
      <c r="H394" s="195">
        <v>0</v>
      </c>
      <c r="I394" s="195">
        <v>0</v>
      </c>
      <c r="J394" s="195">
        <v>0</v>
      </c>
      <c r="K394" s="195">
        <v>6551172.9400000004</v>
      </c>
      <c r="L394" s="257">
        <f t="shared" si="24"/>
        <v>0.32835122117767868</v>
      </c>
      <c r="M394" s="195">
        <v>3403720</v>
      </c>
      <c r="N394" s="257">
        <f t="shared" si="25"/>
        <v>0.1705977889429505</v>
      </c>
      <c r="O394" s="195">
        <v>13400551.060000001</v>
      </c>
      <c r="P394" s="257">
        <f t="shared" si="26"/>
        <v>0.67164877882232132</v>
      </c>
      <c r="Q394" s="195">
        <v>3647621.06</v>
      </c>
      <c r="R394" s="260">
        <f t="shared" si="27"/>
        <v>-9752930</v>
      </c>
    </row>
    <row r="395" spans="1:18" x14ac:dyDescent="0.25">
      <c r="A395" s="194" t="s">
        <v>546</v>
      </c>
      <c r="B395" s="194" t="s">
        <v>398</v>
      </c>
      <c r="C395" s="194" t="s">
        <v>501</v>
      </c>
      <c r="D395" s="194" t="s">
        <v>543</v>
      </c>
      <c r="E395" s="195">
        <v>72100000</v>
      </c>
      <c r="F395" s="195">
        <v>72100000</v>
      </c>
      <c r="G395" s="195">
        <v>71925000</v>
      </c>
      <c r="H395" s="195">
        <v>53968532.640000001</v>
      </c>
      <c r="I395" s="195">
        <v>815400</v>
      </c>
      <c r="J395" s="195">
        <v>0</v>
      </c>
      <c r="K395" s="195">
        <v>16883370</v>
      </c>
      <c r="L395" s="257">
        <f t="shared" si="24"/>
        <v>0.23416601941747572</v>
      </c>
      <c r="M395" s="195">
        <v>16883370</v>
      </c>
      <c r="N395" s="257">
        <f t="shared" si="25"/>
        <v>0.23416601941747572</v>
      </c>
      <c r="O395" s="195">
        <v>432697.36</v>
      </c>
      <c r="P395" s="257">
        <f t="shared" si="26"/>
        <v>6.0013503467406379E-3</v>
      </c>
      <c r="Q395" s="195">
        <v>257697.36</v>
      </c>
      <c r="R395" s="260">
        <f t="shared" si="27"/>
        <v>-175000</v>
      </c>
    </row>
    <row r="396" spans="1:18" x14ac:dyDescent="0.25">
      <c r="A396" s="194" t="s">
        <v>546</v>
      </c>
      <c r="B396" s="194" t="s">
        <v>285</v>
      </c>
      <c r="C396" s="194" t="s">
        <v>286</v>
      </c>
      <c r="D396" s="194" t="s">
        <v>541</v>
      </c>
      <c r="E396" s="195">
        <v>0</v>
      </c>
      <c r="F396" s="195">
        <v>0</v>
      </c>
      <c r="G396" s="195">
        <v>0</v>
      </c>
      <c r="H396" s="195">
        <v>0</v>
      </c>
      <c r="I396" s="195">
        <v>0</v>
      </c>
      <c r="J396" s="195">
        <v>0</v>
      </c>
      <c r="K396" s="195">
        <v>0</v>
      </c>
      <c r="L396" s="257" t="e">
        <f t="shared" si="24"/>
        <v>#DIV/0!</v>
      </c>
      <c r="M396" s="195">
        <v>0</v>
      </c>
      <c r="N396" s="257" t="e">
        <f t="shared" si="25"/>
        <v>#DIV/0!</v>
      </c>
      <c r="O396" s="195">
        <v>0</v>
      </c>
      <c r="P396" s="257" t="e">
        <f t="shared" si="26"/>
        <v>#DIV/0!</v>
      </c>
      <c r="Q396" s="195">
        <v>0</v>
      </c>
      <c r="R396" s="260">
        <f t="shared" si="27"/>
        <v>0</v>
      </c>
    </row>
    <row r="397" spans="1:18" x14ac:dyDescent="0.25">
      <c r="A397" s="194" t="s">
        <v>546</v>
      </c>
      <c r="B397" s="194" t="s">
        <v>285</v>
      </c>
      <c r="C397" s="194" t="s">
        <v>286</v>
      </c>
      <c r="D397" s="194" t="s">
        <v>543</v>
      </c>
      <c r="E397" s="195">
        <v>147248000</v>
      </c>
      <c r="F397" s="195">
        <v>141523000</v>
      </c>
      <c r="G397" s="195">
        <v>131022659</v>
      </c>
      <c r="H397" s="195">
        <v>0</v>
      </c>
      <c r="I397" s="195">
        <v>33474600</v>
      </c>
      <c r="J397" s="195">
        <v>0</v>
      </c>
      <c r="K397" s="195">
        <v>80817505.359999999</v>
      </c>
      <c r="L397" s="257">
        <f t="shared" si="24"/>
        <v>0.57105562601131976</v>
      </c>
      <c r="M397" s="195">
        <v>8291005</v>
      </c>
      <c r="N397" s="257">
        <f t="shared" si="25"/>
        <v>5.8584152399256656E-2</v>
      </c>
      <c r="O397" s="195">
        <v>27230894.640000001</v>
      </c>
      <c r="P397" s="257">
        <f t="shared" si="26"/>
        <v>0.19241320944298806</v>
      </c>
      <c r="Q397" s="195">
        <v>16730553.640000001</v>
      </c>
      <c r="R397" s="260">
        <f t="shared" si="27"/>
        <v>-10500341</v>
      </c>
    </row>
    <row r="398" spans="1:18" x14ac:dyDescent="0.25">
      <c r="A398" s="194" t="s">
        <v>546</v>
      </c>
      <c r="B398" s="194" t="s">
        <v>287</v>
      </c>
      <c r="C398" s="194" t="s">
        <v>288</v>
      </c>
      <c r="D398" s="194" t="s">
        <v>541</v>
      </c>
      <c r="E398" s="195">
        <v>0</v>
      </c>
      <c r="F398" s="195">
        <v>0</v>
      </c>
      <c r="G398" s="195">
        <v>0</v>
      </c>
      <c r="H398" s="195">
        <v>0</v>
      </c>
      <c r="I398" s="195">
        <v>0</v>
      </c>
      <c r="J398" s="195">
        <v>0</v>
      </c>
      <c r="K398" s="195">
        <v>0</v>
      </c>
      <c r="L398" s="257" t="e">
        <f t="shared" si="24"/>
        <v>#DIV/0!</v>
      </c>
      <c r="M398" s="195">
        <v>0</v>
      </c>
      <c r="N398" s="257" t="e">
        <f t="shared" si="25"/>
        <v>#DIV/0!</v>
      </c>
      <c r="O398" s="195">
        <v>0</v>
      </c>
      <c r="P398" s="257" t="e">
        <f t="shared" si="26"/>
        <v>#DIV/0!</v>
      </c>
      <c r="Q398" s="195">
        <v>0</v>
      </c>
      <c r="R398" s="260">
        <f t="shared" si="27"/>
        <v>0</v>
      </c>
    </row>
    <row r="399" spans="1:18" x14ac:dyDescent="0.25">
      <c r="A399" s="194" t="s">
        <v>546</v>
      </c>
      <c r="B399" s="194" t="s">
        <v>287</v>
      </c>
      <c r="C399" s="194" t="s">
        <v>288</v>
      </c>
      <c r="D399" s="194" t="s">
        <v>543</v>
      </c>
      <c r="E399" s="195">
        <v>69415579</v>
      </c>
      <c r="F399" s="195">
        <v>88250855</v>
      </c>
      <c r="G399" s="195">
        <v>88250855</v>
      </c>
      <c r="H399" s="195">
        <v>7801920</v>
      </c>
      <c r="I399" s="195">
        <v>39155250</v>
      </c>
      <c r="J399" s="195">
        <v>0</v>
      </c>
      <c r="K399" s="195">
        <v>39072562.829999998</v>
      </c>
      <c r="L399" s="257">
        <f t="shared" si="24"/>
        <v>0.44274429783144875</v>
      </c>
      <c r="M399" s="195">
        <v>38575637.369999997</v>
      </c>
      <c r="N399" s="257">
        <f t="shared" si="25"/>
        <v>0.43711346898565456</v>
      </c>
      <c r="O399" s="195">
        <v>2221122.17</v>
      </c>
      <c r="P399" s="257">
        <f t="shared" si="26"/>
        <v>2.5168279332817796E-2</v>
      </c>
      <c r="Q399" s="195">
        <v>2221122.17</v>
      </c>
      <c r="R399" s="260">
        <f t="shared" si="27"/>
        <v>0</v>
      </c>
    </row>
    <row r="400" spans="1:18" x14ac:dyDescent="0.25">
      <c r="A400" s="194" t="s">
        <v>546</v>
      </c>
      <c r="B400" s="194" t="s">
        <v>289</v>
      </c>
      <c r="C400" s="194" t="s">
        <v>290</v>
      </c>
      <c r="D400" s="194" t="s">
        <v>543</v>
      </c>
      <c r="E400" s="195">
        <v>21137000</v>
      </c>
      <c r="F400" s="195">
        <v>21137000</v>
      </c>
      <c r="G400" s="195">
        <v>21137000</v>
      </c>
      <c r="H400" s="195">
        <v>0</v>
      </c>
      <c r="I400" s="195">
        <v>5279595.8600000003</v>
      </c>
      <c r="J400" s="195">
        <v>0</v>
      </c>
      <c r="K400" s="195">
        <v>13982594.789999999</v>
      </c>
      <c r="L400" s="257">
        <f t="shared" si="24"/>
        <v>0.6615222022992856</v>
      </c>
      <c r="M400" s="195">
        <v>13982594.789999999</v>
      </c>
      <c r="N400" s="257">
        <f t="shared" si="25"/>
        <v>0.6615222022992856</v>
      </c>
      <c r="O400" s="195">
        <v>1874809.35</v>
      </c>
      <c r="P400" s="257">
        <f t="shared" si="26"/>
        <v>8.8697986942328624E-2</v>
      </c>
      <c r="Q400" s="195">
        <v>1874809.35</v>
      </c>
      <c r="R400" s="260">
        <f t="shared" si="27"/>
        <v>0</v>
      </c>
    </row>
    <row r="401" spans="1:18" x14ac:dyDescent="0.25">
      <c r="A401" s="194" t="s">
        <v>546</v>
      </c>
      <c r="B401" s="194" t="s">
        <v>291</v>
      </c>
      <c r="C401" s="194" t="s">
        <v>292</v>
      </c>
      <c r="D401" s="194" t="s">
        <v>543</v>
      </c>
      <c r="E401" s="195">
        <v>29458000</v>
      </c>
      <c r="F401" s="195">
        <v>29458000</v>
      </c>
      <c r="G401" s="195">
        <v>29448040</v>
      </c>
      <c r="H401" s="195">
        <v>0</v>
      </c>
      <c r="I401" s="195">
        <v>3126074.23</v>
      </c>
      <c r="J401" s="195">
        <v>0</v>
      </c>
      <c r="K401" s="195">
        <v>25143123.059999999</v>
      </c>
      <c r="L401" s="257">
        <f t="shared" si="24"/>
        <v>0.85352444361463775</v>
      </c>
      <c r="M401" s="195">
        <v>25143123.059999999</v>
      </c>
      <c r="N401" s="257">
        <f t="shared" si="25"/>
        <v>0.85352444361463775</v>
      </c>
      <c r="O401" s="195">
        <v>1188802.71</v>
      </c>
      <c r="P401" s="257">
        <f t="shared" si="26"/>
        <v>4.0355852739493513E-2</v>
      </c>
      <c r="Q401" s="195">
        <v>1178842.71</v>
      </c>
      <c r="R401" s="260">
        <f t="shared" si="27"/>
        <v>-9960</v>
      </c>
    </row>
    <row r="402" spans="1:18" x14ac:dyDescent="0.25">
      <c r="A402" s="194" t="s">
        <v>546</v>
      </c>
      <c r="B402" s="194" t="s">
        <v>293</v>
      </c>
      <c r="C402" s="194" t="s">
        <v>294</v>
      </c>
      <c r="D402" s="194" t="s">
        <v>543</v>
      </c>
      <c r="E402" s="195">
        <v>5405000</v>
      </c>
      <c r="F402" s="195">
        <v>5405000</v>
      </c>
      <c r="G402" s="195">
        <v>5379700</v>
      </c>
      <c r="H402" s="195">
        <v>0</v>
      </c>
      <c r="I402" s="195">
        <v>0</v>
      </c>
      <c r="J402" s="195">
        <v>0</v>
      </c>
      <c r="K402" s="195">
        <v>5356450</v>
      </c>
      <c r="L402" s="257">
        <f t="shared" si="24"/>
        <v>0.99101757631822385</v>
      </c>
      <c r="M402" s="195">
        <v>3981450</v>
      </c>
      <c r="N402" s="257">
        <f t="shared" si="25"/>
        <v>0.73662349676225714</v>
      </c>
      <c r="O402" s="195">
        <v>48550</v>
      </c>
      <c r="P402" s="257">
        <f t="shared" si="26"/>
        <v>8.9824236817761336E-3</v>
      </c>
      <c r="Q402" s="195">
        <v>23250</v>
      </c>
      <c r="R402" s="260">
        <f t="shared" si="27"/>
        <v>-25300</v>
      </c>
    </row>
    <row r="403" spans="1:18" x14ac:dyDescent="0.25">
      <c r="A403" s="194" t="s">
        <v>546</v>
      </c>
      <c r="B403" s="194" t="s">
        <v>295</v>
      </c>
      <c r="C403" s="194" t="s">
        <v>296</v>
      </c>
      <c r="D403" s="194" t="s">
        <v>543</v>
      </c>
      <c r="E403" s="195">
        <v>289362000</v>
      </c>
      <c r="F403" s="195">
        <v>289362000</v>
      </c>
      <c r="G403" s="195">
        <v>289042200</v>
      </c>
      <c r="H403" s="195">
        <v>2385000</v>
      </c>
      <c r="I403" s="195">
        <v>125770922.65000001</v>
      </c>
      <c r="J403" s="195">
        <v>0</v>
      </c>
      <c r="K403" s="195">
        <v>113660192.06</v>
      </c>
      <c r="L403" s="257">
        <f t="shared" si="24"/>
        <v>0.39279584762339215</v>
      </c>
      <c r="M403" s="195">
        <v>109565192.06</v>
      </c>
      <c r="N403" s="257">
        <f t="shared" si="25"/>
        <v>0.37864402395615182</v>
      </c>
      <c r="O403" s="195">
        <v>47545885.289999999</v>
      </c>
      <c r="P403" s="257">
        <f t="shared" si="26"/>
        <v>0.16431281678312978</v>
      </c>
      <c r="Q403" s="195">
        <v>47226085.289999999</v>
      </c>
      <c r="R403" s="260">
        <f t="shared" si="27"/>
        <v>-319800</v>
      </c>
    </row>
    <row r="404" spans="1:18" x14ac:dyDescent="0.25">
      <c r="A404" s="194" t="s">
        <v>546</v>
      </c>
      <c r="B404" s="194" t="s">
        <v>297</v>
      </c>
      <c r="C404" s="194" t="s">
        <v>298</v>
      </c>
      <c r="D404" s="194" t="s">
        <v>543</v>
      </c>
      <c r="E404" s="195">
        <v>8088000</v>
      </c>
      <c r="F404" s="195">
        <v>1754053148</v>
      </c>
      <c r="G404" s="195">
        <v>735838926</v>
      </c>
      <c r="H404" s="195">
        <v>0</v>
      </c>
      <c r="I404" s="195">
        <v>1537555.78</v>
      </c>
      <c r="J404" s="195">
        <v>0</v>
      </c>
      <c r="K404" s="195">
        <v>658569745.77999997</v>
      </c>
      <c r="L404" s="257">
        <f t="shared" si="24"/>
        <v>0.37545598121180762</v>
      </c>
      <c r="M404" s="195">
        <v>657890690.77999997</v>
      </c>
      <c r="N404" s="257">
        <f t="shared" si="25"/>
        <v>0.3750688464201542</v>
      </c>
      <c r="O404" s="195">
        <v>1093945846.4400001</v>
      </c>
      <c r="P404" s="257">
        <f t="shared" si="26"/>
        <v>0.62366744570273425</v>
      </c>
      <c r="Q404" s="195">
        <v>75731624.439999998</v>
      </c>
      <c r="R404" s="260">
        <f t="shared" si="27"/>
        <v>-1018214222</v>
      </c>
    </row>
    <row r="405" spans="1:18" x14ac:dyDescent="0.25">
      <c r="A405" s="194" t="s">
        <v>546</v>
      </c>
      <c r="B405" s="194" t="s">
        <v>299</v>
      </c>
      <c r="C405" s="194" t="s">
        <v>300</v>
      </c>
      <c r="D405" s="194" t="s">
        <v>543</v>
      </c>
      <c r="E405" s="195">
        <v>0</v>
      </c>
      <c r="F405" s="195">
        <v>1745965148</v>
      </c>
      <c r="G405" s="195">
        <v>727750926</v>
      </c>
      <c r="H405" s="195">
        <v>0</v>
      </c>
      <c r="I405" s="195">
        <v>858500.78</v>
      </c>
      <c r="J405" s="195">
        <v>0</v>
      </c>
      <c r="K405" s="195">
        <v>651794361.77999997</v>
      </c>
      <c r="L405" s="257">
        <f t="shared" si="24"/>
        <v>0.37331464635856521</v>
      </c>
      <c r="M405" s="195">
        <v>651794361.77999997</v>
      </c>
      <c r="N405" s="257">
        <f t="shared" si="25"/>
        <v>0.37331464635856521</v>
      </c>
      <c r="O405" s="195">
        <v>1093312285.4400001</v>
      </c>
      <c r="P405" s="257">
        <f t="shared" si="26"/>
        <v>0.62619364807618716</v>
      </c>
      <c r="Q405" s="195">
        <v>75098063.439999998</v>
      </c>
      <c r="R405" s="260">
        <f t="shared" si="27"/>
        <v>-1018214222</v>
      </c>
    </row>
    <row r="406" spans="1:18" x14ac:dyDescent="0.25">
      <c r="A406" s="194" t="s">
        <v>546</v>
      </c>
      <c r="B406" s="194" t="s">
        <v>366</v>
      </c>
      <c r="C406" s="194" t="s">
        <v>367</v>
      </c>
      <c r="D406" s="194" t="s">
        <v>543</v>
      </c>
      <c r="E406" s="195">
        <v>8088000</v>
      </c>
      <c r="F406" s="195">
        <v>8088000</v>
      </c>
      <c r="G406" s="195">
        <v>8088000</v>
      </c>
      <c r="H406" s="195">
        <v>0</v>
      </c>
      <c r="I406" s="195">
        <v>679055</v>
      </c>
      <c r="J406" s="195">
        <v>0</v>
      </c>
      <c r="K406" s="195">
        <v>6775384</v>
      </c>
      <c r="L406" s="257">
        <f t="shared" si="24"/>
        <v>0.8377082096933729</v>
      </c>
      <c r="M406" s="195">
        <v>6096329</v>
      </c>
      <c r="N406" s="257">
        <f t="shared" si="25"/>
        <v>0.75374987636003954</v>
      </c>
      <c r="O406" s="195">
        <v>633561</v>
      </c>
      <c r="P406" s="257">
        <f t="shared" si="26"/>
        <v>7.8333456973293775E-2</v>
      </c>
      <c r="Q406" s="195">
        <v>633561</v>
      </c>
      <c r="R406" s="260">
        <f t="shared" si="27"/>
        <v>0</v>
      </c>
    </row>
    <row r="407" spans="1:18" x14ac:dyDescent="0.25">
      <c r="A407" s="194" t="s">
        <v>546</v>
      </c>
      <c r="B407" s="194" t="s">
        <v>340</v>
      </c>
      <c r="C407" s="194" t="s">
        <v>341</v>
      </c>
      <c r="D407" s="194" t="s">
        <v>541</v>
      </c>
      <c r="E407" s="195">
        <v>208494000</v>
      </c>
      <c r="F407" s="195">
        <v>448538532</v>
      </c>
      <c r="G407" s="195">
        <v>448538532</v>
      </c>
      <c r="H407" s="195">
        <v>0</v>
      </c>
      <c r="I407" s="195">
        <v>176567579.61000001</v>
      </c>
      <c r="J407" s="195">
        <v>448800</v>
      </c>
      <c r="K407" s="195">
        <v>5726923.5999999996</v>
      </c>
      <c r="L407" s="257">
        <f t="shared" si="24"/>
        <v>1.2767963489031973E-2</v>
      </c>
      <c r="M407" s="195">
        <v>5726923.5999999996</v>
      </c>
      <c r="N407" s="257">
        <f t="shared" si="25"/>
        <v>1.2767963489031973E-2</v>
      </c>
      <c r="O407" s="195">
        <v>265795228.78999999</v>
      </c>
      <c r="P407" s="257">
        <f t="shared" si="26"/>
        <v>0.59258059191668289</v>
      </c>
      <c r="Q407" s="195">
        <v>265795228.78999999</v>
      </c>
      <c r="R407" s="260">
        <f t="shared" si="27"/>
        <v>0</v>
      </c>
    </row>
    <row r="408" spans="1:18" x14ac:dyDescent="0.25">
      <c r="A408" s="194" t="s">
        <v>546</v>
      </c>
      <c r="B408" s="194" t="s">
        <v>342</v>
      </c>
      <c r="C408" s="194" t="s">
        <v>343</v>
      </c>
      <c r="D408" s="194" t="s">
        <v>541</v>
      </c>
      <c r="E408" s="195">
        <v>0</v>
      </c>
      <c r="F408" s="195">
        <v>240044532</v>
      </c>
      <c r="G408" s="195">
        <v>240044532</v>
      </c>
      <c r="H408" s="195">
        <v>0</v>
      </c>
      <c r="I408" s="195">
        <v>0</v>
      </c>
      <c r="J408" s="195">
        <v>0</v>
      </c>
      <c r="K408" s="195">
        <v>0</v>
      </c>
      <c r="L408" s="257">
        <f t="shared" si="24"/>
        <v>0</v>
      </c>
      <c r="M408" s="195">
        <v>0</v>
      </c>
      <c r="N408" s="257">
        <f t="shared" si="25"/>
        <v>0</v>
      </c>
      <c r="O408" s="195">
        <v>240044532</v>
      </c>
      <c r="P408" s="257">
        <f t="shared" si="26"/>
        <v>1</v>
      </c>
      <c r="Q408" s="195">
        <v>240044532</v>
      </c>
      <c r="R408" s="260">
        <f t="shared" si="27"/>
        <v>0</v>
      </c>
    </row>
    <row r="409" spans="1:18" x14ac:dyDescent="0.25">
      <c r="A409" s="194" t="s">
        <v>546</v>
      </c>
      <c r="B409" s="194" t="s">
        <v>342</v>
      </c>
      <c r="C409" s="194" t="s">
        <v>343</v>
      </c>
      <c r="D409" s="194" t="s">
        <v>543</v>
      </c>
      <c r="E409" s="195">
        <v>208494000</v>
      </c>
      <c r="F409" s="195">
        <v>208494000</v>
      </c>
      <c r="G409" s="195">
        <v>208494000</v>
      </c>
      <c r="H409" s="195">
        <v>0</v>
      </c>
      <c r="I409" s="195">
        <v>176567579.61000001</v>
      </c>
      <c r="J409" s="195">
        <v>448800</v>
      </c>
      <c r="K409" s="195">
        <v>5726923.5999999996</v>
      </c>
      <c r="L409" s="257">
        <f t="shared" si="24"/>
        <v>2.7468049919901771E-2</v>
      </c>
      <c r="M409" s="195">
        <v>5726923.5999999996</v>
      </c>
      <c r="N409" s="257">
        <f t="shared" si="25"/>
        <v>2.7468049919901771E-2</v>
      </c>
      <c r="O409" s="195">
        <v>25750696.789999999</v>
      </c>
      <c r="P409" s="257">
        <f t="shared" si="26"/>
        <v>0.12350809514902107</v>
      </c>
      <c r="Q409" s="195">
        <v>25750696.789999999</v>
      </c>
      <c r="R409" s="260">
        <f t="shared" si="27"/>
        <v>0</v>
      </c>
    </row>
    <row r="410" spans="1:18" x14ac:dyDescent="0.25">
      <c r="A410" s="194" t="s">
        <v>546</v>
      </c>
      <c r="B410" s="194" t="s">
        <v>251</v>
      </c>
      <c r="C410" s="194" t="s">
        <v>252</v>
      </c>
      <c r="D410" s="194" t="s">
        <v>541</v>
      </c>
      <c r="E410" s="195">
        <v>11597046000</v>
      </c>
      <c r="F410" s="195">
        <v>11597046000</v>
      </c>
      <c r="G410" s="195">
        <v>11532505208</v>
      </c>
      <c r="H410" s="195">
        <v>0</v>
      </c>
      <c r="I410" s="195">
        <v>2085191595.03</v>
      </c>
      <c r="J410" s="195">
        <v>0</v>
      </c>
      <c r="K410" s="195">
        <v>9374859844.1700001</v>
      </c>
      <c r="L410" s="257">
        <f t="shared" si="24"/>
        <v>0.80838343179547623</v>
      </c>
      <c r="M410" s="195">
        <v>9329859844.1700001</v>
      </c>
      <c r="N410" s="257">
        <f t="shared" si="25"/>
        <v>0.8045031333125694</v>
      </c>
      <c r="O410" s="195">
        <v>136994560.80000001</v>
      </c>
      <c r="P410" s="257">
        <f t="shared" si="26"/>
        <v>1.1812884143082644E-2</v>
      </c>
      <c r="Q410" s="195">
        <v>72453768.799999997</v>
      </c>
      <c r="R410" s="260">
        <f t="shared" si="27"/>
        <v>-64540792</v>
      </c>
    </row>
    <row r="411" spans="1:18" x14ac:dyDescent="0.25">
      <c r="A411" s="194" t="s">
        <v>546</v>
      </c>
      <c r="B411" s="194" t="s">
        <v>253</v>
      </c>
      <c r="C411" s="194" t="s">
        <v>254</v>
      </c>
      <c r="D411" s="194" t="s">
        <v>541</v>
      </c>
      <c r="E411" s="195">
        <v>9955805000</v>
      </c>
      <c r="F411" s="195">
        <v>9915805000</v>
      </c>
      <c r="G411" s="195">
        <v>9871264208</v>
      </c>
      <c r="H411" s="195">
        <v>0</v>
      </c>
      <c r="I411" s="195">
        <v>1997477013.8900001</v>
      </c>
      <c r="J411" s="195">
        <v>0</v>
      </c>
      <c r="K411" s="195">
        <v>7873787194.1099997</v>
      </c>
      <c r="L411" s="257">
        <f t="shared" si="24"/>
        <v>0.79406434415662663</v>
      </c>
      <c r="M411" s="195">
        <v>7873787194.1099997</v>
      </c>
      <c r="N411" s="257">
        <f t="shared" si="25"/>
        <v>0.79406434415662663</v>
      </c>
      <c r="O411" s="195">
        <v>44540792</v>
      </c>
      <c r="P411" s="257">
        <f t="shared" si="26"/>
        <v>4.4918987414536695E-3</v>
      </c>
      <c r="Q411" s="195">
        <v>0</v>
      </c>
      <c r="R411" s="260">
        <f t="shared" si="27"/>
        <v>-44540792</v>
      </c>
    </row>
    <row r="412" spans="1:18" x14ac:dyDescent="0.25">
      <c r="A412" s="194" t="s">
        <v>546</v>
      </c>
      <c r="B412" s="194" t="s">
        <v>368</v>
      </c>
      <c r="C412" s="194" t="s">
        <v>369</v>
      </c>
      <c r="D412" s="194" t="s">
        <v>541</v>
      </c>
      <c r="E412" s="195">
        <v>80000000</v>
      </c>
      <c r="F412" s="195">
        <v>40000000</v>
      </c>
      <c r="G412" s="195">
        <v>0</v>
      </c>
      <c r="H412" s="195">
        <v>0</v>
      </c>
      <c r="I412" s="195">
        <v>0</v>
      </c>
      <c r="J412" s="195">
        <v>0</v>
      </c>
      <c r="K412" s="195">
        <v>0</v>
      </c>
      <c r="L412" s="257">
        <f t="shared" si="24"/>
        <v>0</v>
      </c>
      <c r="M412" s="195">
        <v>0</v>
      </c>
      <c r="N412" s="257">
        <f t="shared" si="25"/>
        <v>0</v>
      </c>
      <c r="O412" s="195">
        <v>40000000</v>
      </c>
      <c r="P412" s="257">
        <f t="shared" si="26"/>
        <v>1</v>
      </c>
      <c r="Q412" s="195">
        <v>0</v>
      </c>
      <c r="R412" s="260">
        <f t="shared" si="27"/>
        <v>-40000000</v>
      </c>
    </row>
    <row r="413" spans="1:18" x14ac:dyDescent="0.25">
      <c r="A413" s="194" t="s">
        <v>546</v>
      </c>
      <c r="B413" s="194" t="s">
        <v>370</v>
      </c>
      <c r="C413" s="194" t="s">
        <v>602</v>
      </c>
      <c r="D413" s="194" t="s">
        <v>541</v>
      </c>
      <c r="E413" s="195">
        <v>673849000</v>
      </c>
      <c r="F413" s="195">
        <v>673849000</v>
      </c>
      <c r="G413" s="195">
        <v>670070086</v>
      </c>
      <c r="H413" s="195">
        <v>0</v>
      </c>
      <c r="I413" s="195">
        <v>132150780</v>
      </c>
      <c r="J413" s="195">
        <v>0</v>
      </c>
      <c r="K413" s="195">
        <v>537919306</v>
      </c>
      <c r="L413" s="257">
        <f t="shared" si="24"/>
        <v>0.79827870338903817</v>
      </c>
      <c r="M413" s="195">
        <v>537919306</v>
      </c>
      <c r="N413" s="257">
        <f t="shared" si="25"/>
        <v>0.79827870338903817</v>
      </c>
      <c r="O413" s="195">
        <v>3778914</v>
      </c>
      <c r="P413" s="257">
        <f t="shared" si="26"/>
        <v>5.6079537106977972E-3</v>
      </c>
      <c r="Q413" s="195">
        <v>0</v>
      </c>
      <c r="R413" s="260">
        <f t="shared" si="27"/>
        <v>-3778914</v>
      </c>
    </row>
    <row r="414" spans="1:18" x14ac:dyDescent="0.25">
      <c r="A414" s="194" t="s">
        <v>546</v>
      </c>
      <c r="B414" s="194" t="s">
        <v>371</v>
      </c>
      <c r="C414" s="194" t="s">
        <v>603</v>
      </c>
      <c r="D414" s="194" t="s">
        <v>541</v>
      </c>
      <c r="E414" s="195">
        <v>135856000</v>
      </c>
      <c r="F414" s="195">
        <v>135856000</v>
      </c>
      <c r="G414" s="195">
        <v>135094122</v>
      </c>
      <c r="H414" s="195">
        <v>0</v>
      </c>
      <c r="I414" s="195">
        <v>26642650</v>
      </c>
      <c r="J414" s="195">
        <v>0</v>
      </c>
      <c r="K414" s="195">
        <v>108451472</v>
      </c>
      <c r="L414" s="257">
        <f t="shared" si="24"/>
        <v>0.79828253444823927</v>
      </c>
      <c r="M414" s="195">
        <v>108451472</v>
      </c>
      <c r="N414" s="257">
        <f t="shared" si="25"/>
        <v>0.79828253444823927</v>
      </c>
      <c r="O414" s="195">
        <v>761878</v>
      </c>
      <c r="P414" s="257">
        <f t="shared" si="26"/>
        <v>5.6079819809209753E-3</v>
      </c>
      <c r="Q414" s="195">
        <v>0</v>
      </c>
      <c r="R414" s="260">
        <f t="shared" si="27"/>
        <v>-761878</v>
      </c>
    </row>
    <row r="415" spans="1:18" x14ac:dyDescent="0.25">
      <c r="A415" s="194" t="s">
        <v>546</v>
      </c>
      <c r="B415" s="194" t="s">
        <v>606</v>
      </c>
      <c r="C415" s="194" t="s">
        <v>608</v>
      </c>
      <c r="D415" s="194" t="s">
        <v>543</v>
      </c>
      <c r="E415" s="195">
        <v>9066100000</v>
      </c>
      <c r="F415" s="195">
        <v>9066100000</v>
      </c>
      <c r="G415" s="195">
        <v>9066100000</v>
      </c>
      <c r="H415" s="195">
        <v>0</v>
      </c>
      <c r="I415" s="195">
        <v>1838683583.8900001</v>
      </c>
      <c r="J415" s="195">
        <v>0</v>
      </c>
      <c r="K415" s="195">
        <v>7227416416.1099997</v>
      </c>
      <c r="L415" s="257">
        <f t="shared" si="24"/>
        <v>0.79719134094152944</v>
      </c>
      <c r="M415" s="195">
        <v>7227416416.1099997</v>
      </c>
      <c r="N415" s="257">
        <f t="shared" si="25"/>
        <v>0.79719134094152944</v>
      </c>
      <c r="O415" s="195">
        <v>0</v>
      </c>
      <c r="P415" s="257">
        <f t="shared" si="26"/>
        <v>0</v>
      </c>
      <c r="Q415" s="195">
        <v>0</v>
      </c>
      <c r="R415" s="260">
        <f t="shared" si="27"/>
        <v>0</v>
      </c>
    </row>
    <row r="416" spans="1:18" x14ac:dyDescent="0.25">
      <c r="A416" s="194" t="s">
        <v>546</v>
      </c>
      <c r="B416" s="194" t="s">
        <v>372</v>
      </c>
      <c r="C416" s="194" t="s">
        <v>373</v>
      </c>
      <c r="D416" s="194" t="s">
        <v>541</v>
      </c>
      <c r="E416" s="195">
        <v>550000000</v>
      </c>
      <c r="F416" s="195">
        <v>550000000</v>
      </c>
      <c r="G416" s="195">
        <v>530000000</v>
      </c>
      <c r="H416" s="195">
        <v>0</v>
      </c>
      <c r="I416" s="195">
        <v>80000000</v>
      </c>
      <c r="J416" s="195">
        <v>0</v>
      </c>
      <c r="K416" s="195">
        <v>450000000</v>
      </c>
      <c r="L416" s="257">
        <f t="shared" si="24"/>
        <v>0.81818181818181823</v>
      </c>
      <c r="M416" s="195">
        <v>405000000</v>
      </c>
      <c r="N416" s="257">
        <f t="shared" si="25"/>
        <v>0.73636363636363633</v>
      </c>
      <c r="O416" s="195">
        <v>20000000</v>
      </c>
      <c r="P416" s="257">
        <f t="shared" si="26"/>
        <v>3.6363636363636362E-2</v>
      </c>
      <c r="Q416" s="195">
        <v>0</v>
      </c>
      <c r="R416" s="260">
        <f t="shared" si="27"/>
        <v>-20000000</v>
      </c>
    </row>
    <row r="417" spans="1:18" x14ac:dyDescent="0.25">
      <c r="A417" s="194" t="s">
        <v>546</v>
      </c>
      <c r="B417" s="194" t="s">
        <v>374</v>
      </c>
      <c r="C417" s="194" t="s">
        <v>375</v>
      </c>
      <c r="D417" s="194" t="s">
        <v>541</v>
      </c>
      <c r="E417" s="195">
        <v>550000000</v>
      </c>
      <c r="F417" s="195">
        <v>550000000</v>
      </c>
      <c r="G417" s="195">
        <v>530000000</v>
      </c>
      <c r="H417" s="195">
        <v>0</v>
      </c>
      <c r="I417" s="195">
        <v>80000000</v>
      </c>
      <c r="J417" s="195">
        <v>0</v>
      </c>
      <c r="K417" s="195">
        <v>450000000</v>
      </c>
      <c r="L417" s="257">
        <f t="shared" si="24"/>
        <v>0.81818181818181823</v>
      </c>
      <c r="M417" s="195">
        <v>405000000</v>
      </c>
      <c r="N417" s="257">
        <f t="shared" si="25"/>
        <v>0.73636363636363633</v>
      </c>
      <c r="O417" s="195">
        <v>20000000</v>
      </c>
      <c r="P417" s="257">
        <f t="shared" si="26"/>
        <v>3.6363636363636362E-2</v>
      </c>
      <c r="Q417" s="195">
        <v>0</v>
      </c>
      <c r="R417" s="260">
        <f t="shared" si="27"/>
        <v>-20000000</v>
      </c>
    </row>
    <row r="418" spans="1:18" x14ac:dyDescent="0.25">
      <c r="A418" s="194" t="s">
        <v>546</v>
      </c>
      <c r="B418" s="194" t="s">
        <v>261</v>
      </c>
      <c r="C418" s="194" t="s">
        <v>262</v>
      </c>
      <c r="D418" s="194" t="s">
        <v>541</v>
      </c>
      <c r="E418" s="195">
        <v>1002889000</v>
      </c>
      <c r="F418" s="195">
        <v>1002889000</v>
      </c>
      <c r="G418" s="195">
        <v>1002889000</v>
      </c>
      <c r="H418" s="195">
        <v>0</v>
      </c>
      <c r="I418" s="195">
        <v>34082.19</v>
      </c>
      <c r="J418" s="195">
        <v>0</v>
      </c>
      <c r="K418" s="195">
        <v>960401149.00999999</v>
      </c>
      <c r="L418" s="257">
        <f t="shared" si="24"/>
        <v>0.95763454281580518</v>
      </c>
      <c r="M418" s="195">
        <v>960401149.00999999</v>
      </c>
      <c r="N418" s="257">
        <f t="shared" si="25"/>
        <v>0.95763454281580518</v>
      </c>
      <c r="O418" s="195">
        <v>42453768.799999997</v>
      </c>
      <c r="P418" s="257">
        <f t="shared" si="26"/>
        <v>4.2331473174000309E-2</v>
      </c>
      <c r="Q418" s="195">
        <v>42453768.799999997</v>
      </c>
      <c r="R418" s="260">
        <f t="shared" si="27"/>
        <v>0</v>
      </c>
    </row>
    <row r="419" spans="1:18" x14ac:dyDescent="0.25">
      <c r="A419" s="194" t="s">
        <v>546</v>
      </c>
      <c r="B419" s="194" t="s">
        <v>263</v>
      </c>
      <c r="C419" s="194" t="s">
        <v>264</v>
      </c>
      <c r="D419" s="194" t="s">
        <v>541</v>
      </c>
      <c r="E419" s="195">
        <v>657462000</v>
      </c>
      <c r="F419" s="195">
        <v>657462000</v>
      </c>
      <c r="G419" s="195">
        <v>657462000</v>
      </c>
      <c r="H419" s="195">
        <v>0</v>
      </c>
      <c r="I419" s="195">
        <v>34082.19</v>
      </c>
      <c r="J419" s="195">
        <v>0</v>
      </c>
      <c r="K419" s="195">
        <v>657427917.80999994</v>
      </c>
      <c r="L419" s="257">
        <f t="shared" si="24"/>
        <v>0.99994816097356187</v>
      </c>
      <c r="M419" s="195">
        <v>657427917.80999994</v>
      </c>
      <c r="N419" s="257">
        <f t="shared" si="25"/>
        <v>0.99994816097356187</v>
      </c>
      <c r="O419" s="195">
        <v>0</v>
      </c>
      <c r="P419" s="257">
        <f t="shared" si="26"/>
        <v>0</v>
      </c>
      <c r="Q419" s="195">
        <v>0</v>
      </c>
      <c r="R419" s="260">
        <f t="shared" si="27"/>
        <v>0</v>
      </c>
    </row>
    <row r="420" spans="1:18" x14ac:dyDescent="0.25">
      <c r="A420" s="194" t="s">
        <v>546</v>
      </c>
      <c r="B420" s="194" t="s">
        <v>265</v>
      </c>
      <c r="C420" s="194" t="s">
        <v>266</v>
      </c>
      <c r="D420" s="194" t="s">
        <v>541</v>
      </c>
      <c r="E420" s="195">
        <v>345427000</v>
      </c>
      <c r="F420" s="195">
        <v>345427000</v>
      </c>
      <c r="G420" s="195">
        <v>345427000</v>
      </c>
      <c r="H420" s="195">
        <v>0</v>
      </c>
      <c r="I420" s="195">
        <v>0</v>
      </c>
      <c r="J420" s="195">
        <v>0</v>
      </c>
      <c r="K420" s="195">
        <v>302973231.19999999</v>
      </c>
      <c r="L420" s="257">
        <f t="shared" si="24"/>
        <v>0.87709771152805072</v>
      </c>
      <c r="M420" s="195">
        <v>302973231.19999999</v>
      </c>
      <c r="N420" s="257">
        <f t="shared" si="25"/>
        <v>0.87709771152805072</v>
      </c>
      <c r="O420" s="195">
        <v>42453768.799999997</v>
      </c>
      <c r="P420" s="257">
        <f t="shared" si="26"/>
        <v>0.1229022884719492</v>
      </c>
      <c r="Q420" s="195">
        <v>42453768.799999997</v>
      </c>
      <c r="R420" s="260">
        <f t="shared" si="27"/>
        <v>0</v>
      </c>
    </row>
    <row r="421" spans="1:18" x14ac:dyDescent="0.25">
      <c r="A421" s="194" t="s">
        <v>546</v>
      </c>
      <c r="B421" s="194" t="s">
        <v>267</v>
      </c>
      <c r="C421" s="194" t="s">
        <v>268</v>
      </c>
      <c r="D421" s="194" t="s">
        <v>541</v>
      </c>
      <c r="E421" s="195">
        <v>88352000</v>
      </c>
      <c r="F421" s="195">
        <v>128352000</v>
      </c>
      <c r="G421" s="195">
        <v>128352000</v>
      </c>
      <c r="H421" s="195">
        <v>0</v>
      </c>
      <c r="I421" s="195">
        <v>7680498.9500000002</v>
      </c>
      <c r="J421" s="195">
        <v>0</v>
      </c>
      <c r="K421" s="195">
        <v>90671501.049999997</v>
      </c>
      <c r="L421" s="257">
        <f t="shared" si="24"/>
        <v>0.70642842378770876</v>
      </c>
      <c r="M421" s="195">
        <v>90671501.049999997</v>
      </c>
      <c r="N421" s="257">
        <f t="shared" si="25"/>
        <v>0.70642842378770876</v>
      </c>
      <c r="O421" s="195">
        <v>30000000</v>
      </c>
      <c r="P421" s="257">
        <f t="shared" si="26"/>
        <v>0.2337322363500374</v>
      </c>
      <c r="Q421" s="195">
        <v>30000000</v>
      </c>
      <c r="R421" s="260">
        <f t="shared" si="27"/>
        <v>0</v>
      </c>
    </row>
    <row r="422" spans="1:18" x14ac:dyDescent="0.25">
      <c r="A422" s="194" t="s">
        <v>546</v>
      </c>
      <c r="B422" s="194" t="s">
        <v>269</v>
      </c>
      <c r="C422" s="194" t="s">
        <v>270</v>
      </c>
      <c r="D422" s="194" t="s">
        <v>541</v>
      </c>
      <c r="E422" s="195">
        <v>65000000</v>
      </c>
      <c r="F422" s="195">
        <v>105000000</v>
      </c>
      <c r="G422" s="195">
        <v>105000000</v>
      </c>
      <c r="H422" s="195">
        <v>0</v>
      </c>
      <c r="I422" s="195">
        <v>2968870</v>
      </c>
      <c r="J422" s="195">
        <v>0</v>
      </c>
      <c r="K422" s="195">
        <v>82031130</v>
      </c>
      <c r="L422" s="257">
        <f t="shared" si="24"/>
        <v>0.78124885714285719</v>
      </c>
      <c r="M422" s="195">
        <v>82031130</v>
      </c>
      <c r="N422" s="257">
        <f t="shared" si="25"/>
        <v>0.78124885714285719</v>
      </c>
      <c r="O422" s="195">
        <v>20000000</v>
      </c>
      <c r="P422" s="257">
        <f t="shared" si="26"/>
        <v>0.19047619047619047</v>
      </c>
      <c r="Q422" s="195">
        <v>20000000</v>
      </c>
      <c r="R422" s="260">
        <f t="shared" si="27"/>
        <v>0</v>
      </c>
    </row>
    <row r="423" spans="1:18" x14ac:dyDescent="0.25">
      <c r="A423" s="194" t="s">
        <v>546</v>
      </c>
      <c r="B423" s="194" t="s">
        <v>271</v>
      </c>
      <c r="C423" s="194" t="s">
        <v>272</v>
      </c>
      <c r="D423" s="194" t="s">
        <v>541</v>
      </c>
      <c r="E423" s="195">
        <v>23352000</v>
      </c>
      <c r="F423" s="195">
        <v>23352000</v>
      </c>
      <c r="G423" s="195">
        <v>23352000</v>
      </c>
      <c r="H423" s="195">
        <v>0</v>
      </c>
      <c r="I423" s="195">
        <v>4711628.95</v>
      </c>
      <c r="J423" s="195">
        <v>0</v>
      </c>
      <c r="K423" s="195">
        <v>8640371.0500000007</v>
      </c>
      <c r="L423" s="257">
        <f t="shared" si="24"/>
        <v>0.37000561193902026</v>
      </c>
      <c r="M423" s="195">
        <v>8640371.0500000007</v>
      </c>
      <c r="N423" s="257">
        <f t="shared" si="25"/>
        <v>0.37000561193902026</v>
      </c>
      <c r="O423" s="195">
        <v>10000000</v>
      </c>
      <c r="P423" s="257">
        <f t="shared" si="26"/>
        <v>0.42822884549503254</v>
      </c>
      <c r="Q423" s="195">
        <v>10000000</v>
      </c>
      <c r="R423" s="260">
        <f t="shared" si="27"/>
        <v>0</v>
      </c>
    </row>
    <row r="424" spans="1:18" x14ac:dyDescent="0.25">
      <c r="A424" s="194" t="s">
        <v>546</v>
      </c>
      <c r="B424" s="194" t="s">
        <v>376</v>
      </c>
      <c r="C424" s="194" t="s">
        <v>377</v>
      </c>
      <c r="D424" s="194" t="s">
        <v>543</v>
      </c>
      <c r="E424" s="195">
        <v>573100000</v>
      </c>
      <c r="F424" s="195">
        <v>827134852</v>
      </c>
      <c r="G424" s="195">
        <v>827134852</v>
      </c>
      <c r="H424" s="195">
        <v>0</v>
      </c>
      <c r="I424" s="195">
        <v>0</v>
      </c>
      <c r="J424" s="195">
        <v>0</v>
      </c>
      <c r="K424" s="195">
        <v>0</v>
      </c>
      <c r="L424" s="257">
        <f t="shared" si="24"/>
        <v>0</v>
      </c>
      <c r="M424" s="195">
        <v>0</v>
      </c>
      <c r="N424" s="257">
        <f t="shared" si="25"/>
        <v>0</v>
      </c>
      <c r="O424" s="195">
        <v>827134852</v>
      </c>
      <c r="P424" s="257">
        <f t="shared" si="26"/>
        <v>1</v>
      </c>
      <c r="Q424" s="195">
        <v>827134852</v>
      </c>
      <c r="R424" s="260">
        <f t="shared" si="27"/>
        <v>0</v>
      </c>
    </row>
    <row r="425" spans="1:18" x14ac:dyDescent="0.25">
      <c r="A425" s="194" t="s">
        <v>546</v>
      </c>
      <c r="B425" s="194" t="s">
        <v>378</v>
      </c>
      <c r="C425" s="194" t="s">
        <v>379</v>
      </c>
      <c r="D425" s="194" t="s">
        <v>543</v>
      </c>
      <c r="E425" s="195">
        <v>573100000</v>
      </c>
      <c r="F425" s="195">
        <v>827134852</v>
      </c>
      <c r="G425" s="195">
        <v>827134852</v>
      </c>
      <c r="H425" s="195">
        <v>0</v>
      </c>
      <c r="I425" s="195">
        <v>0</v>
      </c>
      <c r="J425" s="195">
        <v>0</v>
      </c>
      <c r="K425" s="195">
        <v>0</v>
      </c>
      <c r="L425" s="257">
        <f t="shared" si="24"/>
        <v>0</v>
      </c>
      <c r="M425" s="195">
        <v>0</v>
      </c>
      <c r="N425" s="257">
        <f t="shared" si="25"/>
        <v>0</v>
      </c>
      <c r="O425" s="195">
        <v>827134852</v>
      </c>
      <c r="P425" s="257">
        <f t="shared" si="26"/>
        <v>1</v>
      </c>
      <c r="Q425" s="195">
        <v>827134852</v>
      </c>
      <c r="R425" s="260">
        <f t="shared" si="27"/>
        <v>0</v>
      </c>
    </row>
    <row r="426" spans="1:18" x14ac:dyDescent="0.25">
      <c r="A426" s="194" t="s">
        <v>546</v>
      </c>
      <c r="B426" s="194" t="s">
        <v>380</v>
      </c>
      <c r="C426" s="194" t="s">
        <v>381</v>
      </c>
      <c r="D426" s="194" t="s">
        <v>543</v>
      </c>
      <c r="E426" s="195">
        <v>573100000</v>
      </c>
      <c r="F426" s="195">
        <v>827134852</v>
      </c>
      <c r="G426" s="195">
        <v>827134852</v>
      </c>
      <c r="H426" s="195">
        <v>0</v>
      </c>
      <c r="I426" s="195">
        <v>0</v>
      </c>
      <c r="J426" s="195">
        <v>0</v>
      </c>
      <c r="K426" s="195">
        <v>0</v>
      </c>
      <c r="L426" s="257">
        <f t="shared" si="24"/>
        <v>0</v>
      </c>
      <c r="M426" s="195">
        <v>0</v>
      </c>
      <c r="N426" s="257">
        <f t="shared" si="25"/>
        <v>0</v>
      </c>
      <c r="O426" s="195">
        <v>827134852</v>
      </c>
      <c r="P426" s="257">
        <f t="shared" si="26"/>
        <v>1</v>
      </c>
      <c r="Q426" s="195">
        <v>827134852</v>
      </c>
      <c r="R426" s="260">
        <f t="shared" si="27"/>
        <v>0</v>
      </c>
    </row>
    <row r="427" spans="1:18" x14ac:dyDescent="0.25">
      <c r="A427" s="194" t="s">
        <v>547</v>
      </c>
      <c r="B427" s="194" t="s">
        <v>587</v>
      </c>
      <c r="C427" s="194" t="s">
        <v>587</v>
      </c>
      <c r="D427" s="194" t="s">
        <v>541</v>
      </c>
      <c r="E427" s="195">
        <v>13837611334</v>
      </c>
      <c r="F427" s="195">
        <v>13837611334</v>
      </c>
      <c r="G427" s="195">
        <v>13338947262</v>
      </c>
      <c r="H427" s="195">
        <v>0</v>
      </c>
      <c r="I427" s="195">
        <v>468897549.35000002</v>
      </c>
      <c r="J427" s="195">
        <v>0</v>
      </c>
      <c r="K427" s="195">
        <v>9963585376.4899998</v>
      </c>
      <c r="L427" s="257">
        <f t="shared" si="24"/>
        <v>0.72003651034834015</v>
      </c>
      <c r="M427" s="195">
        <v>9954477412.9699993</v>
      </c>
      <c r="N427" s="257">
        <f t="shared" si="25"/>
        <v>0.71937830689832549</v>
      </c>
      <c r="O427" s="195">
        <v>3405128408.1599998</v>
      </c>
      <c r="P427" s="257">
        <f t="shared" si="26"/>
        <v>0.24607776053034211</v>
      </c>
      <c r="Q427" s="195">
        <v>2906464336.1599998</v>
      </c>
      <c r="R427" s="260">
        <f t="shared" si="27"/>
        <v>-498664072</v>
      </c>
    </row>
    <row r="428" spans="1:18" x14ac:dyDescent="0.25">
      <c r="A428" s="194" t="s">
        <v>547</v>
      </c>
      <c r="B428" s="194" t="s">
        <v>92</v>
      </c>
      <c r="C428" s="194" t="s">
        <v>93</v>
      </c>
      <c r="D428" s="194" t="s">
        <v>541</v>
      </c>
      <c r="E428" s="195">
        <v>13313316000</v>
      </c>
      <c r="F428" s="195">
        <v>13313316000</v>
      </c>
      <c r="G428" s="195">
        <v>12820057202</v>
      </c>
      <c r="H428" s="195">
        <v>0</v>
      </c>
      <c r="I428" s="195">
        <v>380095998.38999999</v>
      </c>
      <c r="J428" s="195">
        <v>0</v>
      </c>
      <c r="K428" s="195">
        <v>9555198611.1599998</v>
      </c>
      <c r="L428" s="257">
        <f t="shared" si="24"/>
        <v>0.71771740497709213</v>
      </c>
      <c r="M428" s="195">
        <v>9555198611.1599998</v>
      </c>
      <c r="N428" s="257">
        <f t="shared" si="25"/>
        <v>0.71771740497709213</v>
      </c>
      <c r="O428" s="195">
        <v>3378021390.4499998</v>
      </c>
      <c r="P428" s="257">
        <f t="shared" si="26"/>
        <v>0.25373253293544595</v>
      </c>
      <c r="Q428" s="195">
        <v>2884762592.4499998</v>
      </c>
      <c r="R428" s="260">
        <f t="shared" si="27"/>
        <v>-493258798</v>
      </c>
    </row>
    <row r="429" spans="1:18" x14ac:dyDescent="0.25">
      <c r="A429" s="194" t="s">
        <v>547</v>
      </c>
      <c r="B429" s="194" t="s">
        <v>94</v>
      </c>
      <c r="C429" s="194" t="s">
        <v>95</v>
      </c>
      <c r="D429" s="194" t="s">
        <v>541</v>
      </c>
      <c r="E429" s="195">
        <v>4473382000</v>
      </c>
      <c r="F429" s="195">
        <v>4473382000</v>
      </c>
      <c r="G429" s="195">
        <v>4227607925</v>
      </c>
      <c r="H429" s="195">
        <v>0</v>
      </c>
      <c r="I429" s="195">
        <v>0</v>
      </c>
      <c r="J429" s="195">
        <v>0</v>
      </c>
      <c r="K429" s="195">
        <v>3303784976.6399999</v>
      </c>
      <c r="L429" s="257">
        <f t="shared" si="24"/>
        <v>0.73854300317746169</v>
      </c>
      <c r="M429" s="195">
        <v>3303784976.6399999</v>
      </c>
      <c r="N429" s="257">
        <f t="shared" si="25"/>
        <v>0.73854300317746169</v>
      </c>
      <c r="O429" s="195">
        <v>1169597023.3599999</v>
      </c>
      <c r="P429" s="257">
        <f t="shared" si="26"/>
        <v>0.26145699682253826</v>
      </c>
      <c r="Q429" s="195">
        <v>923822948.36000001</v>
      </c>
      <c r="R429" s="260">
        <f t="shared" si="27"/>
        <v>-245774075</v>
      </c>
    </row>
    <row r="430" spans="1:18" x14ac:dyDescent="0.25">
      <c r="A430" s="194" t="s">
        <v>547</v>
      </c>
      <c r="B430" s="194" t="s">
        <v>96</v>
      </c>
      <c r="C430" s="194" t="s">
        <v>97</v>
      </c>
      <c r="D430" s="194" t="s">
        <v>541</v>
      </c>
      <c r="E430" s="195">
        <v>4473382000</v>
      </c>
      <c r="F430" s="195">
        <v>4473382000</v>
      </c>
      <c r="G430" s="195">
        <v>4227607925</v>
      </c>
      <c r="H430" s="195">
        <v>0</v>
      </c>
      <c r="I430" s="195">
        <v>0</v>
      </c>
      <c r="J430" s="195">
        <v>0</v>
      </c>
      <c r="K430" s="195">
        <v>3303784976.6399999</v>
      </c>
      <c r="L430" s="257">
        <f t="shared" si="24"/>
        <v>0.73854300317746169</v>
      </c>
      <c r="M430" s="195">
        <v>3303784976.6399999</v>
      </c>
      <c r="N430" s="257">
        <f t="shared" si="25"/>
        <v>0.73854300317746169</v>
      </c>
      <c r="O430" s="195">
        <v>1169597023.3599999</v>
      </c>
      <c r="P430" s="257">
        <f t="shared" si="26"/>
        <v>0.26145699682253826</v>
      </c>
      <c r="Q430" s="195">
        <v>923822948.36000001</v>
      </c>
      <c r="R430" s="260">
        <f t="shared" si="27"/>
        <v>-245774075</v>
      </c>
    </row>
    <row r="431" spans="1:18" x14ac:dyDescent="0.25">
      <c r="A431" s="194" t="s">
        <v>547</v>
      </c>
      <c r="B431" s="194" t="s">
        <v>102</v>
      </c>
      <c r="C431" s="194" t="s">
        <v>103</v>
      </c>
      <c r="D431" s="194" t="s">
        <v>541</v>
      </c>
      <c r="E431" s="195">
        <v>6745487000</v>
      </c>
      <c r="F431" s="195">
        <v>6745487000</v>
      </c>
      <c r="G431" s="195">
        <v>6561704118</v>
      </c>
      <c r="H431" s="195">
        <v>0</v>
      </c>
      <c r="I431" s="195">
        <v>0</v>
      </c>
      <c r="J431" s="195">
        <v>0</v>
      </c>
      <c r="K431" s="195">
        <v>4680327872.9099998</v>
      </c>
      <c r="L431" s="257">
        <f t="shared" si="24"/>
        <v>0.69384580726491651</v>
      </c>
      <c r="M431" s="195">
        <v>4680327872.9099998</v>
      </c>
      <c r="N431" s="257">
        <f t="shared" si="25"/>
        <v>0.69384580726491651</v>
      </c>
      <c r="O431" s="195">
        <v>2065159127.0899999</v>
      </c>
      <c r="P431" s="257">
        <f t="shared" si="26"/>
        <v>0.30615419273508349</v>
      </c>
      <c r="Q431" s="195">
        <v>1881376245.0899999</v>
      </c>
      <c r="R431" s="260">
        <f t="shared" si="27"/>
        <v>-183782882</v>
      </c>
    </row>
    <row r="432" spans="1:18" x14ac:dyDescent="0.25">
      <c r="A432" s="194" t="s">
        <v>547</v>
      </c>
      <c r="B432" s="194" t="s">
        <v>104</v>
      </c>
      <c r="C432" s="194" t="s">
        <v>105</v>
      </c>
      <c r="D432" s="194" t="s">
        <v>541</v>
      </c>
      <c r="E432" s="195">
        <v>1460185000</v>
      </c>
      <c r="F432" s="195">
        <v>1460185000</v>
      </c>
      <c r="G432" s="195">
        <v>1384875260</v>
      </c>
      <c r="H432" s="195">
        <v>0</v>
      </c>
      <c r="I432" s="195">
        <v>0</v>
      </c>
      <c r="J432" s="195">
        <v>0</v>
      </c>
      <c r="K432" s="195">
        <v>1090569202.98</v>
      </c>
      <c r="L432" s="257">
        <f t="shared" si="24"/>
        <v>0.74687056981135957</v>
      </c>
      <c r="M432" s="195">
        <v>1090569202.98</v>
      </c>
      <c r="N432" s="257">
        <f t="shared" si="25"/>
        <v>0.74687056981135957</v>
      </c>
      <c r="O432" s="195">
        <v>369615797.01999998</v>
      </c>
      <c r="P432" s="257">
        <f t="shared" si="26"/>
        <v>0.25312943018864048</v>
      </c>
      <c r="Q432" s="195">
        <v>294306057.01999998</v>
      </c>
      <c r="R432" s="260">
        <f t="shared" si="27"/>
        <v>-75309740</v>
      </c>
    </row>
    <row r="433" spans="1:18" x14ac:dyDescent="0.25">
      <c r="A433" s="194" t="s">
        <v>547</v>
      </c>
      <c r="B433" s="194" t="s">
        <v>106</v>
      </c>
      <c r="C433" s="194" t="s">
        <v>107</v>
      </c>
      <c r="D433" s="194" t="s">
        <v>541</v>
      </c>
      <c r="E433" s="195">
        <v>2519609000</v>
      </c>
      <c r="F433" s="195">
        <v>2519609000</v>
      </c>
      <c r="G433" s="195">
        <v>2470861258</v>
      </c>
      <c r="H433" s="195">
        <v>0</v>
      </c>
      <c r="I433" s="195">
        <v>0</v>
      </c>
      <c r="J433" s="195">
        <v>0</v>
      </c>
      <c r="K433" s="195">
        <v>1930973891.76</v>
      </c>
      <c r="L433" s="257">
        <f t="shared" si="24"/>
        <v>0.76637839115513562</v>
      </c>
      <c r="M433" s="195">
        <v>1930973891.76</v>
      </c>
      <c r="N433" s="257">
        <f t="shared" si="25"/>
        <v>0.76637839115513562</v>
      </c>
      <c r="O433" s="195">
        <v>588635108.24000001</v>
      </c>
      <c r="P433" s="257">
        <f t="shared" si="26"/>
        <v>0.23362160884486444</v>
      </c>
      <c r="Q433" s="195">
        <v>539887366.24000001</v>
      </c>
      <c r="R433" s="260">
        <f t="shared" si="27"/>
        <v>-48747742</v>
      </c>
    </row>
    <row r="434" spans="1:18" x14ac:dyDescent="0.25">
      <c r="A434" s="194" t="s">
        <v>547</v>
      </c>
      <c r="B434" s="194" t="s">
        <v>112</v>
      </c>
      <c r="C434" s="194" t="s">
        <v>113</v>
      </c>
      <c r="D434" s="194" t="s">
        <v>543</v>
      </c>
      <c r="E434" s="195">
        <v>830335000</v>
      </c>
      <c r="F434" s="195">
        <v>830335000</v>
      </c>
      <c r="G434" s="195">
        <v>811943800</v>
      </c>
      <c r="H434" s="195">
        <v>0</v>
      </c>
      <c r="I434" s="195">
        <v>0</v>
      </c>
      <c r="J434" s="195">
        <v>0</v>
      </c>
      <c r="K434" s="195">
        <v>241669.22</v>
      </c>
      <c r="L434" s="257">
        <f t="shared" si="24"/>
        <v>2.9105026284571888E-4</v>
      </c>
      <c r="M434" s="195">
        <v>241669.22</v>
      </c>
      <c r="N434" s="257">
        <f t="shared" si="25"/>
        <v>2.9105026284571888E-4</v>
      </c>
      <c r="O434" s="195">
        <v>830093330.77999997</v>
      </c>
      <c r="P434" s="257">
        <f t="shared" si="26"/>
        <v>0.9997089497371543</v>
      </c>
      <c r="Q434" s="195">
        <v>811702130.77999997</v>
      </c>
      <c r="R434" s="260">
        <f t="shared" si="27"/>
        <v>-18391200</v>
      </c>
    </row>
    <row r="435" spans="1:18" x14ac:dyDescent="0.25">
      <c r="A435" s="194" t="s">
        <v>547</v>
      </c>
      <c r="B435" s="194" t="s">
        <v>108</v>
      </c>
      <c r="C435" s="194" t="s">
        <v>109</v>
      </c>
      <c r="D435" s="194" t="s">
        <v>541</v>
      </c>
      <c r="E435" s="195">
        <v>738904000</v>
      </c>
      <c r="F435" s="195">
        <v>738904000</v>
      </c>
      <c r="G435" s="195">
        <v>738904000</v>
      </c>
      <c r="H435" s="195">
        <v>0</v>
      </c>
      <c r="I435" s="195">
        <v>0</v>
      </c>
      <c r="J435" s="195">
        <v>0</v>
      </c>
      <c r="K435" s="195">
        <v>737019487.25</v>
      </c>
      <c r="L435" s="257">
        <f t="shared" si="24"/>
        <v>0.99744958377542958</v>
      </c>
      <c r="M435" s="195">
        <v>737019487.25</v>
      </c>
      <c r="N435" s="257">
        <f t="shared" si="25"/>
        <v>0.99744958377542958</v>
      </c>
      <c r="O435" s="195">
        <v>1884512.75</v>
      </c>
      <c r="P435" s="257">
        <f t="shared" si="26"/>
        <v>2.5504162245704449E-3</v>
      </c>
      <c r="Q435" s="195">
        <v>1884512.75</v>
      </c>
      <c r="R435" s="260">
        <f t="shared" si="27"/>
        <v>0</v>
      </c>
    </row>
    <row r="436" spans="1:18" x14ac:dyDescent="0.25">
      <c r="A436" s="194" t="s">
        <v>547</v>
      </c>
      <c r="B436" s="194" t="s">
        <v>110</v>
      </c>
      <c r="C436" s="194" t="s">
        <v>111</v>
      </c>
      <c r="D436" s="194" t="s">
        <v>541</v>
      </c>
      <c r="E436" s="195">
        <v>1196454000</v>
      </c>
      <c r="F436" s="195">
        <v>1196454000</v>
      </c>
      <c r="G436" s="195">
        <v>1155119800</v>
      </c>
      <c r="H436" s="195">
        <v>0</v>
      </c>
      <c r="I436" s="195">
        <v>0</v>
      </c>
      <c r="J436" s="195">
        <v>0</v>
      </c>
      <c r="K436" s="195">
        <v>921523621.70000005</v>
      </c>
      <c r="L436" s="257">
        <f t="shared" si="24"/>
        <v>0.77021232884841373</v>
      </c>
      <c r="M436" s="195">
        <v>921523621.70000005</v>
      </c>
      <c r="N436" s="257">
        <f t="shared" si="25"/>
        <v>0.77021232884841373</v>
      </c>
      <c r="O436" s="195">
        <v>274930378.30000001</v>
      </c>
      <c r="P436" s="257">
        <f t="shared" si="26"/>
        <v>0.22978767115158627</v>
      </c>
      <c r="Q436" s="195">
        <v>233596178.30000001</v>
      </c>
      <c r="R436" s="260">
        <f t="shared" si="27"/>
        <v>-41334200</v>
      </c>
    </row>
    <row r="437" spans="1:18" x14ac:dyDescent="0.25">
      <c r="A437" s="194" t="s">
        <v>547</v>
      </c>
      <c r="B437" s="194" t="s">
        <v>114</v>
      </c>
      <c r="C437" s="194" t="s">
        <v>115</v>
      </c>
      <c r="D437" s="194" t="s">
        <v>541</v>
      </c>
      <c r="E437" s="195">
        <v>1012881000</v>
      </c>
      <c r="F437" s="195">
        <v>1012881000</v>
      </c>
      <c r="G437" s="195">
        <v>980982338</v>
      </c>
      <c r="H437" s="195">
        <v>0</v>
      </c>
      <c r="I437" s="195">
        <v>159439885</v>
      </c>
      <c r="J437" s="195">
        <v>0</v>
      </c>
      <c r="K437" s="195">
        <v>781808495</v>
      </c>
      <c r="L437" s="257">
        <f t="shared" si="24"/>
        <v>0.77186608792148337</v>
      </c>
      <c r="M437" s="195">
        <v>781808495</v>
      </c>
      <c r="N437" s="257">
        <f t="shared" si="25"/>
        <v>0.77186608792148337</v>
      </c>
      <c r="O437" s="195">
        <v>71632620</v>
      </c>
      <c r="P437" s="257">
        <f t="shared" si="26"/>
        <v>7.072165437005927E-2</v>
      </c>
      <c r="Q437" s="195">
        <v>39733958</v>
      </c>
      <c r="R437" s="260">
        <f t="shared" si="27"/>
        <v>-31898662</v>
      </c>
    </row>
    <row r="438" spans="1:18" x14ac:dyDescent="0.25">
      <c r="A438" s="194" t="s">
        <v>547</v>
      </c>
      <c r="B438" s="194" t="s">
        <v>382</v>
      </c>
      <c r="C438" s="194" t="s">
        <v>597</v>
      </c>
      <c r="D438" s="194" t="s">
        <v>541</v>
      </c>
      <c r="E438" s="195">
        <v>960939000</v>
      </c>
      <c r="F438" s="195">
        <v>960939000</v>
      </c>
      <c r="G438" s="195">
        <v>930676167</v>
      </c>
      <c r="H438" s="195">
        <v>0</v>
      </c>
      <c r="I438" s="195">
        <v>151262361</v>
      </c>
      <c r="J438" s="195">
        <v>0</v>
      </c>
      <c r="K438" s="195">
        <v>741717459</v>
      </c>
      <c r="L438" s="257">
        <f t="shared" si="24"/>
        <v>0.77186737035337316</v>
      </c>
      <c r="M438" s="195">
        <v>741717459</v>
      </c>
      <c r="N438" s="257">
        <f t="shared" si="25"/>
        <v>0.77186737035337316</v>
      </c>
      <c r="O438" s="195">
        <v>67959180</v>
      </c>
      <c r="P438" s="257">
        <f t="shared" si="26"/>
        <v>7.0721637897931081E-2</v>
      </c>
      <c r="Q438" s="195">
        <v>37696347</v>
      </c>
      <c r="R438" s="260">
        <f t="shared" si="27"/>
        <v>-30262833</v>
      </c>
    </row>
    <row r="439" spans="1:18" x14ac:dyDescent="0.25">
      <c r="A439" s="194" t="s">
        <v>547</v>
      </c>
      <c r="B439" s="194" t="s">
        <v>383</v>
      </c>
      <c r="C439" s="194" t="s">
        <v>583</v>
      </c>
      <c r="D439" s="194" t="s">
        <v>541</v>
      </c>
      <c r="E439" s="195">
        <v>51942000</v>
      </c>
      <c r="F439" s="195">
        <v>51942000</v>
      </c>
      <c r="G439" s="195">
        <v>50306171</v>
      </c>
      <c r="H439" s="195">
        <v>0</v>
      </c>
      <c r="I439" s="195">
        <v>8177524</v>
      </c>
      <c r="J439" s="195">
        <v>0</v>
      </c>
      <c r="K439" s="195">
        <v>40091036</v>
      </c>
      <c r="L439" s="257">
        <f t="shared" si="24"/>
        <v>0.77184236263524697</v>
      </c>
      <c r="M439" s="195">
        <v>40091036</v>
      </c>
      <c r="N439" s="257">
        <f t="shared" si="25"/>
        <v>0.77184236263524697</v>
      </c>
      <c r="O439" s="195">
        <v>3673440</v>
      </c>
      <c r="P439" s="257">
        <f t="shared" si="26"/>
        <v>7.0721959108236115E-2</v>
      </c>
      <c r="Q439" s="195">
        <v>2037611</v>
      </c>
      <c r="R439" s="260">
        <f t="shared" si="27"/>
        <v>-1635829</v>
      </c>
    </row>
    <row r="440" spans="1:18" x14ac:dyDescent="0.25">
      <c r="A440" s="194" t="s">
        <v>547</v>
      </c>
      <c r="B440" s="194" t="s">
        <v>118</v>
      </c>
      <c r="C440" s="194" t="s">
        <v>119</v>
      </c>
      <c r="D440" s="194" t="s">
        <v>541</v>
      </c>
      <c r="E440" s="195">
        <v>1081566000</v>
      </c>
      <c r="F440" s="195">
        <v>1081566000</v>
      </c>
      <c r="G440" s="195">
        <v>1049762821</v>
      </c>
      <c r="H440" s="195">
        <v>0</v>
      </c>
      <c r="I440" s="195">
        <v>220656113.38999999</v>
      </c>
      <c r="J440" s="195">
        <v>0</v>
      </c>
      <c r="K440" s="195">
        <v>789277266.61000001</v>
      </c>
      <c r="L440" s="257">
        <f t="shared" si="24"/>
        <v>0.72975414039457598</v>
      </c>
      <c r="M440" s="195">
        <v>789277266.61000001</v>
      </c>
      <c r="N440" s="257">
        <f t="shared" si="25"/>
        <v>0.72975414039457598</v>
      </c>
      <c r="O440" s="195">
        <v>71632620</v>
      </c>
      <c r="P440" s="257">
        <f t="shared" si="26"/>
        <v>6.6230465824554399E-2</v>
      </c>
      <c r="Q440" s="195">
        <v>39829441</v>
      </c>
      <c r="R440" s="260">
        <f t="shared" si="27"/>
        <v>-31803179</v>
      </c>
    </row>
    <row r="441" spans="1:18" x14ac:dyDescent="0.25">
      <c r="A441" s="194" t="s">
        <v>547</v>
      </c>
      <c r="B441" s="194" t="s">
        <v>384</v>
      </c>
      <c r="C441" s="194" t="s">
        <v>598</v>
      </c>
      <c r="D441" s="194" t="s">
        <v>541</v>
      </c>
      <c r="E441" s="195">
        <v>527737000</v>
      </c>
      <c r="F441" s="195">
        <v>527737000</v>
      </c>
      <c r="G441" s="195">
        <v>510656280</v>
      </c>
      <c r="H441" s="195">
        <v>0</v>
      </c>
      <c r="I441" s="195">
        <v>131287845</v>
      </c>
      <c r="J441" s="195">
        <v>0</v>
      </c>
      <c r="K441" s="195">
        <v>357877715</v>
      </c>
      <c r="L441" s="257">
        <f t="shared" si="24"/>
        <v>0.6781364865453815</v>
      </c>
      <c r="M441" s="195">
        <v>357877715</v>
      </c>
      <c r="N441" s="257">
        <f t="shared" si="25"/>
        <v>0.6781364865453815</v>
      </c>
      <c r="O441" s="195">
        <v>38571440</v>
      </c>
      <c r="P441" s="257">
        <f t="shared" si="26"/>
        <v>7.3088375459746044E-2</v>
      </c>
      <c r="Q441" s="195">
        <v>21490720</v>
      </c>
      <c r="R441" s="260">
        <f t="shared" si="27"/>
        <v>-17080720</v>
      </c>
    </row>
    <row r="442" spans="1:18" x14ac:dyDescent="0.25">
      <c r="A442" s="194" t="s">
        <v>547</v>
      </c>
      <c r="B442" s="194" t="s">
        <v>385</v>
      </c>
      <c r="C442" s="194" t="s">
        <v>599</v>
      </c>
      <c r="D442" s="194" t="s">
        <v>541</v>
      </c>
      <c r="E442" s="195">
        <v>155828000</v>
      </c>
      <c r="F442" s="195">
        <v>155828000</v>
      </c>
      <c r="G442" s="195">
        <v>150920514</v>
      </c>
      <c r="H442" s="195">
        <v>0</v>
      </c>
      <c r="I442" s="195">
        <v>24534530</v>
      </c>
      <c r="J442" s="195">
        <v>0</v>
      </c>
      <c r="K442" s="195">
        <v>120273150</v>
      </c>
      <c r="L442" s="257">
        <f t="shared" si="24"/>
        <v>0.77183272582591067</v>
      </c>
      <c r="M442" s="195">
        <v>120273150</v>
      </c>
      <c r="N442" s="257">
        <f t="shared" si="25"/>
        <v>0.77183272582591067</v>
      </c>
      <c r="O442" s="195">
        <v>11020320</v>
      </c>
      <c r="P442" s="257">
        <f t="shared" si="26"/>
        <v>7.0721051415663427E-2</v>
      </c>
      <c r="Q442" s="195">
        <v>6112834</v>
      </c>
      <c r="R442" s="260">
        <f t="shared" si="27"/>
        <v>-4907486</v>
      </c>
    </row>
    <row r="443" spans="1:18" x14ac:dyDescent="0.25">
      <c r="A443" s="194" t="s">
        <v>547</v>
      </c>
      <c r="B443" s="194" t="s">
        <v>386</v>
      </c>
      <c r="C443" s="194" t="s">
        <v>600</v>
      </c>
      <c r="D443" s="194" t="s">
        <v>541</v>
      </c>
      <c r="E443" s="195">
        <v>311656000</v>
      </c>
      <c r="F443" s="195">
        <v>311656000</v>
      </c>
      <c r="G443" s="195">
        <v>301841027</v>
      </c>
      <c r="H443" s="195">
        <v>0</v>
      </c>
      <c r="I443" s="195">
        <v>49068953</v>
      </c>
      <c r="J443" s="195">
        <v>0</v>
      </c>
      <c r="K443" s="195">
        <v>240546187</v>
      </c>
      <c r="L443" s="257">
        <f t="shared" si="24"/>
        <v>0.77183236324665661</v>
      </c>
      <c r="M443" s="195">
        <v>240546187</v>
      </c>
      <c r="N443" s="257">
        <f t="shared" si="25"/>
        <v>0.77183236324665661</v>
      </c>
      <c r="O443" s="195">
        <v>22040860</v>
      </c>
      <c r="P443" s="257">
        <f t="shared" si="26"/>
        <v>7.0721757322175727E-2</v>
      </c>
      <c r="Q443" s="195">
        <v>12225887</v>
      </c>
      <c r="R443" s="260">
        <f t="shared" si="27"/>
        <v>-9814973</v>
      </c>
    </row>
    <row r="444" spans="1:18" x14ac:dyDescent="0.25">
      <c r="A444" s="194" t="s">
        <v>547</v>
      </c>
      <c r="B444" s="194" t="s">
        <v>387</v>
      </c>
      <c r="C444" s="194" t="s">
        <v>388</v>
      </c>
      <c r="D444" s="194" t="s">
        <v>541</v>
      </c>
      <c r="E444" s="195">
        <v>86345000</v>
      </c>
      <c r="F444" s="195">
        <v>86345000</v>
      </c>
      <c r="G444" s="195">
        <v>86345000</v>
      </c>
      <c r="H444" s="195">
        <v>0</v>
      </c>
      <c r="I444" s="195">
        <v>15764785.390000001</v>
      </c>
      <c r="J444" s="195">
        <v>0</v>
      </c>
      <c r="K444" s="195">
        <v>70580214.609999999</v>
      </c>
      <c r="L444" s="257">
        <f t="shared" si="24"/>
        <v>0.81742098106433492</v>
      </c>
      <c r="M444" s="195">
        <v>70580214.609999999</v>
      </c>
      <c r="N444" s="257">
        <f t="shared" si="25"/>
        <v>0.81742098106433492</v>
      </c>
      <c r="O444" s="195">
        <v>0</v>
      </c>
      <c r="P444" s="257">
        <f t="shared" si="26"/>
        <v>0</v>
      </c>
      <c r="Q444" s="195">
        <v>0</v>
      </c>
      <c r="R444" s="260">
        <f t="shared" si="27"/>
        <v>0</v>
      </c>
    </row>
    <row r="445" spans="1:18" x14ac:dyDescent="0.25">
      <c r="A445" s="194" t="s">
        <v>547</v>
      </c>
      <c r="B445" s="194" t="s">
        <v>123</v>
      </c>
      <c r="C445" s="194" t="s">
        <v>124</v>
      </c>
      <c r="D445" s="194" t="s">
        <v>541</v>
      </c>
      <c r="E445" s="195">
        <v>31730334</v>
      </c>
      <c r="F445" s="195">
        <v>43352799</v>
      </c>
      <c r="G445" s="195">
        <v>43352799</v>
      </c>
      <c r="H445" s="195">
        <v>0</v>
      </c>
      <c r="I445" s="195">
        <v>886800</v>
      </c>
      <c r="J445" s="195">
        <v>0</v>
      </c>
      <c r="K445" s="195">
        <v>42465999</v>
      </c>
      <c r="L445" s="257">
        <f t="shared" si="24"/>
        <v>0.97954457335038503</v>
      </c>
      <c r="M445" s="195">
        <v>42465999</v>
      </c>
      <c r="N445" s="257">
        <f t="shared" si="25"/>
        <v>0.97954457335038503</v>
      </c>
      <c r="O445" s="195">
        <v>0</v>
      </c>
      <c r="P445" s="257">
        <f t="shared" si="26"/>
        <v>0</v>
      </c>
      <c r="Q445" s="195">
        <v>0</v>
      </c>
      <c r="R445" s="260">
        <f t="shared" si="27"/>
        <v>0</v>
      </c>
    </row>
    <row r="446" spans="1:18" x14ac:dyDescent="0.25">
      <c r="A446" s="194" t="s">
        <v>547</v>
      </c>
      <c r="B446" s="194" t="s">
        <v>168</v>
      </c>
      <c r="C446" s="194" t="s">
        <v>169</v>
      </c>
      <c r="D446" s="194" t="s">
        <v>541</v>
      </c>
      <c r="E446" s="195">
        <v>31730334</v>
      </c>
      <c r="F446" s="195">
        <v>43352799</v>
      </c>
      <c r="G446" s="195">
        <v>43352799</v>
      </c>
      <c r="H446" s="195">
        <v>0</v>
      </c>
      <c r="I446" s="195">
        <v>886800</v>
      </c>
      <c r="J446" s="195">
        <v>0</v>
      </c>
      <c r="K446" s="195">
        <v>42465999</v>
      </c>
      <c r="L446" s="257">
        <f t="shared" si="24"/>
        <v>0.97954457335038503</v>
      </c>
      <c r="M446" s="195">
        <v>42465999</v>
      </c>
      <c r="N446" s="257">
        <f t="shared" si="25"/>
        <v>0.97954457335038503</v>
      </c>
      <c r="O446" s="195">
        <v>0</v>
      </c>
      <c r="P446" s="257">
        <f t="shared" si="26"/>
        <v>0</v>
      </c>
      <c r="Q446" s="195">
        <v>0</v>
      </c>
      <c r="R446" s="260">
        <f t="shared" si="27"/>
        <v>0</v>
      </c>
    </row>
    <row r="447" spans="1:18" x14ac:dyDescent="0.25">
      <c r="A447" s="194" t="s">
        <v>547</v>
      </c>
      <c r="B447" s="194" t="s">
        <v>170</v>
      </c>
      <c r="C447" s="194" t="s">
        <v>171</v>
      </c>
      <c r="D447" s="194" t="s">
        <v>541</v>
      </c>
      <c r="E447" s="195">
        <v>31730334</v>
      </c>
      <c r="F447" s="195">
        <v>43352799</v>
      </c>
      <c r="G447" s="195">
        <v>43352799</v>
      </c>
      <c r="H447" s="195">
        <v>0</v>
      </c>
      <c r="I447" s="195">
        <v>886800</v>
      </c>
      <c r="J447" s="195">
        <v>0</v>
      </c>
      <c r="K447" s="195">
        <v>42465999</v>
      </c>
      <c r="L447" s="257">
        <f t="shared" si="24"/>
        <v>0.97954457335038503</v>
      </c>
      <c r="M447" s="195">
        <v>42465999</v>
      </c>
      <c r="N447" s="257">
        <f t="shared" si="25"/>
        <v>0.97954457335038503</v>
      </c>
      <c r="O447" s="195">
        <v>0</v>
      </c>
      <c r="P447" s="257">
        <f t="shared" si="26"/>
        <v>0</v>
      </c>
      <c r="Q447" s="195">
        <v>0</v>
      </c>
      <c r="R447" s="260">
        <f t="shared" si="27"/>
        <v>0</v>
      </c>
    </row>
    <row r="448" spans="1:18" x14ac:dyDescent="0.25">
      <c r="A448" s="194" t="s">
        <v>547</v>
      </c>
      <c r="B448" s="194" t="s">
        <v>251</v>
      </c>
      <c r="C448" s="194" t="s">
        <v>252</v>
      </c>
      <c r="D448" s="194" t="s">
        <v>541</v>
      </c>
      <c r="E448" s="195">
        <v>492565000</v>
      </c>
      <c r="F448" s="195">
        <v>480942535</v>
      </c>
      <c r="G448" s="195">
        <v>475537261</v>
      </c>
      <c r="H448" s="195">
        <v>0</v>
      </c>
      <c r="I448" s="195">
        <v>87914750.959999993</v>
      </c>
      <c r="J448" s="195">
        <v>0</v>
      </c>
      <c r="K448" s="195">
        <v>365920766.32999998</v>
      </c>
      <c r="L448" s="257">
        <f t="shared" si="24"/>
        <v>0.76084093150546561</v>
      </c>
      <c r="M448" s="195">
        <v>356812802.81</v>
      </c>
      <c r="N448" s="257">
        <f t="shared" si="25"/>
        <v>0.74190319392315762</v>
      </c>
      <c r="O448" s="195">
        <v>27107017.710000001</v>
      </c>
      <c r="P448" s="257">
        <f t="shared" si="26"/>
        <v>5.6362279767997646E-2</v>
      </c>
      <c r="Q448" s="195">
        <v>21701743.710000001</v>
      </c>
      <c r="R448" s="260">
        <f t="shared" si="27"/>
        <v>-5405274</v>
      </c>
    </row>
    <row r="449" spans="1:18" x14ac:dyDescent="0.25">
      <c r="A449" s="194" t="s">
        <v>547</v>
      </c>
      <c r="B449" s="194" t="s">
        <v>253</v>
      </c>
      <c r="C449" s="194" t="s">
        <v>254</v>
      </c>
      <c r="D449" s="194" t="s">
        <v>541</v>
      </c>
      <c r="E449" s="195">
        <v>154788000</v>
      </c>
      <c r="F449" s="195">
        <v>154788000</v>
      </c>
      <c r="G449" s="195">
        <v>149382726</v>
      </c>
      <c r="H449" s="195">
        <v>0</v>
      </c>
      <c r="I449" s="195">
        <v>32913119.260000002</v>
      </c>
      <c r="J449" s="195">
        <v>0</v>
      </c>
      <c r="K449" s="195">
        <v>109678940.73999999</v>
      </c>
      <c r="L449" s="257">
        <f t="shared" si="24"/>
        <v>0.70857521732950868</v>
      </c>
      <c r="M449" s="195">
        <v>109678940.73999999</v>
      </c>
      <c r="N449" s="257">
        <f t="shared" si="25"/>
        <v>0.70857521732950868</v>
      </c>
      <c r="O449" s="195">
        <v>12195940</v>
      </c>
      <c r="P449" s="257">
        <f t="shared" si="26"/>
        <v>7.8791249967697749E-2</v>
      </c>
      <c r="Q449" s="195">
        <v>6790666</v>
      </c>
      <c r="R449" s="260">
        <f t="shared" si="27"/>
        <v>-5405274</v>
      </c>
    </row>
    <row r="450" spans="1:18" x14ac:dyDescent="0.25">
      <c r="A450" s="194" t="s">
        <v>547</v>
      </c>
      <c r="B450" s="194" t="s">
        <v>389</v>
      </c>
      <c r="C450" s="194" t="s">
        <v>602</v>
      </c>
      <c r="D450" s="194" t="s">
        <v>541</v>
      </c>
      <c r="E450" s="195">
        <v>128817000</v>
      </c>
      <c r="F450" s="195">
        <v>128817000</v>
      </c>
      <c r="G450" s="195">
        <v>124229640</v>
      </c>
      <c r="H450" s="195">
        <v>0</v>
      </c>
      <c r="I450" s="195">
        <v>28824523.77</v>
      </c>
      <c r="J450" s="195">
        <v>0</v>
      </c>
      <c r="K450" s="195">
        <v>89633356.230000004</v>
      </c>
      <c r="L450" s="257">
        <f t="shared" si="24"/>
        <v>0.69581931134865738</v>
      </c>
      <c r="M450" s="195">
        <v>89633356.230000004</v>
      </c>
      <c r="N450" s="257">
        <f t="shared" si="25"/>
        <v>0.69581931134865738</v>
      </c>
      <c r="O450" s="195">
        <v>10359120</v>
      </c>
      <c r="P450" s="257">
        <f t="shared" si="26"/>
        <v>8.0417336221150937E-2</v>
      </c>
      <c r="Q450" s="195">
        <v>5771760</v>
      </c>
      <c r="R450" s="260">
        <f t="shared" si="27"/>
        <v>-4587360</v>
      </c>
    </row>
    <row r="451" spans="1:18" x14ac:dyDescent="0.25">
      <c r="A451" s="194" t="s">
        <v>547</v>
      </c>
      <c r="B451" s="194" t="s">
        <v>390</v>
      </c>
      <c r="C451" s="194" t="s">
        <v>603</v>
      </c>
      <c r="D451" s="194" t="s">
        <v>541</v>
      </c>
      <c r="E451" s="195">
        <v>25971000</v>
      </c>
      <c r="F451" s="195">
        <v>25971000</v>
      </c>
      <c r="G451" s="195">
        <v>25153086</v>
      </c>
      <c r="H451" s="195">
        <v>0</v>
      </c>
      <c r="I451" s="195">
        <v>4088595.49</v>
      </c>
      <c r="J451" s="195">
        <v>0</v>
      </c>
      <c r="K451" s="195">
        <v>20045584.510000002</v>
      </c>
      <c r="L451" s="257">
        <f t="shared" ref="L451:L457" si="28">+K451/F451</f>
        <v>0.7718449235685958</v>
      </c>
      <c r="M451" s="195">
        <v>20045584.510000002</v>
      </c>
      <c r="N451" s="257">
        <f t="shared" ref="N451:N457" si="29">+M451/F451</f>
        <v>0.7718449235685958</v>
      </c>
      <c r="O451" s="195">
        <v>1836820</v>
      </c>
      <c r="P451" s="257">
        <f t="shared" ref="P451:P457" si="30">+O451/F451</f>
        <v>7.0725809556813374E-2</v>
      </c>
      <c r="Q451" s="195">
        <v>1018906</v>
      </c>
      <c r="R451" s="260">
        <f t="shared" si="27"/>
        <v>-817914</v>
      </c>
    </row>
    <row r="452" spans="1:18" x14ac:dyDescent="0.25">
      <c r="A452" s="194" t="s">
        <v>547</v>
      </c>
      <c r="B452" s="194" t="s">
        <v>261</v>
      </c>
      <c r="C452" s="194" t="s">
        <v>262</v>
      </c>
      <c r="D452" s="194" t="s">
        <v>541</v>
      </c>
      <c r="E452" s="195">
        <v>312777000</v>
      </c>
      <c r="F452" s="195">
        <v>296154535</v>
      </c>
      <c r="G452" s="195">
        <v>296154535</v>
      </c>
      <c r="H452" s="195">
        <v>0</v>
      </c>
      <c r="I452" s="195">
        <v>49329748.990000002</v>
      </c>
      <c r="J452" s="195">
        <v>0</v>
      </c>
      <c r="K452" s="195">
        <v>231913708.30000001</v>
      </c>
      <c r="L452" s="257">
        <f t="shared" si="28"/>
        <v>0.78308342737348258</v>
      </c>
      <c r="M452" s="195">
        <v>222805744.78</v>
      </c>
      <c r="N452" s="257">
        <f t="shared" si="29"/>
        <v>0.75232933637163446</v>
      </c>
      <c r="O452" s="195">
        <v>14911077.710000001</v>
      </c>
      <c r="P452" s="257">
        <f t="shared" si="30"/>
        <v>5.03489764558223E-2</v>
      </c>
      <c r="Q452" s="195">
        <v>14911077.710000001</v>
      </c>
      <c r="R452" s="260">
        <f t="shared" si="27"/>
        <v>0</v>
      </c>
    </row>
    <row r="453" spans="1:18" x14ac:dyDescent="0.25">
      <c r="A453" s="194" t="s">
        <v>547</v>
      </c>
      <c r="B453" s="194" t="s">
        <v>263</v>
      </c>
      <c r="C453" s="194" t="s">
        <v>264</v>
      </c>
      <c r="D453" s="194" t="s">
        <v>541</v>
      </c>
      <c r="E453" s="195">
        <v>239389000</v>
      </c>
      <c r="F453" s="195">
        <v>239389000</v>
      </c>
      <c r="G453" s="195">
        <v>239389000</v>
      </c>
      <c r="H453" s="195">
        <v>0</v>
      </c>
      <c r="I453" s="195">
        <v>49329748.990000002</v>
      </c>
      <c r="J453" s="195">
        <v>0</v>
      </c>
      <c r="K453" s="195">
        <v>190059251.00999999</v>
      </c>
      <c r="L453" s="257">
        <f t="shared" si="28"/>
        <v>0.793934771480728</v>
      </c>
      <c r="M453" s="195">
        <v>180951287.49000001</v>
      </c>
      <c r="N453" s="257">
        <f t="shared" si="29"/>
        <v>0.75588806290180421</v>
      </c>
      <c r="O453" s="195">
        <v>0</v>
      </c>
      <c r="P453" s="257">
        <f t="shared" si="30"/>
        <v>0</v>
      </c>
      <c r="Q453" s="195">
        <v>0</v>
      </c>
      <c r="R453" s="260">
        <f t="shared" ref="R453:R457" si="31">G453-F453</f>
        <v>0</v>
      </c>
    </row>
    <row r="454" spans="1:18" x14ac:dyDescent="0.25">
      <c r="A454" s="194" t="s">
        <v>547</v>
      </c>
      <c r="B454" s="194" t="s">
        <v>265</v>
      </c>
      <c r="C454" s="194" t="s">
        <v>266</v>
      </c>
      <c r="D454" s="194" t="s">
        <v>541</v>
      </c>
      <c r="E454" s="195">
        <v>73388000</v>
      </c>
      <c r="F454" s="195">
        <v>56765535</v>
      </c>
      <c r="G454" s="195">
        <v>56765535</v>
      </c>
      <c r="H454" s="195">
        <v>0</v>
      </c>
      <c r="I454" s="195">
        <v>0</v>
      </c>
      <c r="J454" s="195">
        <v>0</v>
      </c>
      <c r="K454" s="195">
        <v>41854457.289999999</v>
      </c>
      <c r="L454" s="257">
        <f t="shared" si="28"/>
        <v>0.73732163873730772</v>
      </c>
      <c r="M454" s="195">
        <v>41854457.289999999</v>
      </c>
      <c r="N454" s="257">
        <f t="shared" si="29"/>
        <v>0.73732163873730772</v>
      </c>
      <c r="O454" s="195">
        <v>14911077.710000001</v>
      </c>
      <c r="P454" s="257">
        <f t="shared" si="30"/>
        <v>0.26267836126269223</v>
      </c>
      <c r="Q454" s="195">
        <v>14911077.710000001</v>
      </c>
      <c r="R454" s="260">
        <f t="shared" si="31"/>
        <v>0</v>
      </c>
    </row>
    <row r="455" spans="1:18" x14ac:dyDescent="0.25">
      <c r="A455" s="194" t="s">
        <v>547</v>
      </c>
      <c r="B455" s="194" t="s">
        <v>267</v>
      </c>
      <c r="C455" s="194" t="s">
        <v>268</v>
      </c>
      <c r="D455" s="194" t="s">
        <v>541</v>
      </c>
      <c r="E455" s="195">
        <v>25000000</v>
      </c>
      <c r="F455" s="195">
        <v>30000000</v>
      </c>
      <c r="G455" s="195">
        <v>30000000</v>
      </c>
      <c r="H455" s="195">
        <v>0</v>
      </c>
      <c r="I455" s="195">
        <v>5671882.71</v>
      </c>
      <c r="J455" s="195">
        <v>0</v>
      </c>
      <c r="K455" s="195">
        <v>24328117.289999999</v>
      </c>
      <c r="L455" s="257">
        <f t="shared" si="28"/>
        <v>0.81093724299999992</v>
      </c>
      <c r="M455" s="195">
        <v>24328117.289999999</v>
      </c>
      <c r="N455" s="257">
        <f t="shared" si="29"/>
        <v>0.81093724299999992</v>
      </c>
      <c r="O455" s="195">
        <v>0</v>
      </c>
      <c r="P455" s="257">
        <f t="shared" si="30"/>
        <v>0</v>
      </c>
      <c r="Q455" s="195">
        <v>0</v>
      </c>
      <c r="R455" s="260">
        <f t="shared" si="31"/>
        <v>0</v>
      </c>
    </row>
    <row r="456" spans="1:18" x14ac:dyDescent="0.25">
      <c r="A456" s="194" t="s">
        <v>547</v>
      </c>
      <c r="B456" s="194" t="s">
        <v>269</v>
      </c>
      <c r="C456" s="194" t="s">
        <v>270</v>
      </c>
      <c r="D456" s="194" t="s">
        <v>541</v>
      </c>
      <c r="E456" s="195">
        <v>10000000</v>
      </c>
      <c r="F456" s="195">
        <v>10000000</v>
      </c>
      <c r="G456" s="195">
        <v>10000000</v>
      </c>
      <c r="H456" s="195">
        <v>0</v>
      </c>
      <c r="I456" s="195">
        <v>149689.87</v>
      </c>
      <c r="J456" s="195">
        <v>0</v>
      </c>
      <c r="K456" s="195">
        <v>9850310.1300000008</v>
      </c>
      <c r="L456" s="257">
        <f t="shared" si="28"/>
        <v>0.98503101300000007</v>
      </c>
      <c r="M456" s="195">
        <v>9850310.1300000008</v>
      </c>
      <c r="N456" s="257">
        <f t="shared" si="29"/>
        <v>0.98503101300000007</v>
      </c>
      <c r="O456" s="195">
        <v>0</v>
      </c>
      <c r="P456" s="257">
        <f t="shared" si="30"/>
        <v>0</v>
      </c>
      <c r="Q456" s="195">
        <v>0</v>
      </c>
      <c r="R456" s="260">
        <f t="shared" si="31"/>
        <v>0</v>
      </c>
    </row>
    <row r="457" spans="1:18" x14ac:dyDescent="0.25">
      <c r="A457" s="194" t="s">
        <v>547</v>
      </c>
      <c r="B457" s="194" t="s">
        <v>271</v>
      </c>
      <c r="C457" s="194" t="s">
        <v>272</v>
      </c>
      <c r="D457" s="194" t="s">
        <v>541</v>
      </c>
      <c r="E457" s="195">
        <v>15000000</v>
      </c>
      <c r="F457" s="195">
        <v>20000000</v>
      </c>
      <c r="G457" s="195">
        <v>20000000</v>
      </c>
      <c r="H457" s="195">
        <v>0</v>
      </c>
      <c r="I457" s="195">
        <v>5522192.8399999999</v>
      </c>
      <c r="J457" s="195">
        <v>0</v>
      </c>
      <c r="K457" s="195">
        <v>14477807.16</v>
      </c>
      <c r="L457" s="257">
        <f t="shared" si="28"/>
        <v>0.72389035800000001</v>
      </c>
      <c r="M457" s="195">
        <v>14477807.16</v>
      </c>
      <c r="N457" s="257">
        <f t="shared" si="29"/>
        <v>0.72389035800000001</v>
      </c>
      <c r="O457" s="195">
        <v>0</v>
      </c>
      <c r="P457" s="257">
        <f t="shared" si="30"/>
        <v>0</v>
      </c>
      <c r="Q457" s="195">
        <v>0</v>
      </c>
      <c r="R457" s="260">
        <f t="shared" si="31"/>
        <v>0</v>
      </c>
    </row>
    <row r="458" spans="1:18" x14ac:dyDescent="0.25">
      <c r="A458" s="252" t="s">
        <v>587</v>
      </c>
      <c r="B458" s="252" t="s">
        <v>587</v>
      </c>
      <c r="C458" s="252" t="s">
        <v>587</v>
      </c>
      <c r="D458" s="252" t="s">
        <v>587</v>
      </c>
      <c r="E458" s="253">
        <v>675435665000</v>
      </c>
      <c r="F458" s="253">
        <v>706635887660</v>
      </c>
      <c r="G458" s="253">
        <v>689412409420</v>
      </c>
      <c r="H458" s="253">
        <v>1540823112.25</v>
      </c>
      <c r="I458" s="253">
        <v>47031024775.5</v>
      </c>
      <c r="J458" s="253">
        <v>1239733773.9000001</v>
      </c>
      <c r="K458" s="253">
        <v>510260917256.20001</v>
      </c>
      <c r="L458" s="253"/>
      <c r="M458" s="253">
        <v>505020263485.75</v>
      </c>
      <c r="N458" s="253"/>
      <c r="O458" s="253">
        <v>146563388742.14999</v>
      </c>
      <c r="P458" s="253"/>
      <c r="Q458" s="253">
        <v>129339910502.14999</v>
      </c>
    </row>
  </sheetData>
  <conditionalFormatting sqref="K2:K451">
    <cfRule type="cellIs" dxfId="10" priority="1" operator="lessThan">
      <formula>0</formula>
    </cfRule>
  </conditionalFormatting>
  <pageMargins left="0" right="0" top="0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0"/>
  <sheetViews>
    <sheetView topLeftCell="A129" zoomScale="82" zoomScaleNormal="82" workbookViewId="0">
      <selection activeCell="K151" sqref="K151"/>
    </sheetView>
  </sheetViews>
  <sheetFormatPr baseColWidth="10" defaultRowHeight="15" x14ac:dyDescent="0.25"/>
  <cols>
    <col min="2" max="2" width="20.42578125" customWidth="1"/>
    <col min="3" max="3" width="36.85546875" bestFit="1" customWidth="1"/>
    <col min="4" max="4" width="21" bestFit="1" customWidth="1"/>
    <col min="5" max="5" width="23.140625" bestFit="1" customWidth="1"/>
    <col min="6" max="6" width="17.140625" bestFit="1" customWidth="1"/>
    <col min="7" max="7" width="18.28515625" bestFit="1" customWidth="1"/>
    <col min="8" max="8" width="18.28515625" hidden="1" customWidth="1"/>
    <col min="9" max="9" width="18.28515625" bestFit="1" customWidth="1"/>
    <col min="10" max="10" width="18.28515625" customWidth="1"/>
    <col min="11" max="11" width="28.140625" bestFit="1" customWidth="1"/>
  </cols>
  <sheetData>
    <row r="1" spans="1:13" ht="18" thickBot="1" x14ac:dyDescent="0.3">
      <c r="C1" s="298" t="s">
        <v>0</v>
      </c>
      <c r="D1" s="300" t="s">
        <v>537</v>
      </c>
      <c r="E1" s="294" t="s">
        <v>2</v>
      </c>
      <c r="F1" s="294" t="s">
        <v>3</v>
      </c>
      <c r="G1" s="302" t="s">
        <v>4</v>
      </c>
      <c r="H1" s="303"/>
      <c r="I1" s="304"/>
      <c r="J1" s="305" t="s">
        <v>535</v>
      </c>
      <c r="K1" s="294" t="s">
        <v>6</v>
      </c>
      <c r="L1" s="294" t="s">
        <v>7</v>
      </c>
      <c r="M1" s="296" t="s">
        <v>8</v>
      </c>
    </row>
    <row r="2" spans="1:13" ht="17.25" x14ac:dyDescent="0.25">
      <c r="C2" s="299"/>
      <c r="D2" s="301"/>
      <c r="E2" s="295"/>
      <c r="F2" s="295"/>
      <c r="G2" s="6" t="s">
        <v>43</v>
      </c>
      <c r="H2" s="6" t="s">
        <v>31</v>
      </c>
      <c r="I2" s="7" t="s">
        <v>33</v>
      </c>
      <c r="J2" s="306"/>
      <c r="K2" s="295"/>
      <c r="L2" s="295"/>
      <c r="M2" s="297"/>
    </row>
    <row r="3" spans="1:13" s="23" customFormat="1" ht="17.25" x14ac:dyDescent="0.25">
      <c r="A3" s="107"/>
      <c r="B3" s="108" t="str">
        <f>+Estado!A11</f>
        <v>E-0</v>
      </c>
      <c r="C3" s="105" t="str">
        <f>IFERROR(VLOOKUP(B3,Estado!$A$9:$B$508,2,FALSE),0)</f>
        <v>REMUNERACIONES</v>
      </c>
      <c r="D3" s="22">
        <f>+D4+D8+D12+D18+D21+D26</f>
        <v>93001065494</v>
      </c>
      <c r="E3" s="22">
        <f t="shared" ref="E3:K3" si="0">+E4+E8+E12+E18+E21+E26</f>
        <v>92993551160</v>
      </c>
      <c r="F3" s="22">
        <f t="shared" si="0"/>
        <v>0</v>
      </c>
      <c r="G3" s="22">
        <f t="shared" si="0"/>
        <v>0</v>
      </c>
      <c r="H3" s="22">
        <f t="shared" si="0"/>
        <v>0</v>
      </c>
      <c r="I3" s="22">
        <f t="shared" si="0"/>
        <v>88405349792.529999</v>
      </c>
      <c r="J3" s="22">
        <f>+J4+J8+J12+J18+J21+J26</f>
        <v>88405349792.529999</v>
      </c>
      <c r="K3" s="22">
        <f t="shared" si="0"/>
        <v>4595715701.4699993</v>
      </c>
      <c r="L3" s="67">
        <f>+IFERROR(SUM(G3:I3)/D3,0)</f>
        <v>0.95058426828704989</v>
      </c>
      <c r="M3" s="67">
        <f>+IFERROR(+K3/D3,0)</f>
        <v>4.9415731712950037E-2</v>
      </c>
    </row>
    <row r="4" spans="1:13" s="24" customFormat="1" ht="16.5" x14ac:dyDescent="0.25">
      <c r="A4" s="109"/>
      <c r="B4" s="106" t="str">
        <f>+Estado!A12</f>
        <v>E-001</v>
      </c>
      <c r="C4" s="104" t="str">
        <f>IFERROR(VLOOKUP(B4,Estado!$A$9:$B$508,2,FALSE),0)</f>
        <v>REMUNERACIONES BASIC</v>
      </c>
      <c r="D4" s="16">
        <f>SUMIF(Estado!$A$9:$A$371,$B4,Estado!$C$9:$C$371)</f>
        <v>33487303627</v>
      </c>
      <c r="E4" s="16">
        <f>SUMIF(Estado!$A$9:$A$371,$B4,Estado!$D$9:$D$371)</f>
        <v>33481785377</v>
      </c>
      <c r="F4" s="16">
        <f>SUMIF(Estado!$A$9:$A$371,$B4,Estado!$E$9:$E$371)</f>
        <v>0</v>
      </c>
      <c r="G4" s="16">
        <f>SUMIF(Estado!$A$9:$A$371,$B4,Estado!$G$9:$G$371)</f>
        <v>0</v>
      </c>
      <c r="H4" s="16">
        <f>SUMIF(Estado!$A$9:$A$371,$B4,Estado!$I$9:$I$371)</f>
        <v>0</v>
      </c>
      <c r="I4" s="16">
        <f>SUMIF(Estado!$A$9:$A$371,$B4,Estado!$K$9:$K$371)</f>
        <v>31580969504.849998</v>
      </c>
      <c r="J4" s="16">
        <f>SUM(G4:I4)</f>
        <v>31580969504.849998</v>
      </c>
      <c r="K4" s="16">
        <f>SUMIF(Estado!$A$9:$A$371,$B4,Estado!$O$9:$O$371)</f>
        <v>1906334122.1500001</v>
      </c>
      <c r="L4" s="50">
        <f t="shared" ref="L4:L68" si="1">+IFERROR(SUM(G4:I4)/D4,0)</f>
        <v>0.94307292867219772</v>
      </c>
      <c r="M4" s="50">
        <f t="shared" ref="M4:M68" si="2">+IFERROR(+K4/D4,0)</f>
        <v>5.6927071327802253E-2</v>
      </c>
    </row>
    <row r="5" spans="1:13" s="24" customFormat="1" ht="16.5" x14ac:dyDescent="0.25">
      <c r="A5" s="109"/>
      <c r="B5" s="106" t="str">
        <f>+Estado!A13</f>
        <v>E-00101</v>
      </c>
      <c r="C5" s="104" t="str">
        <f>IFERROR(VLOOKUP(B5,Estado!$A$9:$B$508,2,FALSE),0)</f>
        <v>SUELDOS P/ C. FIJOS</v>
      </c>
      <c r="D5" s="16">
        <f>SUMIF(Estado!$A$9:$A$371,$B5,Estado!$C$9:$C$371)</f>
        <v>33465187627</v>
      </c>
      <c r="E5" s="16">
        <f>SUMIF(Estado!$A$9:$A$371,$B5,Estado!$D$9:$D$371)</f>
        <v>33459669377</v>
      </c>
      <c r="F5" s="16">
        <f>SUMIF(Estado!$A$9:$A$371,$B5,Estado!$E$9:$E$371)</f>
        <v>0</v>
      </c>
      <c r="G5" s="16">
        <f>SUMIF(Estado!$A$9:$A$371,$B5,Estado!$G$9:$G$371)</f>
        <v>0</v>
      </c>
      <c r="H5" s="16">
        <f>SUMIF(Estado!$A$9:$A$371,$B5,Estado!$I$9:$I$371)</f>
        <v>0</v>
      </c>
      <c r="I5" s="16">
        <f>SUMIF(Estado!$A$9:$A$371,$B5,Estado!$K$9:$K$371)</f>
        <v>31565697704.849998</v>
      </c>
      <c r="J5" s="16">
        <f t="shared" ref="J5:J69" si="3">SUM(G5:I5)</f>
        <v>31565697704.849998</v>
      </c>
      <c r="K5" s="16">
        <f>SUMIF(Estado!$A$9:$A$371,$B5,Estado!$O$9:$O$371)</f>
        <v>1899489922.1500001</v>
      </c>
      <c r="L5" s="50">
        <f t="shared" si="1"/>
        <v>0.94323982452088584</v>
      </c>
      <c r="M5" s="50">
        <f t="shared" si="2"/>
        <v>5.6760175479114161E-2</v>
      </c>
    </row>
    <row r="6" spans="1:13" s="24" customFormat="1" ht="16.5" x14ac:dyDescent="0.25">
      <c r="A6" s="109"/>
      <c r="B6" s="106" t="str">
        <f>+Estado!A14</f>
        <v>E-00103</v>
      </c>
      <c r="C6" s="104" t="str">
        <f>IFERROR(VLOOKUP(B6,Estado!$A$9:$B$508,2,FALSE),0)</f>
        <v>SERVICIOS ESPECIALES</v>
      </c>
      <c r="D6" s="16">
        <f>SUMIF(Estado!$A$9:$A$371,$B6,Estado!$C$9:$C$371)</f>
        <v>17116000</v>
      </c>
      <c r="E6" s="16">
        <f>SUMIF(Estado!$A$9:$A$371,$B6,Estado!$D$9:$D$371)</f>
        <v>17116000</v>
      </c>
      <c r="F6" s="16">
        <f>SUMIF(Estado!$A$9:$A$371,$B6,Estado!$E$9:$E$371)</f>
        <v>0</v>
      </c>
      <c r="G6" s="16">
        <f>SUMIF(Estado!$A$9:$A$371,$B6,Estado!$G$9:$G$371)</f>
        <v>0</v>
      </c>
      <c r="H6" s="16">
        <f>SUMIF(Estado!$A$9:$A$371,$B6,Estado!$I$9:$I$371)</f>
        <v>0</v>
      </c>
      <c r="I6" s="16">
        <f>SUMIF(Estado!$A$9:$A$371,$B6,Estado!$K$9:$K$371)</f>
        <v>15271800</v>
      </c>
      <c r="J6" s="16">
        <f t="shared" si="3"/>
        <v>15271800</v>
      </c>
      <c r="K6" s="16">
        <f>SUMIF(Estado!$A$9:$A$371,$B6,Estado!$O$9:$O$371)</f>
        <v>1844200</v>
      </c>
      <c r="L6" s="50">
        <f t="shared" si="1"/>
        <v>0.89225286281841554</v>
      </c>
      <c r="M6" s="50">
        <f t="shared" si="2"/>
        <v>0.10774713718158448</v>
      </c>
    </row>
    <row r="7" spans="1:13" s="24" customFormat="1" ht="16.5" x14ac:dyDescent="0.25">
      <c r="A7" s="109"/>
      <c r="B7" s="106" t="str">
        <f>+Estado!A15</f>
        <v>E-00105</v>
      </c>
      <c r="C7" s="104" t="str">
        <f>IFERROR(VLOOKUP(B7,Estado!$A$9:$B$508,2,FALSE),0)</f>
        <v>SUPLENCIAS</v>
      </c>
      <c r="D7" s="16">
        <f>SUMIF(Estado!$A$9:$A$371,$B7,Estado!$C$9:$C$371)</f>
        <v>5000000</v>
      </c>
      <c r="E7" s="16">
        <f>SUMIF(Estado!$A$9:$A$371,$B7,Estado!$D$9:$D$371)</f>
        <v>5000000</v>
      </c>
      <c r="F7" s="16">
        <f>SUMIF(Estado!$A$9:$A$371,$B7,Estado!$E$9:$E$371)</f>
        <v>0</v>
      </c>
      <c r="G7" s="16">
        <f>SUMIF(Estado!$A$9:$A$371,$B7,Estado!$G$9:$G$371)</f>
        <v>0</v>
      </c>
      <c r="H7" s="16">
        <f>SUMIF(Estado!$A$9:$A$371,$B7,Estado!$I$9:$I$371)</f>
        <v>0</v>
      </c>
      <c r="I7" s="16">
        <f>SUMIF(Estado!$A$9:$A$371,$B7,Estado!$K$9:$K$371)</f>
        <v>0</v>
      </c>
      <c r="J7" s="16">
        <f t="shared" si="3"/>
        <v>0</v>
      </c>
      <c r="K7" s="16">
        <f>SUMIF(Estado!$A$9:$A$371,$B7,Estado!$O$9:$O$371)</f>
        <v>5000000</v>
      </c>
      <c r="L7" s="50">
        <f t="shared" si="1"/>
        <v>0</v>
      </c>
      <c r="M7" s="50">
        <f t="shared" si="2"/>
        <v>1</v>
      </c>
    </row>
    <row r="8" spans="1:13" s="24" customFormat="1" ht="16.5" x14ac:dyDescent="0.25">
      <c r="A8" s="109"/>
      <c r="B8" s="106" t="str">
        <f>+Estado!A16</f>
        <v>E-002</v>
      </c>
      <c r="C8" s="104" t="str">
        <f>IFERROR(VLOOKUP(B8,Estado!$A$9:$B$508,2,FALSE),0)</f>
        <v>REMUNERACIONES EVENT</v>
      </c>
      <c r="D8" s="16">
        <f>SUMIF(Estado!$A$9:$A$371,$B8,Estado!$C$9:$C$371)</f>
        <v>3707791000</v>
      </c>
      <c r="E8" s="16">
        <f>SUMIF(Estado!$A$9:$A$371,$B8,Estado!$D$9:$D$371)</f>
        <v>3707791000</v>
      </c>
      <c r="F8" s="16">
        <f>SUMIF(Estado!$A$9:$A$371,$B8,Estado!$E$9:$E$371)</f>
        <v>0</v>
      </c>
      <c r="G8" s="16">
        <f>SUMIF(Estado!$A$9:$A$371,$B8,Estado!$G$9:$G$371)</f>
        <v>0</v>
      </c>
      <c r="H8" s="16">
        <f>SUMIF(Estado!$A$9:$A$371,$B8,Estado!$I$9:$I$371)</f>
        <v>0</v>
      </c>
      <c r="I8" s="16">
        <f>SUMIF(Estado!$A$9:$A$371,$B8,Estado!$K$9:$K$371)</f>
        <v>3622201506.9299998</v>
      </c>
      <c r="J8" s="16">
        <f t="shared" si="3"/>
        <v>3622201506.9299998</v>
      </c>
      <c r="K8" s="16">
        <f>SUMIF(Estado!$A$9:$A$371,$B8,Estado!$O$9:$O$371)</f>
        <v>85589493.070000008</v>
      </c>
      <c r="L8" s="50">
        <f t="shared" si="1"/>
        <v>0.97691631133739731</v>
      </c>
      <c r="M8" s="50">
        <f t="shared" si="2"/>
        <v>2.3083688662602613E-2</v>
      </c>
    </row>
    <row r="9" spans="1:13" s="24" customFormat="1" ht="16.5" x14ac:dyDescent="0.25">
      <c r="A9" s="109"/>
      <c r="B9" s="106" t="str">
        <f>+Estado!A17</f>
        <v>E-00201</v>
      </c>
      <c r="C9" s="104" t="str">
        <f>IFERROR(VLOOKUP(B9,Estado!$A$9:$B$508,2,FALSE),0)</f>
        <v>TIEMPO EXTRAORD.</v>
      </c>
      <c r="D9" s="16">
        <f>SUMIF(Estado!$A$9:$A$371,$B9,Estado!$C$9:$C$371)</f>
        <v>19000000</v>
      </c>
      <c r="E9" s="16">
        <f>SUMIF(Estado!$A$9:$A$371,$B9,Estado!$D$9:$D$371)</f>
        <v>19000000</v>
      </c>
      <c r="F9" s="16">
        <f>SUMIF(Estado!$A$9:$A$371,$B9,Estado!$E$9:$E$371)</f>
        <v>0</v>
      </c>
      <c r="G9" s="16">
        <f>SUMIF(Estado!$A$9:$A$371,$B9,Estado!$G$9:$G$371)</f>
        <v>0</v>
      </c>
      <c r="H9" s="16">
        <f>SUMIF(Estado!$A$9:$A$371,$B9,Estado!$I$9:$I$371)</f>
        <v>0</v>
      </c>
      <c r="I9" s="16">
        <f>SUMIF(Estado!$A$9:$A$371,$B9,Estado!$K$9:$K$371)</f>
        <v>13030495.280000001</v>
      </c>
      <c r="J9" s="16">
        <f t="shared" si="3"/>
        <v>13030495.280000001</v>
      </c>
      <c r="K9" s="16">
        <f>SUMIF(Estado!$A$9:$A$371,$B9,Estado!$O$9:$O$371)</f>
        <v>5969504.7199999997</v>
      </c>
      <c r="L9" s="50">
        <f t="shared" si="1"/>
        <v>0.68581554105263165</v>
      </c>
      <c r="M9" s="50">
        <f t="shared" si="2"/>
        <v>0.31418445894736841</v>
      </c>
    </row>
    <row r="10" spans="1:13" s="24" customFormat="1" ht="16.5" x14ac:dyDescent="0.25">
      <c r="A10" s="109"/>
      <c r="B10" s="106" t="str">
        <f>+Estado!A18</f>
        <v>E-00202</v>
      </c>
      <c r="C10" s="104" t="str">
        <f>IFERROR(VLOOKUP(B10,Estado!$A$9:$B$508,2,FALSE),0)</f>
        <v>RECARGO DE FUNCIONES</v>
      </c>
      <c r="D10" s="16">
        <f>SUMIF(Estado!$A$9:$A$371,$B10,Estado!$C$9:$C$371)</f>
        <v>14994000</v>
      </c>
      <c r="E10" s="16">
        <f>SUMIF(Estado!$A$9:$A$371,$B10,Estado!$D$9:$D$371)</f>
        <v>14994000</v>
      </c>
      <c r="F10" s="16">
        <f>SUMIF(Estado!$A$9:$A$371,$B10,Estado!$E$9:$E$371)</f>
        <v>0</v>
      </c>
      <c r="G10" s="16">
        <f>SUMIF(Estado!$A$9:$A$371,$B10,Estado!$G$9:$G$371)</f>
        <v>0</v>
      </c>
      <c r="H10" s="16">
        <f>SUMIF(Estado!$A$9:$A$371,$B10,Estado!$I$9:$I$371)</f>
        <v>0</v>
      </c>
      <c r="I10" s="16">
        <f>SUMIF(Estado!$A$9:$A$371,$B10,Estado!$K$9:$K$371)</f>
        <v>5854231</v>
      </c>
      <c r="J10" s="16">
        <f t="shared" si="3"/>
        <v>5854231</v>
      </c>
      <c r="K10" s="16">
        <f>SUMIF(Estado!$A$9:$A$371,$B10,Estado!$O$9:$O$371)</f>
        <v>9139769</v>
      </c>
      <c r="L10" s="50">
        <f t="shared" si="1"/>
        <v>0.39043824196345206</v>
      </c>
      <c r="M10" s="50">
        <f t="shared" si="2"/>
        <v>0.609561758036548</v>
      </c>
    </row>
    <row r="11" spans="1:13" s="24" customFormat="1" ht="16.5" x14ac:dyDescent="0.25">
      <c r="A11" s="109"/>
      <c r="B11" s="106" t="str">
        <f>+Estado!A19</f>
        <v>E-00203</v>
      </c>
      <c r="C11" s="104" t="str">
        <f>IFERROR(VLOOKUP(B11,Estado!$A$9:$B$508,2,FALSE),0)</f>
        <v>DISPONIBILIDAD LAB.</v>
      </c>
      <c r="D11" s="16">
        <f>SUMIF(Estado!$A$9:$A$371,$B11,Estado!$C$9:$C$371)</f>
        <v>3673797000</v>
      </c>
      <c r="E11" s="16">
        <f>SUMIF(Estado!$A$9:$A$371,$B11,Estado!$D$9:$D$371)</f>
        <v>3673797000</v>
      </c>
      <c r="F11" s="16">
        <f>SUMIF(Estado!$A$9:$A$371,$B11,Estado!$E$9:$E$371)</f>
        <v>0</v>
      </c>
      <c r="G11" s="16">
        <f>SUMIF(Estado!$A$9:$A$371,$B11,Estado!$G$9:$G$371)</f>
        <v>0</v>
      </c>
      <c r="H11" s="16">
        <f>SUMIF(Estado!$A$9:$A$371,$B11,Estado!$I$9:$I$371)</f>
        <v>0</v>
      </c>
      <c r="I11" s="16">
        <f>SUMIF(Estado!$A$9:$A$371,$B11,Estado!$K$9:$K$371)</f>
        <v>3603316780.6500001</v>
      </c>
      <c r="J11" s="16">
        <f t="shared" si="3"/>
        <v>3603316780.6500001</v>
      </c>
      <c r="K11" s="16">
        <f>SUMIF(Estado!$A$9:$A$371,$B11,Estado!$O$9:$O$371)</f>
        <v>70480219.349999994</v>
      </c>
      <c r="L11" s="50">
        <f t="shared" si="1"/>
        <v>0.98081542900982288</v>
      </c>
      <c r="M11" s="50">
        <f t="shared" si="2"/>
        <v>1.9184570990177192E-2</v>
      </c>
    </row>
    <row r="12" spans="1:13" s="24" customFormat="1" ht="16.5" x14ac:dyDescent="0.25">
      <c r="A12" s="109"/>
      <c r="B12" s="106" t="str">
        <f>+Estado!A20</f>
        <v>E-003</v>
      </c>
      <c r="C12" s="104" t="str">
        <f>IFERROR(VLOOKUP(B12,Estado!$A$9:$B$508,2,FALSE),0)</f>
        <v>INCENTIVOS SALARIAL</v>
      </c>
      <c r="D12" s="16">
        <f>SUMIF(Estado!$A$9:$A$371,$B12,Estado!$C$9:$C$371)</f>
        <v>41584847642</v>
      </c>
      <c r="E12" s="16">
        <f>SUMIF(Estado!$A$9:$A$371,$B12,Estado!$D$9:$D$371)</f>
        <v>41584647642</v>
      </c>
      <c r="F12" s="16">
        <f>SUMIF(Estado!$A$9:$A$371,$B12,Estado!$E$9:$E$371)</f>
        <v>0</v>
      </c>
      <c r="G12" s="16">
        <f>SUMIF(Estado!$A$9:$A$371,$B12,Estado!$G$9:$G$371)</f>
        <v>0</v>
      </c>
      <c r="H12" s="16">
        <f>SUMIF(Estado!$A$9:$A$371,$B12,Estado!$I$9:$I$371)</f>
        <v>0</v>
      </c>
      <c r="I12" s="16">
        <f>SUMIF(Estado!$A$9:$A$371,$B12,Estado!$K$9:$K$371)</f>
        <v>39827501474.610001</v>
      </c>
      <c r="J12" s="16">
        <f t="shared" si="3"/>
        <v>39827501474.610001</v>
      </c>
      <c r="K12" s="16">
        <f>SUMIF(Estado!$A$9:$A$371,$B12,Estado!$O$9:$O$371)</f>
        <v>1757346167.3899999</v>
      </c>
      <c r="L12" s="50">
        <f t="shared" si="1"/>
        <v>0.95774070924778121</v>
      </c>
      <c r="M12" s="50">
        <f t="shared" si="2"/>
        <v>4.2259290752218834E-2</v>
      </c>
    </row>
    <row r="13" spans="1:13" s="24" customFormat="1" ht="16.5" x14ac:dyDescent="0.25">
      <c r="A13" s="109"/>
      <c r="B13" s="106" t="str">
        <f>+Estado!A21</f>
        <v>E-00301</v>
      </c>
      <c r="C13" s="104" t="str">
        <f>IFERROR(VLOOKUP(B13,Estado!$A$9:$B$508,2,FALSE),0)</f>
        <v>RETRIB AÑOS SERVIDOS</v>
      </c>
      <c r="D13" s="16">
        <f>SUMIF(Estado!$A$9:$A$371,$B13,Estado!$C$9:$C$371)</f>
        <v>12125073994</v>
      </c>
      <c r="E13" s="16">
        <f>SUMIF(Estado!$A$9:$A$371,$B13,Estado!$D$9:$D$371)</f>
        <v>12125073994</v>
      </c>
      <c r="F13" s="16">
        <f>SUMIF(Estado!$A$9:$A$371,$B13,Estado!$E$9:$E$371)</f>
        <v>0</v>
      </c>
      <c r="G13" s="16">
        <f>SUMIF(Estado!$A$9:$A$371,$B13,Estado!$G$9:$G$371)</f>
        <v>0</v>
      </c>
      <c r="H13" s="16">
        <f>SUMIF(Estado!$A$9:$A$371,$B13,Estado!$I$9:$I$371)</f>
        <v>0</v>
      </c>
      <c r="I13" s="16">
        <f>SUMIF(Estado!$A$9:$A$371,$B13,Estado!$K$9:$K$371)</f>
        <v>11623419233.99</v>
      </c>
      <c r="J13" s="16">
        <f t="shared" si="3"/>
        <v>11623419233.99</v>
      </c>
      <c r="K13" s="16">
        <f>SUMIF(Estado!$A$9:$A$371,$B13,Estado!$O$9:$O$371)</f>
        <v>501654760.00999999</v>
      </c>
      <c r="L13" s="50">
        <f t="shared" si="1"/>
        <v>0.95862666403040175</v>
      </c>
      <c r="M13" s="50">
        <f t="shared" si="2"/>
        <v>4.1373335969598204E-2</v>
      </c>
    </row>
    <row r="14" spans="1:13" s="24" customFormat="1" ht="16.5" x14ac:dyDescent="0.25">
      <c r="A14" s="109"/>
      <c r="B14" s="106" t="str">
        <f>+Estado!A22</f>
        <v>E-00302</v>
      </c>
      <c r="C14" s="104" t="str">
        <f>IFERROR(VLOOKUP(B14,Estado!$A$9:$B$508,2,FALSE),0)</f>
        <v>REST. EJERC LIB PROF</v>
      </c>
      <c r="D14" s="16">
        <f>SUMIF(Estado!$A$9:$A$371,$B14,Estado!$C$9:$C$371)</f>
        <v>8431886629</v>
      </c>
      <c r="E14" s="16">
        <f>SUMIF(Estado!$A$9:$A$371,$B14,Estado!$D$9:$D$371)</f>
        <v>8431886629</v>
      </c>
      <c r="F14" s="16">
        <f>SUMIF(Estado!$A$9:$A$371,$B14,Estado!$E$9:$E$371)</f>
        <v>0</v>
      </c>
      <c r="G14" s="16">
        <f>SUMIF(Estado!$A$9:$A$371,$B14,Estado!$G$9:$G$371)</f>
        <v>0</v>
      </c>
      <c r="H14" s="16">
        <f>SUMIF(Estado!$A$9:$A$371,$B14,Estado!$I$9:$I$371)</f>
        <v>0</v>
      </c>
      <c r="I14" s="16">
        <f>SUMIF(Estado!$A$9:$A$371,$B14,Estado!$K$9:$K$371)</f>
        <v>7927265350.0100002</v>
      </c>
      <c r="J14" s="16">
        <f t="shared" si="3"/>
        <v>7927265350.0100002</v>
      </c>
      <c r="K14" s="16">
        <f>SUMIF(Estado!$A$9:$A$371,$B14,Estado!$O$9:$O$371)</f>
        <v>504621278.99000001</v>
      </c>
      <c r="L14" s="50">
        <f t="shared" si="1"/>
        <v>0.94015321823061004</v>
      </c>
      <c r="M14" s="50">
        <f t="shared" si="2"/>
        <v>5.9846781769389942E-2</v>
      </c>
    </row>
    <row r="15" spans="1:13" s="24" customFormat="1" ht="16.5" x14ac:dyDescent="0.25">
      <c r="A15" s="109"/>
      <c r="B15" s="106" t="str">
        <f>+Estado!A23</f>
        <v>E-00303</v>
      </c>
      <c r="C15" s="104" t="str">
        <f>IFERROR(VLOOKUP(B15,Estado!$A$9:$B$508,2,FALSE),0)</f>
        <v>DECIMOTERCER MES</v>
      </c>
      <c r="D15" s="16">
        <f>SUMIF(Estado!$A$9:$A$371,$B15,Estado!$C$9:$C$371)</f>
        <v>5965099864</v>
      </c>
      <c r="E15" s="16">
        <f>SUMIF(Estado!$A$9:$A$371,$B15,Estado!$D$9:$D$371)</f>
        <v>5965099864</v>
      </c>
      <c r="F15" s="16">
        <f>SUMIF(Estado!$A$9:$A$371,$B15,Estado!$E$9:$E$371)</f>
        <v>0</v>
      </c>
      <c r="G15" s="16">
        <f>SUMIF(Estado!$A$9:$A$371,$B15,Estado!$G$9:$G$371)</f>
        <v>0</v>
      </c>
      <c r="H15" s="16">
        <f>SUMIF(Estado!$A$9:$A$371,$B15,Estado!$I$9:$I$371)</f>
        <v>0</v>
      </c>
      <c r="I15" s="16">
        <f>SUMIF(Estado!$A$9:$A$371,$B15,Estado!$K$9:$K$371)</f>
        <v>5822303546.3600006</v>
      </c>
      <c r="J15" s="16">
        <f t="shared" si="3"/>
        <v>5822303546.3600006</v>
      </c>
      <c r="K15" s="16">
        <f>SUMIF(Estado!$A$9:$A$371,$B15,Estado!$O$9:$O$371)</f>
        <v>142796317.64000002</v>
      </c>
      <c r="L15" s="50">
        <f t="shared" si="1"/>
        <v>0.97606137015378569</v>
      </c>
      <c r="M15" s="50">
        <f t="shared" si="2"/>
        <v>2.3938629846214428E-2</v>
      </c>
    </row>
    <row r="16" spans="1:13" s="24" customFormat="1" ht="16.5" x14ac:dyDescent="0.25">
      <c r="A16" s="109"/>
      <c r="B16" s="106" t="str">
        <f>+Estado!A24</f>
        <v>E-00304</v>
      </c>
      <c r="C16" s="104" t="str">
        <f>IFERROR(VLOOKUP(B16,Estado!$A$9:$B$508,2,FALSE),0)</f>
        <v>SALARIO ESCOLAR</v>
      </c>
      <c r="D16" s="16">
        <f>SUMIF(Estado!$A$9:$A$371,$B16,Estado!$C$9:$C$371)</f>
        <v>5257187000</v>
      </c>
      <c r="E16" s="16">
        <f>SUMIF(Estado!$A$9:$A$371,$B16,Estado!$D$9:$D$371)</f>
        <v>5257187000</v>
      </c>
      <c r="F16" s="16">
        <f>SUMIF(Estado!$A$9:$A$371,$B16,Estado!$E$9:$E$371)</f>
        <v>0</v>
      </c>
      <c r="G16" s="16">
        <f>SUMIF(Estado!$A$9:$A$371,$B16,Estado!$G$9:$G$371)</f>
        <v>0</v>
      </c>
      <c r="H16" s="16">
        <f>SUMIF(Estado!$A$9:$A$371,$B16,Estado!$I$9:$I$371)</f>
        <v>0</v>
      </c>
      <c r="I16" s="16">
        <f>SUMIF(Estado!$A$9:$A$371,$B16,Estado!$K$9:$K$371)</f>
        <v>5193564474.46</v>
      </c>
      <c r="J16" s="16">
        <f t="shared" si="3"/>
        <v>5193564474.46</v>
      </c>
      <c r="K16" s="16">
        <f>SUMIF(Estado!$A$9:$A$371,$B16,Estado!$O$9:$O$371)</f>
        <v>63622525.539999999</v>
      </c>
      <c r="L16" s="50">
        <f t="shared" si="1"/>
        <v>0.98789799078100138</v>
      </c>
      <c r="M16" s="50">
        <f t="shared" si="2"/>
        <v>1.2102009218998677E-2</v>
      </c>
    </row>
    <row r="17" spans="1:13" s="24" customFormat="1" ht="16.5" x14ac:dyDescent="0.25">
      <c r="A17" s="109"/>
      <c r="B17" s="106" t="str">
        <f>+Estado!A25</f>
        <v>E-00399</v>
      </c>
      <c r="C17" s="104" t="str">
        <f>IFERROR(VLOOKUP(B17,Estado!$A$9:$B$508,2,FALSE),0)</f>
        <v>OTROS INCENT SALAR.</v>
      </c>
      <c r="D17" s="16">
        <f>SUMIF(Estado!$A$9:$A$371,$B17,Estado!$C$9:$C$371)</f>
        <v>9805600155</v>
      </c>
      <c r="E17" s="16">
        <f>SUMIF(Estado!$A$9:$A$371,$B17,Estado!$D$9:$D$371)</f>
        <v>9805400155</v>
      </c>
      <c r="F17" s="16">
        <f>SUMIF(Estado!$A$9:$A$371,$B17,Estado!$E$9:$E$371)</f>
        <v>0</v>
      </c>
      <c r="G17" s="16">
        <f>SUMIF(Estado!$A$9:$A$371,$B17,Estado!$G$9:$G$371)</f>
        <v>0</v>
      </c>
      <c r="H17" s="16">
        <f>SUMIF(Estado!$A$9:$A$371,$B17,Estado!$I$9:$I$371)</f>
        <v>0</v>
      </c>
      <c r="I17" s="16">
        <f>SUMIF(Estado!$A$9:$A$371,$B17,Estado!$K$9:$K$371)</f>
        <v>9260948869.7900009</v>
      </c>
      <c r="J17" s="16">
        <f t="shared" si="3"/>
        <v>9260948869.7900009</v>
      </c>
      <c r="K17" s="16">
        <f>SUMIF(Estado!$A$9:$A$371,$B17,Estado!$O$9:$O$371)</f>
        <v>544651285.21000004</v>
      </c>
      <c r="L17" s="50">
        <f t="shared" si="1"/>
        <v>0.94445507907720727</v>
      </c>
      <c r="M17" s="50">
        <f t="shared" si="2"/>
        <v>5.5544920922792819E-2</v>
      </c>
    </row>
    <row r="18" spans="1:13" s="24" customFormat="1" ht="16.5" x14ac:dyDescent="0.25">
      <c r="A18" s="109"/>
      <c r="B18" s="106" t="str">
        <f>+Estado!A26</f>
        <v>E-004</v>
      </c>
      <c r="C18" s="104" t="str">
        <f>IFERROR(VLOOKUP(B18,Estado!$A$9:$B$508,2,FALSE),0)</f>
        <v>CONT PATR DESA S.SOC</v>
      </c>
      <c r="D18" s="16">
        <f>SUMIF(Estado!$A$9:$A$371,$B18,Estado!$C$9:$C$371)</f>
        <v>7114180923</v>
      </c>
      <c r="E18" s="16">
        <f>SUMIF(Estado!$A$9:$A$371,$B18,Estado!$D$9:$D$371)</f>
        <v>7114106004</v>
      </c>
      <c r="F18" s="16">
        <f>SUMIF(Estado!$A$9:$A$371,$B18,Estado!$E$9:$E$371)</f>
        <v>0</v>
      </c>
      <c r="G18" s="16">
        <f>SUMIF(Estado!$A$9:$A$371,$B18,Estado!$G$9:$G$371)</f>
        <v>0</v>
      </c>
      <c r="H18" s="16">
        <f>SUMIF(Estado!$A$9:$A$371,$B18,Estado!$I$9:$I$371)</f>
        <v>0</v>
      </c>
      <c r="I18" s="16">
        <f>SUMIF(Estado!$A$9:$A$371,$B18,Estado!$K$9:$K$371)</f>
        <v>6737313265</v>
      </c>
      <c r="J18" s="16">
        <f t="shared" si="3"/>
        <v>6737313265</v>
      </c>
      <c r="K18" s="16">
        <f>SUMIF(Estado!$A$9:$A$371,$B18,Estado!$O$9:$O$371)</f>
        <v>376867658</v>
      </c>
      <c r="L18" s="50">
        <f t="shared" si="1"/>
        <v>0.94702585412445806</v>
      </c>
      <c r="M18" s="50">
        <f t="shared" si="2"/>
        <v>5.2974145875541993E-2</v>
      </c>
    </row>
    <row r="19" spans="1:13" s="24" customFormat="1" ht="16.5" x14ac:dyDescent="0.25">
      <c r="A19" s="109"/>
      <c r="B19" s="106" t="str">
        <f>+Estado!A27</f>
        <v>E-00401</v>
      </c>
      <c r="C19" s="104" t="str">
        <f>IFERROR(VLOOKUP(B19,Estado!$A$9:$B$508,2,FALSE),0)</f>
        <v>CONT P.SEG.S C.C.S.S</v>
      </c>
      <c r="D19" s="16">
        <f>SUMIF(Estado!$A$9:$A$371,$B19,Estado!$C$9:$C$371)</f>
        <v>6747763463</v>
      </c>
      <c r="E19" s="16">
        <f>SUMIF(Estado!$A$9:$A$371,$B19,Estado!$D$9:$D$371)</f>
        <v>6747688544</v>
      </c>
      <c r="F19" s="16">
        <f>SUMIF(Estado!$A$9:$A$371,$B19,Estado!$E$9:$E$371)</f>
        <v>0</v>
      </c>
      <c r="G19" s="16">
        <f>SUMIF(Estado!$A$9:$A$371,$B19,Estado!$G$9:$G$371)</f>
        <v>0</v>
      </c>
      <c r="H19" s="16">
        <f>SUMIF(Estado!$A$9:$A$371,$B19,Estado!$I$9:$I$371)</f>
        <v>0</v>
      </c>
      <c r="I19" s="16">
        <f>SUMIF(Estado!$A$9:$A$371,$B19,Estado!$K$9:$K$371)</f>
        <v>6391861931</v>
      </c>
      <c r="J19" s="16">
        <f t="shared" si="3"/>
        <v>6391861931</v>
      </c>
      <c r="K19" s="16">
        <f>SUMIF(Estado!$A$9:$A$371,$B19,Estado!$O$9:$O$371)</f>
        <v>355901532</v>
      </c>
      <c r="L19" s="50">
        <f t="shared" si="1"/>
        <v>0.94725637109962224</v>
      </c>
      <c r="M19" s="50">
        <f t="shared" si="2"/>
        <v>5.2743628900377773E-2</v>
      </c>
    </row>
    <row r="20" spans="1:13" s="24" customFormat="1" ht="16.5" x14ac:dyDescent="0.25">
      <c r="A20" s="109"/>
      <c r="B20" s="106" t="str">
        <f>+Estado!A33</f>
        <v>E-00405</v>
      </c>
      <c r="C20" s="104" t="str">
        <f>IFERROR(VLOOKUP(B20,Estado!$A$9:$B$508,2,FALSE),0)</f>
        <v>CONTRIB PAT B.P.D.C.</v>
      </c>
      <c r="D20" s="16">
        <f>SUMIF(Estado!$A$9:$A$371,$B20,Estado!$C$9:$C$371)</f>
        <v>366417460</v>
      </c>
      <c r="E20" s="16">
        <f>SUMIF(Estado!$A$9:$A$371,$B20,Estado!$D$9:$D$371)</f>
        <v>366417460</v>
      </c>
      <c r="F20" s="16">
        <f>SUMIF(Estado!$A$9:$A$371,$B20,Estado!$E$9:$E$371)</f>
        <v>0</v>
      </c>
      <c r="G20" s="16">
        <f>SUMIF(Estado!$A$9:$A$371,$B20,Estado!$G$9:$G$371)</f>
        <v>0</v>
      </c>
      <c r="H20" s="16">
        <f>SUMIF(Estado!$A$9:$A$371,$B20,Estado!$I$9:$I$371)</f>
        <v>0</v>
      </c>
      <c r="I20" s="16">
        <f>SUMIF(Estado!$A$9:$A$371,$B20,Estado!$K$9:$K$371)</f>
        <v>345451334</v>
      </c>
      <c r="J20" s="16">
        <f t="shared" si="3"/>
        <v>345451334</v>
      </c>
      <c r="K20" s="16">
        <f>SUMIF(Estado!$A$9:$A$371,$B20,Estado!$O$9:$O$371)</f>
        <v>20966126</v>
      </c>
      <c r="L20" s="50">
        <f t="shared" si="1"/>
        <v>0.94278076705187575</v>
      </c>
      <c r="M20" s="50">
        <f t="shared" si="2"/>
        <v>5.7219232948124255E-2</v>
      </c>
    </row>
    <row r="21" spans="1:13" s="24" customFormat="1" ht="16.5" x14ac:dyDescent="0.25">
      <c r="A21" s="109"/>
      <c r="B21" s="106" t="str">
        <f>+Estado!A39</f>
        <v>E-005</v>
      </c>
      <c r="C21" s="104" t="str">
        <f>IFERROR(VLOOKUP(B21,Estado!$A$9:$B$508,2,FALSE),0)</f>
        <v>CONT PATR F.PENS OTR</v>
      </c>
      <c r="D21" s="16">
        <f>SUMIF(Estado!$A$9:$A$371,$B21,Estado!$C$9:$C$371)</f>
        <v>7106942302</v>
      </c>
      <c r="E21" s="16">
        <f>SUMIF(Estado!$A$9:$A$371,$B21,Estado!$D$9:$D$371)</f>
        <v>7105221137</v>
      </c>
      <c r="F21" s="16">
        <f>SUMIF(Estado!$A$9:$A$371,$B21,Estado!$E$9:$E$371)</f>
        <v>0</v>
      </c>
      <c r="G21" s="16">
        <f>SUMIF(Estado!$A$9:$A$371,$B21,Estado!$G$9:$G$371)</f>
        <v>0</v>
      </c>
      <c r="H21" s="16">
        <f>SUMIF(Estado!$A$9:$A$371,$B21,Estado!$I$9:$I$371)</f>
        <v>0</v>
      </c>
      <c r="I21" s="16">
        <f>SUMIF(Estado!$A$9:$A$371,$B21,Estado!$K$9:$K$371)</f>
        <v>6637364041.1400003</v>
      </c>
      <c r="J21" s="16">
        <f t="shared" si="3"/>
        <v>6637364041.1400003</v>
      </c>
      <c r="K21" s="16">
        <f>SUMIF(Estado!$A$9:$A$371,$B21,Estado!$O$9:$O$371)</f>
        <v>469578260.86000001</v>
      </c>
      <c r="L21" s="50">
        <f t="shared" si="1"/>
        <v>0.93392682240745739</v>
      </c>
      <c r="M21" s="50">
        <f t="shared" si="2"/>
        <v>6.6073177592542665E-2</v>
      </c>
    </row>
    <row r="22" spans="1:13" s="23" customFormat="1" ht="16.5" x14ac:dyDescent="0.25">
      <c r="A22" s="107"/>
      <c r="B22" s="106" t="str">
        <f>+Estado!A40</f>
        <v>E-00501</v>
      </c>
      <c r="C22" s="104" t="str">
        <f>IFERROR(VLOOKUP(B22,Estado!$A$9:$B$508,2,FALSE),0)</f>
        <v>CONT P.SPENS.C.C.S.S</v>
      </c>
      <c r="D22" s="16">
        <f>SUMIF(Estado!$A$9:$A$371,$B22,Estado!$C$9:$C$371)</f>
        <v>3722822168</v>
      </c>
      <c r="E22" s="16">
        <f>SUMIF(Estado!$A$9:$A$371,$B22,Estado!$D$9:$D$371)</f>
        <v>3722361468</v>
      </c>
      <c r="F22" s="16">
        <f>SUMIF(Estado!$A$9:$A$371,$B22,Estado!$E$9:$E$371)</f>
        <v>0</v>
      </c>
      <c r="G22" s="16">
        <f>SUMIF(Estado!$A$9:$A$371,$B22,Estado!$G$9:$G$371)</f>
        <v>0</v>
      </c>
      <c r="H22" s="16">
        <f>SUMIF(Estado!$A$9:$A$371,$B22,Estado!$I$9:$I$371)</f>
        <v>0</v>
      </c>
      <c r="I22" s="16">
        <f>SUMIF(Estado!$A$9:$A$371,$B22,Estado!$K$9:$K$371)</f>
        <v>3445423100</v>
      </c>
      <c r="J22" s="16">
        <f t="shared" ref="J22" si="4">SUM(G22:I22)</f>
        <v>3445423100</v>
      </c>
      <c r="K22" s="16">
        <f>SUMIF(Estado!$A$9:$A$371,$B22,Estado!$O$9:$O$371)</f>
        <v>277399068</v>
      </c>
      <c r="L22" s="50">
        <f t="shared" si="1"/>
        <v>0.92548688723720951</v>
      </c>
      <c r="M22" s="50">
        <f t="shared" si="2"/>
        <v>7.4513112762790448E-2</v>
      </c>
    </row>
    <row r="23" spans="1:13" s="24" customFormat="1" ht="16.5" x14ac:dyDescent="0.25">
      <c r="A23" s="109"/>
      <c r="B23" s="106" t="str">
        <f>+Estado!A46</f>
        <v>E-00502</v>
      </c>
      <c r="C23" s="104" t="str">
        <f>IFERROR(VLOOKUP(B23,Estado!$A$9:$B$508,2,FALSE),0)</f>
        <v>APORT P.RÉG.OBLI.P.C</v>
      </c>
      <c r="D23" s="16">
        <f>SUMIF(Estado!$A$9:$A$371,$B23,Estado!$C$9:$C$371)</f>
        <v>1099257382</v>
      </c>
      <c r="E23" s="16">
        <f>SUMIF(Estado!$A$9:$A$371,$B23,Estado!$D$9:$D$371)</f>
        <v>1099257382</v>
      </c>
      <c r="F23" s="16">
        <f>SUMIF(Estado!$A$9:$A$371,$B23,Estado!$E$9:$E$371)</f>
        <v>0</v>
      </c>
      <c r="G23" s="16">
        <f>SUMIF(Estado!$A$9:$A$371,$B23,Estado!$G$9:$G$371)</f>
        <v>0</v>
      </c>
      <c r="H23" s="16">
        <f>SUMIF(Estado!$A$9:$A$371,$B23,Estado!$I$9:$I$371)</f>
        <v>0</v>
      </c>
      <c r="I23" s="16">
        <f>SUMIF(Estado!$A$9:$A$371,$B23,Estado!$K$9:$K$371)</f>
        <v>1036355936</v>
      </c>
      <c r="J23" s="16">
        <f t="shared" si="3"/>
        <v>1036355936</v>
      </c>
      <c r="K23" s="16">
        <f>SUMIF(Estado!$A$9:$A$371,$B23,Estado!$O$9:$O$371)</f>
        <v>62901446</v>
      </c>
      <c r="L23" s="50">
        <f t="shared" si="1"/>
        <v>0.94277823644399228</v>
      </c>
      <c r="M23" s="50">
        <f t="shared" si="2"/>
        <v>5.7221763556007665E-2</v>
      </c>
    </row>
    <row r="24" spans="1:13" s="24" customFormat="1" ht="16.5" x14ac:dyDescent="0.25">
      <c r="A24" s="109"/>
      <c r="B24" s="106" t="str">
        <f>+Estado!A52</f>
        <v>E-00503</v>
      </c>
      <c r="C24" s="104" t="str">
        <f>IFERROR(VLOOKUP(B24,Estado!$A$9:$B$508,2,FALSE),0)</f>
        <v>APORT P.FOND.CAP.LAB</v>
      </c>
      <c r="D24" s="16">
        <f>SUMIF(Estado!$A$9:$A$371,$B24,Estado!$C$9:$C$371)</f>
        <v>2198517752</v>
      </c>
      <c r="E24" s="16">
        <f>SUMIF(Estado!$A$9:$A$371,$B24,Estado!$D$9:$D$371)</f>
        <v>2197257287</v>
      </c>
      <c r="F24" s="16">
        <f>SUMIF(Estado!$A$9:$A$371,$B24,Estado!$E$9:$E$371)</f>
        <v>0</v>
      </c>
      <c r="G24" s="16">
        <f>SUMIF(Estado!$A$9:$A$371,$B24,Estado!$G$9:$G$371)</f>
        <v>0</v>
      </c>
      <c r="H24" s="16">
        <f>SUMIF(Estado!$A$9:$A$371,$B24,Estado!$I$9:$I$371)</f>
        <v>0</v>
      </c>
      <c r="I24" s="16">
        <f>SUMIF(Estado!$A$9:$A$371,$B24,Estado!$K$9:$K$371)</f>
        <v>2072709990</v>
      </c>
      <c r="J24" s="16">
        <f t="shared" si="3"/>
        <v>2072709990</v>
      </c>
      <c r="K24" s="16">
        <f>SUMIF(Estado!$A$9:$A$371,$B24,Estado!$O$9:$O$371)</f>
        <v>125807762</v>
      </c>
      <c r="L24" s="50">
        <f t="shared" si="1"/>
        <v>0.94277609908514393</v>
      </c>
      <c r="M24" s="50">
        <f t="shared" si="2"/>
        <v>5.7223900914856018E-2</v>
      </c>
    </row>
    <row r="25" spans="1:13" s="24" customFormat="1" ht="16.5" x14ac:dyDescent="0.25">
      <c r="A25" s="109"/>
      <c r="B25" s="106" t="str">
        <f>+Estado!A58</f>
        <v>E-00505</v>
      </c>
      <c r="C25" s="104" t="str">
        <f>IFERROR(VLOOKUP(B25,Estado!$A$9:$B$508,2,FALSE),0)</f>
        <v>CONT.PAT.A.F.A.EPRIV</v>
      </c>
      <c r="D25" s="16">
        <f>SUMIF(Estado!$A$9:$A$371,$B25,Estado!$C$9:$C$371)</f>
        <v>86345000</v>
      </c>
      <c r="E25" s="16">
        <f>SUMIF(Estado!$A$9:$A$371,$B25,Estado!$D$9:$D$371)</f>
        <v>86345000</v>
      </c>
      <c r="F25" s="16">
        <f>SUMIF(Estado!$A$9:$A$371,$B25,Estado!$E$9:$E$371)</f>
        <v>0</v>
      </c>
      <c r="G25" s="16">
        <f>SUMIF(Estado!$A$9:$A$371,$B25,Estado!$G$9:$G$371)</f>
        <v>0</v>
      </c>
      <c r="H25" s="16">
        <f>SUMIF(Estado!$A$9:$A$371,$B25,Estado!$I$9:$I$371)</f>
        <v>0</v>
      </c>
      <c r="I25" s="16">
        <f>SUMIF(Estado!$A$9:$A$371,$B25,Estado!$K$9:$K$371)</f>
        <v>82875015.140000001</v>
      </c>
      <c r="J25" s="16">
        <f t="shared" si="3"/>
        <v>82875015.140000001</v>
      </c>
      <c r="K25" s="16">
        <f>SUMIF(Estado!$A$9:$A$371,$B25,Estado!$O$9:$O$371)</f>
        <v>3469984.86</v>
      </c>
      <c r="L25" s="50">
        <f t="shared" si="1"/>
        <v>0.95981255590943304</v>
      </c>
      <c r="M25" s="50">
        <f t="shared" si="2"/>
        <v>4.0187444090566911E-2</v>
      </c>
    </row>
    <row r="26" spans="1:13" s="24" customFormat="1" ht="16.5" x14ac:dyDescent="0.25">
      <c r="A26" s="109"/>
      <c r="B26" s="106" t="str">
        <f>+Estado!A60</f>
        <v>E-099</v>
      </c>
      <c r="C26" s="104" t="str">
        <f>IFERROR(VLOOKUP(B26,Estado!$A$9:$B$508,2,FALSE),0)</f>
        <v>REMUNERACIONES DIVER</v>
      </c>
      <c r="D26" s="16">
        <f>SUMIF(Estado!$A$9:$A$371,$B26,Estado!$C$9:$C$371)</f>
        <v>0</v>
      </c>
      <c r="E26" s="16">
        <f>SUMIF(Estado!$A$9:$A$371,$B26,Estado!$D$9:$D$371)</f>
        <v>0</v>
      </c>
      <c r="F26" s="16">
        <f>SUMIF(Estado!$A$9:$A$371,$B26,Estado!$E$9:$E$371)</f>
        <v>0</v>
      </c>
      <c r="G26" s="16">
        <f>SUMIF(Estado!$A$9:$A$371,$B26,Estado!$G$9:$G$371)</f>
        <v>0</v>
      </c>
      <c r="H26" s="16">
        <f>SUMIF(Estado!$A$9:$A$371,$B26,Estado!$I$9:$I$371)</f>
        <v>0</v>
      </c>
      <c r="I26" s="16">
        <f>SUMIF(Estado!$A$9:$A$371,$B26,Estado!$K$9:$K$371)</f>
        <v>0</v>
      </c>
      <c r="J26" s="16">
        <f t="shared" si="3"/>
        <v>0</v>
      </c>
      <c r="K26" s="16">
        <f>SUMIF(Estado!$A$9:$A$371,$B26,Estado!$O$9:$O$371)</f>
        <v>0</v>
      </c>
      <c r="L26" s="50">
        <f t="shared" si="1"/>
        <v>0</v>
      </c>
      <c r="M26" s="50">
        <f t="shared" si="2"/>
        <v>0</v>
      </c>
    </row>
    <row r="27" spans="1:13" s="24" customFormat="1" ht="16.5" x14ac:dyDescent="0.25">
      <c r="A27" s="109"/>
      <c r="B27" s="106" t="str">
        <f>+Estado!A61</f>
        <v>E-09901</v>
      </c>
      <c r="C27" s="104" t="str">
        <f>IFERROR(VLOOKUP(B27,Estado!$A$9:$B$508,2,FALSE),0)</f>
        <v>GASTOS REPRES.PERS.</v>
      </c>
      <c r="D27" s="16">
        <f>SUMIF(Estado!$A$9:$A$371,$B27,Estado!$C$9:$C$371)</f>
        <v>0</v>
      </c>
      <c r="E27" s="16">
        <f>SUMIF(Estado!$A$9:$A$371,$B27,Estado!$D$9:$D$371)</f>
        <v>0</v>
      </c>
      <c r="F27" s="16">
        <f>SUMIF(Estado!$A$9:$A$371,$B27,Estado!$E$9:$E$371)</f>
        <v>0</v>
      </c>
      <c r="G27" s="16">
        <f>SUMIF(Estado!$A$9:$A$371,$B27,Estado!$G$9:$G$371)</f>
        <v>0</v>
      </c>
      <c r="H27" s="16">
        <f>SUMIF(Estado!$A$9:$A$371,$B27,Estado!$I$9:$I$371)</f>
        <v>0</v>
      </c>
      <c r="I27" s="16">
        <f>SUMIF(Estado!$A$9:$A$371,$B27,Estado!$K$9:$K$371)</f>
        <v>0</v>
      </c>
      <c r="J27" s="16">
        <f t="shared" si="3"/>
        <v>0</v>
      </c>
      <c r="K27" s="16">
        <f>SUMIF(Estado!$A$9:$A$371,$B27,Estado!$O$9:$O$371)</f>
        <v>0</v>
      </c>
      <c r="L27" s="50">
        <f t="shared" si="1"/>
        <v>0</v>
      </c>
      <c r="M27" s="50">
        <f t="shared" si="2"/>
        <v>0</v>
      </c>
    </row>
    <row r="28" spans="1:13" s="24" customFormat="1" ht="17.25" x14ac:dyDescent="0.25">
      <c r="A28" s="109"/>
      <c r="B28" s="108" t="str">
        <f>+Estado!A62</f>
        <v>E-1</v>
      </c>
      <c r="C28" s="105" t="str">
        <f>IFERROR(VLOOKUP(B28,Estado!$A$9:$B$508,2,FALSE),0)</f>
        <v>SERVICIOS</v>
      </c>
      <c r="D28" s="22">
        <f>+D29+D35+D41+D48+D56+D61+D64+D68+D76+D78</f>
        <v>18447657734</v>
      </c>
      <c r="E28" s="22">
        <f t="shared" ref="E28:K28" si="5">+E29+E35+E41+E48+E56+E61+E64+E68+E76+E78</f>
        <v>18442857734</v>
      </c>
      <c r="F28" s="22">
        <f t="shared" si="5"/>
        <v>0</v>
      </c>
      <c r="G28" s="22">
        <f t="shared" si="5"/>
        <v>0</v>
      </c>
      <c r="H28" s="22">
        <f t="shared" si="5"/>
        <v>0</v>
      </c>
      <c r="I28" s="22">
        <f t="shared" si="5"/>
        <v>16055373084.190002</v>
      </c>
      <c r="J28" s="22">
        <f t="shared" si="5"/>
        <v>16055373084.190002</v>
      </c>
      <c r="K28" s="22">
        <f t="shared" si="5"/>
        <v>2392284649.8099999</v>
      </c>
      <c r="L28" s="67">
        <f t="shared" si="1"/>
        <v>0.87032041225478229</v>
      </c>
      <c r="M28" s="67">
        <f t="shared" si="2"/>
        <v>0.12967958774521787</v>
      </c>
    </row>
    <row r="29" spans="1:13" s="24" customFormat="1" ht="16.5" x14ac:dyDescent="0.25">
      <c r="A29" s="109"/>
      <c r="B29" s="106" t="str">
        <f>+Estado!A63</f>
        <v>E-101</v>
      </c>
      <c r="C29" s="104" t="str">
        <f>IFERROR(VLOOKUP(B29,Estado!$A$9:$B$508,2,FALSE),0)</f>
        <v>ALQUILERES</v>
      </c>
      <c r="D29" s="16">
        <f>SUMIF(Estado!$A$9:$A$371,$B29,Estado!$C$9:$C$371)</f>
        <v>9461348648</v>
      </c>
      <c r="E29" s="16">
        <f>SUMIF(Estado!$A$9:$A$371,$B29,Estado!$D$9:$D$371)</f>
        <v>9461348648</v>
      </c>
      <c r="F29" s="16">
        <f>SUMIF(Estado!$A$9:$A$371,$B29,Estado!$E$9:$E$371)</f>
        <v>0</v>
      </c>
      <c r="G29" s="16">
        <f>SUMIF(Estado!$A$9:$A$371,$B29,Estado!$G$9:$G$371)</f>
        <v>0</v>
      </c>
      <c r="H29" s="16">
        <f>SUMIF(Estado!$A$9:$A$371,$B29,Estado!$I$9:$I$371)</f>
        <v>0</v>
      </c>
      <c r="I29" s="16">
        <f>SUMIF(Estado!$A$9:$A$371,$B29,Estado!$K$9:$K$371)</f>
        <v>8367995006.2200003</v>
      </c>
      <c r="J29" s="16">
        <f t="shared" si="3"/>
        <v>8367995006.2200003</v>
      </c>
      <c r="K29" s="16">
        <f>SUMIF(Estado!$A$9:$A$371,$B29,Estado!$O$9:$O$371)</f>
        <v>1093353641.78</v>
      </c>
      <c r="L29" s="50">
        <f t="shared" si="1"/>
        <v>0.88443997970510058</v>
      </c>
      <c r="M29" s="50">
        <f t="shared" si="2"/>
        <v>0.11556002029489951</v>
      </c>
    </row>
    <row r="30" spans="1:13" s="24" customFormat="1" ht="16.5" x14ac:dyDescent="0.25">
      <c r="A30" s="109"/>
      <c r="B30" s="106" t="str">
        <f>+Estado!A64</f>
        <v>E-10101</v>
      </c>
      <c r="C30" s="104" t="str">
        <f>IFERROR(VLOOKUP(B30,Estado!$A$9:$B$508,2,FALSE),0)</f>
        <v>ALQ EDIF, LOC.Y TERR</v>
      </c>
      <c r="D30" s="16">
        <f>SUMIF(Estado!$A$9:$A$371,$B30,Estado!$C$9:$C$371)</f>
        <v>657216874</v>
      </c>
      <c r="E30" s="16">
        <f>SUMIF(Estado!$A$9:$A$371,$B30,Estado!$D$9:$D$371)</f>
        <v>657216874</v>
      </c>
      <c r="F30" s="16">
        <f>SUMIF(Estado!$A$9:$A$371,$B30,Estado!$E$9:$E$371)</f>
        <v>0</v>
      </c>
      <c r="G30" s="16">
        <f>SUMIF(Estado!$A$9:$A$371,$B30,Estado!$G$9:$G$371)</f>
        <v>0</v>
      </c>
      <c r="H30" s="16">
        <f>SUMIF(Estado!$A$9:$A$371,$B30,Estado!$I$9:$I$371)</f>
        <v>0</v>
      </c>
      <c r="I30" s="16">
        <f>SUMIF(Estado!$A$9:$A$371,$B30,Estado!$K$9:$K$371)</f>
        <v>634300711.47000003</v>
      </c>
      <c r="J30" s="16">
        <f t="shared" si="3"/>
        <v>634300711.47000003</v>
      </c>
      <c r="K30" s="16">
        <f>SUMIF(Estado!$A$9:$A$371,$B30,Estado!$O$9:$O$371)</f>
        <v>22916162.530000001</v>
      </c>
      <c r="L30" s="50">
        <f t="shared" si="1"/>
        <v>0.96513150614876031</v>
      </c>
      <c r="M30" s="50">
        <f t="shared" si="2"/>
        <v>3.4868493851239739E-2</v>
      </c>
    </row>
    <row r="31" spans="1:13" s="24" customFormat="1" ht="16.5" x14ac:dyDescent="0.25">
      <c r="A31" s="109"/>
      <c r="B31" s="106" t="str">
        <f>+Estado!A65</f>
        <v>E-10102</v>
      </c>
      <c r="C31" s="104" t="str">
        <f>IFERROR(VLOOKUP(B31,Estado!$A$9:$B$508,2,FALSE),0)</f>
        <v>ALQ DE MAQ, EQ Y MOB</v>
      </c>
      <c r="D31" s="16">
        <f>SUMIF(Estado!$A$9:$A$371,$B31,Estado!$C$9:$C$371)</f>
        <v>3333000</v>
      </c>
      <c r="E31" s="16">
        <f>SUMIF(Estado!$A$9:$A$371,$B31,Estado!$D$9:$D$371)</f>
        <v>3333000</v>
      </c>
      <c r="F31" s="16">
        <f>SUMIF(Estado!$A$9:$A$371,$B31,Estado!$E$9:$E$371)</f>
        <v>0</v>
      </c>
      <c r="G31" s="16">
        <f>SUMIF(Estado!$A$9:$A$371,$B31,Estado!$G$9:$G$371)</f>
        <v>0</v>
      </c>
      <c r="H31" s="16">
        <f>SUMIF(Estado!$A$9:$A$371,$B31,Estado!$I$9:$I$371)</f>
        <v>0</v>
      </c>
      <c r="I31" s="16">
        <f>SUMIF(Estado!$A$9:$A$371,$B31,Estado!$K$9:$K$371)</f>
        <v>2632259.4700000002</v>
      </c>
      <c r="J31" s="16">
        <f t="shared" si="3"/>
        <v>2632259.4700000002</v>
      </c>
      <c r="K31" s="16">
        <f>SUMIF(Estado!$A$9:$A$371,$B31,Estado!$O$9:$O$371)</f>
        <v>700740.53</v>
      </c>
      <c r="L31" s="50">
        <f t="shared" si="1"/>
        <v>0.78975681668166819</v>
      </c>
      <c r="M31" s="50">
        <f t="shared" si="2"/>
        <v>0.21024318331833183</v>
      </c>
    </row>
    <row r="32" spans="1:13" s="24" customFormat="1" ht="16.5" x14ac:dyDescent="0.25">
      <c r="A32" s="109"/>
      <c r="B32" s="106" t="str">
        <f>+Estado!A66</f>
        <v>E-10103</v>
      </c>
      <c r="C32" s="104" t="str">
        <f>IFERROR(VLOOKUP(B32,Estado!$A$9:$B$508,2,FALSE),0)</f>
        <v>ALQ. EQ. DE COMPUTO</v>
      </c>
      <c r="D32" s="16">
        <f>SUMIF(Estado!$A$9:$A$371,$B32,Estado!$C$9:$C$371)</f>
        <v>1111197211</v>
      </c>
      <c r="E32" s="16">
        <f>SUMIF(Estado!$A$9:$A$371,$B32,Estado!$D$9:$D$371)</f>
        <v>1111197211</v>
      </c>
      <c r="F32" s="16">
        <f>SUMIF(Estado!$A$9:$A$371,$B32,Estado!$E$9:$E$371)</f>
        <v>0</v>
      </c>
      <c r="G32" s="16">
        <f>SUMIF(Estado!$A$9:$A$371,$B32,Estado!$G$9:$G$371)</f>
        <v>0</v>
      </c>
      <c r="H32" s="16">
        <f>SUMIF(Estado!$A$9:$A$371,$B32,Estado!$I$9:$I$371)</f>
        <v>0</v>
      </c>
      <c r="I32" s="16">
        <f>SUMIF(Estado!$A$9:$A$371,$B32,Estado!$K$9:$K$371)</f>
        <v>837571389.48000002</v>
      </c>
      <c r="J32" s="16">
        <f t="shared" si="3"/>
        <v>837571389.48000002</v>
      </c>
      <c r="K32" s="16">
        <f>SUMIF(Estado!$A$9:$A$371,$B32,Estado!$O$9:$O$371)</f>
        <v>273625821.51999998</v>
      </c>
      <c r="L32" s="50">
        <f t="shared" si="1"/>
        <v>0.75375584206717383</v>
      </c>
      <c r="M32" s="50">
        <f t="shared" si="2"/>
        <v>0.2462441579328262</v>
      </c>
    </row>
    <row r="33" spans="1:13" s="24" customFormat="1" ht="16.5" x14ac:dyDescent="0.25">
      <c r="A33" s="109"/>
      <c r="B33" s="106" t="str">
        <f>+Estado!A67</f>
        <v>E-10104</v>
      </c>
      <c r="C33" s="104" t="str">
        <f>IFERROR(VLOOKUP(B33,Estado!$A$9:$B$508,2,FALSE),0)</f>
        <v>ALQ Y DERECH P.TELEC</v>
      </c>
      <c r="D33" s="16">
        <f>SUMIF(Estado!$A$9:$A$371,$B33,Estado!$C$9:$C$371)</f>
        <v>44246000</v>
      </c>
      <c r="E33" s="16">
        <f>SUMIF(Estado!$A$9:$A$371,$B33,Estado!$D$9:$D$371)</f>
        <v>44246000</v>
      </c>
      <c r="F33" s="16">
        <f>SUMIF(Estado!$A$9:$A$371,$B33,Estado!$E$9:$E$371)</f>
        <v>0</v>
      </c>
      <c r="G33" s="16">
        <f>SUMIF(Estado!$A$9:$A$371,$B33,Estado!$G$9:$G$371)</f>
        <v>0</v>
      </c>
      <c r="H33" s="16">
        <f>SUMIF(Estado!$A$9:$A$371,$B33,Estado!$I$9:$I$371)</f>
        <v>0</v>
      </c>
      <c r="I33" s="16">
        <f>SUMIF(Estado!$A$9:$A$371,$B33,Estado!$K$9:$K$371)</f>
        <v>33968078.469999999</v>
      </c>
      <c r="J33" s="16">
        <f t="shared" si="3"/>
        <v>33968078.469999999</v>
      </c>
      <c r="K33" s="16">
        <f>SUMIF(Estado!$A$9:$A$371,$B33,Estado!$O$9:$O$371)</f>
        <v>10277921.530000001</v>
      </c>
      <c r="L33" s="50">
        <f t="shared" si="1"/>
        <v>0.76770958888939111</v>
      </c>
      <c r="M33" s="50">
        <f t="shared" si="2"/>
        <v>0.23229041111060889</v>
      </c>
    </row>
    <row r="34" spans="1:13" s="24" customFormat="1" ht="16.5" x14ac:dyDescent="0.25">
      <c r="A34" s="109"/>
      <c r="B34" s="106" t="str">
        <f>+Estado!A68</f>
        <v>E-10199</v>
      </c>
      <c r="C34" s="104" t="str">
        <f>IFERROR(VLOOKUP(B34,Estado!$A$9:$B$508,2,FALSE),0)</f>
        <v>OTROS ALQUILERES</v>
      </c>
      <c r="D34" s="16">
        <f>SUMIF(Estado!$A$9:$A$371,$B34,Estado!$C$9:$C$371)</f>
        <v>7645355563</v>
      </c>
      <c r="E34" s="16">
        <f>SUMIF(Estado!$A$9:$A$371,$B34,Estado!$D$9:$D$371)</f>
        <v>7645355563</v>
      </c>
      <c r="F34" s="16">
        <f>SUMIF(Estado!$A$9:$A$371,$B34,Estado!$E$9:$E$371)</f>
        <v>0</v>
      </c>
      <c r="G34" s="16">
        <f>SUMIF(Estado!$A$9:$A$371,$B34,Estado!$G$9:$G$371)</f>
        <v>0</v>
      </c>
      <c r="H34" s="16">
        <f>SUMIF(Estado!$A$9:$A$371,$B34,Estado!$I$9:$I$371)</f>
        <v>0</v>
      </c>
      <c r="I34" s="16">
        <f>SUMIF(Estado!$A$9:$A$371,$B34,Estado!$K$9:$K$371)</f>
        <v>6859522567.3299999</v>
      </c>
      <c r="J34" s="16">
        <f t="shared" si="3"/>
        <v>6859522567.3299999</v>
      </c>
      <c r="K34" s="16">
        <f>SUMIF(Estado!$A$9:$A$371,$B34,Estado!$O$9:$O$371)</f>
        <v>785832995.67000008</v>
      </c>
      <c r="L34" s="50">
        <f t="shared" si="1"/>
        <v>0.89721432977256543</v>
      </c>
      <c r="M34" s="50">
        <f t="shared" si="2"/>
        <v>0.10278567022743454</v>
      </c>
    </row>
    <row r="35" spans="1:13" s="24" customFormat="1" ht="16.5" x14ac:dyDescent="0.25">
      <c r="A35" s="109"/>
      <c r="B35" s="106" t="str">
        <f>+Estado!A69</f>
        <v>E-102</v>
      </c>
      <c r="C35" s="104" t="str">
        <f>IFERROR(VLOOKUP(B35,Estado!$A$9:$B$508,2,FALSE),0)</f>
        <v>SERVICIOS BÁSICOS</v>
      </c>
      <c r="D35" s="16">
        <f>SUMIF(Estado!$A$9:$A$371,$B35,Estado!$C$9:$C$371)</f>
        <v>5730565046</v>
      </c>
      <c r="E35" s="16">
        <f>SUMIF(Estado!$A$9:$A$371,$B35,Estado!$D$9:$D$371)</f>
        <v>5730565046</v>
      </c>
      <c r="F35" s="16">
        <f>SUMIF(Estado!$A$9:$A$371,$B35,Estado!$E$9:$E$371)</f>
        <v>0</v>
      </c>
      <c r="G35" s="16">
        <f>SUMIF(Estado!$A$9:$A$371,$B35,Estado!$G$9:$G$371)</f>
        <v>0</v>
      </c>
      <c r="H35" s="16">
        <f>SUMIF(Estado!$A$9:$A$371,$B35,Estado!$I$9:$I$371)</f>
        <v>0</v>
      </c>
      <c r="I35" s="16">
        <f>SUMIF(Estado!$A$9:$A$371,$B35,Estado!$K$9:$K$371)</f>
        <v>4932366913.4500008</v>
      </c>
      <c r="J35" s="16">
        <f t="shared" si="3"/>
        <v>4932366913.4500008</v>
      </c>
      <c r="K35" s="16">
        <f>SUMIF(Estado!$A$9:$A$371,$B35,Estado!$O$9:$O$371)</f>
        <v>798198132.55000007</v>
      </c>
      <c r="L35" s="50">
        <f t="shared" si="1"/>
        <v>0.8607121416225525</v>
      </c>
      <c r="M35" s="50">
        <f t="shared" si="2"/>
        <v>0.1392878583774477</v>
      </c>
    </row>
    <row r="36" spans="1:13" s="24" customFormat="1" ht="16.5" x14ac:dyDescent="0.25">
      <c r="A36" s="109"/>
      <c r="B36" s="106" t="str">
        <f>+Estado!A70</f>
        <v>E-10201</v>
      </c>
      <c r="C36" s="104" t="str">
        <f>IFERROR(VLOOKUP(B36,Estado!$A$9:$B$508,2,FALSE),0)</f>
        <v>SERV.AGUA Y ALCANT.</v>
      </c>
      <c r="D36" s="16">
        <f>SUMIF(Estado!$A$9:$A$371,$B36,Estado!$C$9:$C$371)</f>
        <v>3081909325</v>
      </c>
      <c r="E36" s="16">
        <f>SUMIF(Estado!$A$9:$A$371,$B36,Estado!$D$9:$D$371)</f>
        <v>3081909325</v>
      </c>
      <c r="F36" s="16">
        <f>SUMIF(Estado!$A$9:$A$371,$B36,Estado!$E$9:$E$371)</f>
        <v>0</v>
      </c>
      <c r="G36" s="16">
        <f>SUMIF(Estado!$A$9:$A$371,$B36,Estado!$G$9:$G$371)</f>
        <v>0</v>
      </c>
      <c r="H36" s="16">
        <f>SUMIF(Estado!$A$9:$A$371,$B36,Estado!$I$9:$I$371)</f>
        <v>0</v>
      </c>
      <c r="I36" s="16">
        <f>SUMIF(Estado!$A$9:$A$371,$B36,Estado!$K$9:$K$371)</f>
        <v>2693889571.3599997</v>
      </c>
      <c r="J36" s="16">
        <f t="shared" si="3"/>
        <v>2693889571.3599997</v>
      </c>
      <c r="K36" s="16">
        <f>SUMIF(Estado!$A$9:$A$371,$B36,Estado!$O$9:$O$371)</f>
        <v>388019753.63999999</v>
      </c>
      <c r="L36" s="50">
        <f t="shared" si="1"/>
        <v>0.87409760874778486</v>
      </c>
      <c r="M36" s="50">
        <f t="shared" si="2"/>
        <v>0.12590239125221506</v>
      </c>
    </row>
    <row r="37" spans="1:13" s="24" customFormat="1" ht="16.5" x14ac:dyDescent="0.25">
      <c r="A37" s="109"/>
      <c r="B37" s="106" t="str">
        <f>+Estado!A71</f>
        <v>E-10202</v>
      </c>
      <c r="C37" s="104" t="str">
        <f>IFERROR(VLOOKUP(B37,Estado!$A$9:$B$508,2,FALSE),0)</f>
        <v>SERV ENERGÍA ELÉCT</v>
      </c>
      <c r="D37" s="16">
        <f>SUMIF(Estado!$A$9:$A$371,$B37,Estado!$C$9:$C$371)</f>
        <v>1655378189</v>
      </c>
      <c r="E37" s="16">
        <f>SUMIF(Estado!$A$9:$A$371,$B37,Estado!$D$9:$D$371)</f>
        <v>1655378189</v>
      </c>
      <c r="F37" s="16">
        <f>SUMIF(Estado!$A$9:$A$371,$B37,Estado!$E$9:$E$371)</f>
        <v>0</v>
      </c>
      <c r="G37" s="16">
        <f>SUMIF(Estado!$A$9:$A$371,$B37,Estado!$G$9:$G$371)</f>
        <v>0</v>
      </c>
      <c r="H37" s="16">
        <f>SUMIF(Estado!$A$9:$A$371,$B37,Estado!$I$9:$I$371)</f>
        <v>0</v>
      </c>
      <c r="I37" s="16">
        <f>SUMIF(Estado!$A$9:$A$371,$B37,Estado!$K$9:$K$371)</f>
        <v>1489738053.6800001</v>
      </c>
      <c r="J37" s="16">
        <f t="shared" si="3"/>
        <v>1489738053.6800001</v>
      </c>
      <c r="K37" s="16">
        <f>SUMIF(Estado!$A$9:$A$371,$B37,Estado!$O$9:$O$371)</f>
        <v>165640135.31999999</v>
      </c>
      <c r="L37" s="50">
        <f t="shared" si="1"/>
        <v>0.89993819151377019</v>
      </c>
      <c r="M37" s="50">
        <f t="shared" si="2"/>
        <v>0.10006180848622985</v>
      </c>
    </row>
    <row r="38" spans="1:13" s="24" customFormat="1" ht="16.5" x14ac:dyDescent="0.25">
      <c r="A38" s="109"/>
      <c r="B38" s="106" t="str">
        <f>+Estado!A72</f>
        <v>E-10203</v>
      </c>
      <c r="C38" s="104" t="str">
        <f>IFERROR(VLOOKUP(B38,Estado!$A$9:$B$508,2,FALSE),0)</f>
        <v>SERVICIO DE CORREO</v>
      </c>
      <c r="D38" s="16">
        <f>SUMIF(Estado!$A$9:$A$371,$B38,Estado!$C$9:$C$371)</f>
        <v>10962858</v>
      </c>
      <c r="E38" s="16">
        <f>SUMIF(Estado!$A$9:$A$371,$B38,Estado!$D$9:$D$371)</f>
        <v>10962858</v>
      </c>
      <c r="F38" s="16">
        <f>SUMIF(Estado!$A$9:$A$371,$B38,Estado!$E$9:$E$371)</f>
        <v>0</v>
      </c>
      <c r="G38" s="16">
        <f>SUMIF(Estado!$A$9:$A$371,$B38,Estado!$G$9:$G$371)</f>
        <v>0</v>
      </c>
      <c r="H38" s="16">
        <f>SUMIF(Estado!$A$9:$A$371,$B38,Estado!$I$9:$I$371)</f>
        <v>0</v>
      </c>
      <c r="I38" s="16">
        <f>SUMIF(Estado!$A$9:$A$371,$B38,Estado!$K$9:$K$371)</f>
        <v>4813185</v>
      </c>
      <c r="J38" s="16">
        <f t="shared" si="3"/>
        <v>4813185</v>
      </c>
      <c r="K38" s="16">
        <f>SUMIF(Estado!$A$9:$A$371,$B38,Estado!$O$9:$O$371)</f>
        <v>6149673</v>
      </c>
      <c r="L38" s="50">
        <f t="shared" si="1"/>
        <v>0.43904472720525978</v>
      </c>
      <c r="M38" s="50">
        <f t="shared" si="2"/>
        <v>0.56095527279474022</v>
      </c>
    </row>
    <row r="39" spans="1:13" s="24" customFormat="1" ht="16.5" x14ac:dyDescent="0.25">
      <c r="A39" s="109"/>
      <c r="B39" s="106" t="str">
        <f>+Estado!A73</f>
        <v>E-10204</v>
      </c>
      <c r="C39" s="104" t="str">
        <f>IFERROR(VLOOKUP(B39,Estado!$A$9:$B$508,2,FALSE),0)</f>
        <v>SERV.TELECOMUNIC.</v>
      </c>
      <c r="D39" s="16">
        <f>SUMIF(Estado!$A$9:$A$371,$B39,Estado!$C$9:$C$371)</f>
        <v>858112866</v>
      </c>
      <c r="E39" s="16">
        <f>SUMIF(Estado!$A$9:$A$371,$B39,Estado!$D$9:$D$371)</f>
        <v>858112866</v>
      </c>
      <c r="F39" s="16">
        <f>SUMIF(Estado!$A$9:$A$371,$B39,Estado!$E$9:$E$371)</f>
        <v>0</v>
      </c>
      <c r="G39" s="16">
        <f>SUMIF(Estado!$A$9:$A$371,$B39,Estado!$G$9:$G$371)</f>
        <v>0</v>
      </c>
      <c r="H39" s="16">
        <f>SUMIF(Estado!$A$9:$A$371,$B39,Estado!$I$9:$I$371)</f>
        <v>0</v>
      </c>
      <c r="I39" s="16">
        <f>SUMIF(Estado!$A$9:$A$371,$B39,Estado!$K$9:$K$371)</f>
        <v>641713685.32000005</v>
      </c>
      <c r="J39" s="16">
        <f t="shared" si="3"/>
        <v>641713685.32000005</v>
      </c>
      <c r="K39" s="16">
        <f>SUMIF(Estado!$A$9:$A$371,$B39,Estado!$O$9:$O$371)</f>
        <v>216399180.68000001</v>
      </c>
      <c r="L39" s="50">
        <f t="shared" si="1"/>
        <v>0.74781967587932663</v>
      </c>
      <c r="M39" s="50">
        <f t="shared" si="2"/>
        <v>0.25218032412067343</v>
      </c>
    </row>
    <row r="40" spans="1:13" s="24" customFormat="1" ht="16.5" x14ac:dyDescent="0.25">
      <c r="A40" s="109"/>
      <c r="B40" s="106" t="str">
        <f>+Estado!A74</f>
        <v>E-10299</v>
      </c>
      <c r="C40" s="104" t="str">
        <f>IFERROR(VLOOKUP(B40,Estado!$A$9:$B$508,2,FALSE),0)</f>
        <v>OTROS SERV.BÁSICOS</v>
      </c>
      <c r="D40" s="16">
        <f>SUMIF(Estado!$A$9:$A$371,$B40,Estado!$C$9:$C$371)</f>
        <v>124201808</v>
      </c>
      <c r="E40" s="16">
        <f>SUMIF(Estado!$A$9:$A$371,$B40,Estado!$D$9:$D$371)</f>
        <v>124201808</v>
      </c>
      <c r="F40" s="16">
        <f>SUMIF(Estado!$A$9:$A$371,$B40,Estado!$E$9:$E$371)</f>
        <v>0</v>
      </c>
      <c r="G40" s="16">
        <f>SUMIF(Estado!$A$9:$A$371,$B40,Estado!$G$9:$G$371)</f>
        <v>0</v>
      </c>
      <c r="H40" s="16">
        <f>SUMIF(Estado!$A$9:$A$371,$B40,Estado!$I$9:$I$371)</f>
        <v>0</v>
      </c>
      <c r="I40" s="16">
        <f>SUMIF(Estado!$A$9:$A$371,$B40,Estado!$K$9:$K$371)</f>
        <v>102212418.09</v>
      </c>
      <c r="J40" s="16">
        <f t="shared" si="3"/>
        <v>102212418.09</v>
      </c>
      <c r="K40" s="16">
        <f>SUMIF(Estado!$A$9:$A$371,$B40,Estado!$O$9:$O$371)</f>
        <v>21989389.91</v>
      </c>
      <c r="L40" s="50">
        <f t="shared" si="1"/>
        <v>0.82295434934409328</v>
      </c>
      <c r="M40" s="50">
        <f t="shared" si="2"/>
        <v>0.17704565065590672</v>
      </c>
    </row>
    <row r="41" spans="1:13" s="24" customFormat="1" ht="16.5" x14ac:dyDescent="0.25">
      <c r="A41" s="109"/>
      <c r="B41" s="106" t="str">
        <f>+Estado!A75</f>
        <v>E-103</v>
      </c>
      <c r="C41" s="104" t="str">
        <f>IFERROR(VLOOKUP(B41,Estado!$A$9:$B$508,2,FALSE),0)</f>
        <v>SERV COMERC Y FINANC</v>
      </c>
      <c r="D41" s="16">
        <f>SUMIF(Estado!$A$9:$A$371,$B41,Estado!$C$9:$C$371)</f>
        <v>30788091</v>
      </c>
      <c r="E41" s="16">
        <f>SUMIF(Estado!$A$9:$A$371,$B41,Estado!$D$9:$D$371)</f>
        <v>30788091</v>
      </c>
      <c r="F41" s="16">
        <f>SUMIF(Estado!$A$9:$A$371,$B41,Estado!$E$9:$E$371)</f>
        <v>0</v>
      </c>
      <c r="G41" s="16">
        <f>SUMIF(Estado!$A$9:$A$371,$B41,Estado!$G$9:$G$371)</f>
        <v>0</v>
      </c>
      <c r="H41" s="16">
        <f>SUMIF(Estado!$A$9:$A$371,$B41,Estado!$I$9:$I$371)</f>
        <v>0</v>
      </c>
      <c r="I41" s="16">
        <f>SUMIF(Estado!$A$9:$A$371,$B41,Estado!$K$9:$K$371)</f>
        <v>18577098.98</v>
      </c>
      <c r="J41" s="16">
        <f t="shared" si="3"/>
        <v>18577098.98</v>
      </c>
      <c r="K41" s="16">
        <f>SUMIF(Estado!$A$9:$A$371,$B41,Estado!$O$9:$O$371)</f>
        <v>12210992.02</v>
      </c>
      <c r="L41" s="50">
        <f t="shared" si="1"/>
        <v>0.60338586695745444</v>
      </c>
      <c r="M41" s="50">
        <f t="shared" si="2"/>
        <v>0.39661413304254556</v>
      </c>
    </row>
    <row r="42" spans="1:13" s="24" customFormat="1" ht="16.5" x14ac:dyDescent="0.25">
      <c r="A42" s="109"/>
      <c r="B42" s="106" t="str">
        <f>+Estado!A76</f>
        <v>E-10301</v>
      </c>
      <c r="C42" s="104" t="str">
        <f>IFERROR(VLOOKUP(B42,Estado!$A$9:$B$508,2,FALSE),0)</f>
        <v>INFORMACIÓN</v>
      </c>
      <c r="D42" s="16">
        <f>SUMIF(Estado!$A$9:$A$371,$B42,Estado!$C$9:$C$371)</f>
        <v>11550091</v>
      </c>
      <c r="E42" s="16">
        <f>SUMIF(Estado!$A$9:$A$371,$B42,Estado!$D$9:$D$371)</f>
        <v>11550091</v>
      </c>
      <c r="F42" s="16">
        <f>SUMIF(Estado!$A$9:$A$371,$B42,Estado!$E$9:$E$371)</f>
        <v>0</v>
      </c>
      <c r="G42" s="16">
        <f>SUMIF(Estado!$A$9:$A$371,$B42,Estado!$G$9:$G$371)</f>
        <v>0</v>
      </c>
      <c r="H42" s="16">
        <f>SUMIF(Estado!$A$9:$A$371,$B42,Estado!$I$9:$I$371)</f>
        <v>0</v>
      </c>
      <c r="I42" s="16">
        <f>SUMIF(Estado!$A$9:$A$371,$B42,Estado!$K$9:$K$371)</f>
        <v>11101804.129999999</v>
      </c>
      <c r="J42" s="16">
        <f t="shared" si="3"/>
        <v>11101804.129999999</v>
      </c>
      <c r="K42" s="16">
        <f>SUMIF(Estado!$A$9:$A$371,$B42,Estado!$O$9:$O$371)</f>
        <v>448286.87</v>
      </c>
      <c r="L42" s="50">
        <f t="shared" si="1"/>
        <v>0.96118758977743113</v>
      </c>
      <c r="M42" s="50">
        <f t="shared" si="2"/>
        <v>3.8812410222568809E-2</v>
      </c>
    </row>
    <row r="43" spans="1:13" s="24" customFormat="1" ht="16.5" x14ac:dyDescent="0.25">
      <c r="A43" s="109"/>
      <c r="B43" s="106" t="str">
        <f>+Estado!A77</f>
        <v>E-10302</v>
      </c>
      <c r="C43" s="104" t="str">
        <f>IFERROR(VLOOKUP(B43,Estado!$A$9:$B$508,2,FALSE),0)</f>
        <v>PUBLICIDAD Y PROPAG.</v>
      </c>
      <c r="D43" s="16">
        <f>SUMIF(Estado!$A$9:$A$371,$B43,Estado!$C$9:$C$371)</f>
        <v>0</v>
      </c>
      <c r="E43" s="16">
        <f>SUMIF(Estado!$A$9:$A$371,$B43,Estado!$D$9:$D$371)</f>
        <v>0</v>
      </c>
      <c r="F43" s="16">
        <f>SUMIF(Estado!$A$9:$A$371,$B43,Estado!$E$9:$E$371)</f>
        <v>0</v>
      </c>
      <c r="G43" s="16">
        <f>SUMIF(Estado!$A$9:$A$371,$B43,Estado!$G$9:$G$371)</f>
        <v>0</v>
      </c>
      <c r="H43" s="16">
        <f>SUMIF(Estado!$A$9:$A$371,$B43,Estado!$I$9:$I$371)</f>
        <v>0</v>
      </c>
      <c r="I43" s="16">
        <f>SUMIF(Estado!$A$9:$A$371,$B43,Estado!$K$9:$K$371)</f>
        <v>0</v>
      </c>
      <c r="J43" s="16">
        <f t="shared" si="3"/>
        <v>0</v>
      </c>
      <c r="K43" s="16">
        <f>SUMIF(Estado!$A$9:$A$371,$B43,Estado!$O$9:$O$371)</f>
        <v>0</v>
      </c>
      <c r="L43" s="50">
        <f t="shared" si="1"/>
        <v>0</v>
      </c>
      <c r="M43" s="50">
        <f t="shared" si="2"/>
        <v>0</v>
      </c>
    </row>
    <row r="44" spans="1:13" s="24" customFormat="1" ht="16.5" x14ac:dyDescent="0.25">
      <c r="A44" s="109"/>
      <c r="B44" s="106" t="str">
        <f>+Estado!A78</f>
        <v>E-10303</v>
      </c>
      <c r="C44" s="104" t="str">
        <f>IFERROR(VLOOKUP(B44,Estado!$A$9:$B$508,2,FALSE),0)</f>
        <v>IMP., ENCUAD Y OTROS</v>
      </c>
      <c r="D44" s="16">
        <f>SUMIF(Estado!$A$9:$A$371,$B44,Estado!$C$9:$C$371)</f>
        <v>17442000</v>
      </c>
      <c r="E44" s="16">
        <f>SUMIF(Estado!$A$9:$A$371,$B44,Estado!$D$9:$D$371)</f>
        <v>17442000</v>
      </c>
      <c r="F44" s="16">
        <f>SUMIF(Estado!$A$9:$A$371,$B44,Estado!$E$9:$E$371)</f>
        <v>0</v>
      </c>
      <c r="G44" s="16">
        <f>SUMIF(Estado!$A$9:$A$371,$B44,Estado!$G$9:$G$371)</f>
        <v>0</v>
      </c>
      <c r="H44" s="16">
        <f>SUMIF(Estado!$A$9:$A$371,$B44,Estado!$I$9:$I$371)</f>
        <v>0</v>
      </c>
      <c r="I44" s="16">
        <f>SUMIF(Estado!$A$9:$A$371,$B44,Estado!$K$9:$K$371)</f>
        <v>7090010.4199999999</v>
      </c>
      <c r="J44" s="16">
        <f t="shared" si="3"/>
        <v>7090010.4199999999</v>
      </c>
      <c r="K44" s="16">
        <f>SUMIF(Estado!$A$9:$A$371,$B44,Estado!$O$9:$O$371)</f>
        <v>10351989.58</v>
      </c>
      <c r="L44" s="50">
        <f t="shared" si="1"/>
        <v>0.40649067882123607</v>
      </c>
      <c r="M44" s="50">
        <f t="shared" si="2"/>
        <v>0.59350932117876387</v>
      </c>
    </row>
    <row r="45" spans="1:13" s="24" customFormat="1" ht="16.5" x14ac:dyDescent="0.25">
      <c r="A45" s="109"/>
      <c r="B45" s="106" t="str">
        <f>+Estado!A79</f>
        <v>E-10304</v>
      </c>
      <c r="C45" s="104" t="str">
        <f>IFERROR(VLOOKUP(B45,Estado!$A$9:$B$508,2,FALSE),0)</f>
        <v>TRANSPORTE DE BIENES</v>
      </c>
      <c r="D45" s="16">
        <f>SUMIF(Estado!$A$9:$A$371,$B45,Estado!$C$9:$C$371)</f>
        <v>0</v>
      </c>
      <c r="E45" s="16">
        <f>SUMIF(Estado!$A$9:$A$371,$B45,Estado!$D$9:$D$371)</f>
        <v>0</v>
      </c>
      <c r="F45" s="16">
        <f>SUMIF(Estado!$A$9:$A$371,$B45,Estado!$E$9:$E$371)</f>
        <v>0</v>
      </c>
      <c r="G45" s="16">
        <f>SUMIF(Estado!$A$9:$A$371,$B45,Estado!$G$9:$G$371)</f>
        <v>0</v>
      </c>
      <c r="H45" s="16">
        <f>SUMIF(Estado!$A$9:$A$371,$B45,Estado!$I$9:$I$371)</f>
        <v>0</v>
      </c>
      <c r="I45" s="16">
        <f>SUMIF(Estado!$A$9:$A$371,$B45,Estado!$K$9:$K$371)</f>
        <v>0</v>
      </c>
      <c r="J45" s="16">
        <f t="shared" si="3"/>
        <v>0</v>
      </c>
      <c r="K45" s="16">
        <f>SUMIF(Estado!$A$9:$A$371,$B45,Estado!$O$9:$O$371)</f>
        <v>0</v>
      </c>
      <c r="L45" s="50">
        <f t="shared" si="1"/>
        <v>0</v>
      </c>
      <c r="M45" s="50">
        <f t="shared" si="2"/>
        <v>0</v>
      </c>
    </row>
    <row r="46" spans="1:13" s="24" customFormat="1" ht="16.5" x14ac:dyDescent="0.25">
      <c r="A46" s="109"/>
      <c r="B46" s="106" t="str">
        <f>+Estado!A80</f>
        <v>E-10306</v>
      </c>
      <c r="C46" s="104" t="str">
        <f>IFERROR(VLOOKUP(B46,Estado!$A$9:$B$508,2,FALSE),0)</f>
        <v>COM G.P.S.FIN Y COM.</v>
      </c>
      <c r="D46" s="16">
        <f>SUMIF(Estado!$A$9:$A$371,$B46,Estado!$C$9:$C$371)</f>
        <v>200000</v>
      </c>
      <c r="E46" s="16">
        <f>SUMIF(Estado!$A$9:$A$371,$B46,Estado!$D$9:$D$371)</f>
        <v>200000</v>
      </c>
      <c r="F46" s="16">
        <f>SUMIF(Estado!$A$9:$A$371,$B46,Estado!$E$9:$E$371)</f>
        <v>0</v>
      </c>
      <c r="G46" s="16">
        <f>SUMIF(Estado!$A$9:$A$371,$B46,Estado!$G$9:$G$371)</f>
        <v>0</v>
      </c>
      <c r="H46" s="16">
        <f>SUMIF(Estado!$A$9:$A$371,$B46,Estado!$I$9:$I$371)</f>
        <v>0</v>
      </c>
      <c r="I46" s="16">
        <f>SUMIF(Estado!$A$9:$A$371,$B46,Estado!$K$9:$K$371)</f>
        <v>90716.66</v>
      </c>
      <c r="J46" s="16">
        <f t="shared" si="3"/>
        <v>90716.66</v>
      </c>
      <c r="K46" s="16">
        <f>SUMIF(Estado!$A$9:$A$371,$B46,Estado!$O$9:$O$371)</f>
        <v>109283.34</v>
      </c>
      <c r="L46" s="50">
        <f t="shared" si="1"/>
        <v>0.45358330000000002</v>
      </c>
      <c r="M46" s="50">
        <f t="shared" si="2"/>
        <v>0.54641669999999998</v>
      </c>
    </row>
    <row r="47" spans="1:13" s="24" customFormat="1" ht="16.5" x14ac:dyDescent="0.25">
      <c r="A47" s="109"/>
      <c r="B47" s="106" t="str">
        <f>+Estado!A81</f>
        <v>E-10307</v>
      </c>
      <c r="C47" s="104" t="str">
        <f>IFERROR(VLOOKUP(B47,Estado!$A$9:$B$508,2,FALSE),0)</f>
        <v>SERV TRANSF.ELEC.INF</v>
      </c>
      <c r="D47" s="16">
        <f>SUMIF(Estado!$A$9:$A$371,$B47,Estado!$C$9:$C$371)</f>
        <v>1596000</v>
      </c>
      <c r="E47" s="16">
        <f>SUMIF(Estado!$A$9:$A$371,$B47,Estado!$D$9:$D$371)</f>
        <v>1596000</v>
      </c>
      <c r="F47" s="16">
        <f>SUMIF(Estado!$A$9:$A$371,$B47,Estado!$E$9:$E$371)</f>
        <v>0</v>
      </c>
      <c r="G47" s="16">
        <f>SUMIF(Estado!$A$9:$A$371,$B47,Estado!$G$9:$G$371)</f>
        <v>0</v>
      </c>
      <c r="H47" s="16">
        <f>SUMIF(Estado!$A$9:$A$371,$B47,Estado!$I$9:$I$371)</f>
        <v>0</v>
      </c>
      <c r="I47" s="16">
        <f>SUMIF(Estado!$A$9:$A$371,$B47,Estado!$K$9:$K$371)</f>
        <v>294567.77</v>
      </c>
      <c r="J47" s="16">
        <f t="shared" si="3"/>
        <v>294567.77</v>
      </c>
      <c r="K47" s="16">
        <f>SUMIF(Estado!$A$9:$A$371,$B47,Estado!$O$9:$O$371)</f>
        <v>1301432.23</v>
      </c>
      <c r="L47" s="50">
        <f t="shared" si="1"/>
        <v>0.18456627192982458</v>
      </c>
      <c r="M47" s="50">
        <f t="shared" si="2"/>
        <v>0.81543372807017545</v>
      </c>
    </row>
    <row r="48" spans="1:13" s="24" customFormat="1" ht="16.5" x14ac:dyDescent="0.25">
      <c r="A48" s="109"/>
      <c r="B48" s="106" t="str">
        <f>+Estado!A82</f>
        <v>E-104</v>
      </c>
      <c r="C48" s="104" t="str">
        <f>IFERROR(VLOOKUP(B48,Estado!$A$9:$B$508,2,FALSE),0)</f>
        <v>SERV DE GEST Y APOYO</v>
      </c>
      <c r="D48" s="16">
        <f>SUMIF(Estado!$A$9:$A$371,$B48,Estado!$C$9:$C$371)</f>
        <v>670556903</v>
      </c>
      <c r="E48" s="16">
        <f>SUMIF(Estado!$A$9:$A$371,$B48,Estado!$D$9:$D$371)</f>
        <v>670556903</v>
      </c>
      <c r="F48" s="16">
        <f>SUMIF(Estado!$A$9:$A$371,$B48,Estado!$E$9:$E$371)</f>
        <v>0</v>
      </c>
      <c r="G48" s="16">
        <f>SUMIF(Estado!$A$9:$A$371,$B48,Estado!$G$9:$G$371)</f>
        <v>0</v>
      </c>
      <c r="H48" s="16">
        <f>SUMIF(Estado!$A$9:$A$371,$B48,Estado!$I$9:$I$371)</f>
        <v>0</v>
      </c>
      <c r="I48" s="16">
        <f>SUMIF(Estado!$A$9:$A$371,$B48,Estado!$K$9:$K$371)</f>
        <v>590643834.03999996</v>
      </c>
      <c r="J48" s="16">
        <f t="shared" si="3"/>
        <v>590643834.03999996</v>
      </c>
      <c r="K48" s="16">
        <f>SUMIF(Estado!$A$9:$A$371,$B48,Estado!$O$9:$O$371)</f>
        <v>79913068.960000008</v>
      </c>
      <c r="L48" s="50">
        <f t="shared" si="1"/>
        <v>0.88082582014669075</v>
      </c>
      <c r="M48" s="50">
        <f t="shared" si="2"/>
        <v>0.11917417985330919</v>
      </c>
    </row>
    <row r="49" spans="1:13" s="24" customFormat="1" ht="16.5" x14ac:dyDescent="0.25">
      <c r="A49" s="109"/>
      <c r="B49" s="106" t="str">
        <f>+Estado!A83</f>
        <v>E-10401</v>
      </c>
      <c r="C49" s="104" t="str">
        <f>IFERROR(VLOOKUP(B49,Estado!$A$9:$B$508,2,FALSE),0)</f>
        <v>SERV.MEDICOS YDE LAB</v>
      </c>
      <c r="D49" s="16">
        <f>SUMIF(Estado!$A$9:$A$371,$B49,Estado!$C$9:$C$371)</f>
        <v>21381819</v>
      </c>
      <c r="E49" s="16">
        <f>SUMIF(Estado!$A$9:$A$371,$B49,Estado!$D$9:$D$371)</f>
        <v>21381819</v>
      </c>
      <c r="F49" s="16">
        <f>SUMIF(Estado!$A$9:$A$371,$B49,Estado!$E$9:$E$371)</f>
        <v>0</v>
      </c>
      <c r="G49" s="16">
        <f>SUMIF(Estado!$A$9:$A$371,$B49,Estado!$G$9:$G$371)</f>
        <v>0</v>
      </c>
      <c r="H49" s="16">
        <f>SUMIF(Estado!$A$9:$A$371,$B49,Estado!$I$9:$I$371)</f>
        <v>0</v>
      </c>
      <c r="I49" s="16">
        <f>SUMIF(Estado!$A$9:$A$371,$B49,Estado!$K$9:$K$371)</f>
        <v>21114352</v>
      </c>
      <c r="J49" s="16">
        <f t="shared" si="3"/>
        <v>21114352</v>
      </c>
      <c r="K49" s="16">
        <f>SUMIF(Estado!$A$9:$A$371,$B49,Estado!$O$9:$O$371)</f>
        <v>267467</v>
      </c>
      <c r="L49" s="50">
        <f t="shared" si="1"/>
        <v>0.98749091459431027</v>
      </c>
      <c r="M49" s="50">
        <f t="shared" si="2"/>
        <v>1.2509085405689759E-2</v>
      </c>
    </row>
    <row r="50" spans="1:13" s="24" customFormat="1" ht="16.5" x14ac:dyDescent="0.25">
      <c r="A50" s="109"/>
      <c r="B50" s="106" t="str">
        <f>+Estado!A84</f>
        <v>E-10402</v>
      </c>
      <c r="C50" s="104" t="str">
        <f>IFERROR(VLOOKUP(B50,Estado!$A$9:$B$508,2,FALSE),0)</f>
        <v>SERVICIOS JURÍDICOS</v>
      </c>
      <c r="D50" s="16">
        <f>SUMIF(Estado!$A$9:$A$371,$B50,Estado!$C$9:$C$371)</f>
        <v>2000000</v>
      </c>
      <c r="E50" s="16">
        <f>SUMIF(Estado!$A$9:$A$371,$B50,Estado!$D$9:$D$371)</f>
        <v>2000000</v>
      </c>
      <c r="F50" s="16">
        <f>SUMIF(Estado!$A$9:$A$371,$B50,Estado!$E$9:$E$371)</f>
        <v>0</v>
      </c>
      <c r="G50" s="16">
        <f>SUMIF(Estado!$A$9:$A$371,$B50,Estado!$G$9:$G$371)</f>
        <v>0</v>
      </c>
      <c r="H50" s="16">
        <f>SUMIF(Estado!$A$9:$A$371,$B50,Estado!$I$9:$I$371)</f>
        <v>0</v>
      </c>
      <c r="I50" s="16">
        <f>SUMIF(Estado!$A$9:$A$371,$B50,Estado!$K$9:$K$371)</f>
        <v>0</v>
      </c>
      <c r="J50" s="16">
        <f t="shared" si="3"/>
        <v>0</v>
      </c>
      <c r="K50" s="16">
        <f>SUMIF(Estado!$A$9:$A$371,$B50,Estado!$O$9:$O$371)</f>
        <v>2000000</v>
      </c>
      <c r="L50" s="50">
        <f t="shared" si="1"/>
        <v>0</v>
      </c>
      <c r="M50" s="50">
        <f t="shared" si="2"/>
        <v>1</v>
      </c>
    </row>
    <row r="51" spans="1:13" s="24" customFormat="1" ht="16.5" x14ac:dyDescent="0.25">
      <c r="A51" s="109"/>
      <c r="B51" s="106" t="str">
        <f>+Estado!A85</f>
        <v>E-10403</v>
      </c>
      <c r="C51" s="104" t="str">
        <f>IFERROR(VLOOKUP(B51,Estado!$A$9:$B$508,2,FALSE),0)</f>
        <v>SERV. DE INGENIERÍA</v>
      </c>
      <c r="D51" s="16">
        <f>SUMIF(Estado!$A$9:$A$371,$B51,Estado!$C$9:$C$371)</f>
        <v>101242333</v>
      </c>
      <c r="E51" s="16">
        <f>SUMIF(Estado!$A$9:$A$371,$B51,Estado!$D$9:$D$371)</f>
        <v>101242333</v>
      </c>
      <c r="F51" s="16">
        <f>SUMIF(Estado!$A$9:$A$371,$B51,Estado!$E$9:$E$371)</f>
        <v>0</v>
      </c>
      <c r="G51" s="16">
        <f>SUMIF(Estado!$A$9:$A$371,$B51,Estado!$G$9:$G$371)</f>
        <v>0</v>
      </c>
      <c r="H51" s="16">
        <f>SUMIF(Estado!$A$9:$A$371,$B51,Estado!$I$9:$I$371)</f>
        <v>0</v>
      </c>
      <c r="I51" s="16">
        <f>SUMIF(Estado!$A$9:$A$371,$B51,Estado!$K$9:$K$371)</f>
        <v>63144258.32</v>
      </c>
      <c r="J51" s="16">
        <f t="shared" si="3"/>
        <v>63144258.32</v>
      </c>
      <c r="K51" s="16">
        <f>SUMIF(Estado!$A$9:$A$371,$B51,Estado!$O$9:$O$371)</f>
        <v>38098074.68</v>
      </c>
      <c r="L51" s="50">
        <f t="shared" si="1"/>
        <v>0.6236942240357104</v>
      </c>
      <c r="M51" s="50">
        <f t="shared" si="2"/>
        <v>0.37630577596428955</v>
      </c>
    </row>
    <row r="52" spans="1:13" s="24" customFormat="1" ht="16.5" x14ac:dyDescent="0.25">
      <c r="A52" s="109"/>
      <c r="B52" s="106" t="str">
        <f>+Estado!A86</f>
        <v>E-10404</v>
      </c>
      <c r="C52" s="104" t="str">
        <f>IFERROR(VLOOKUP(B52,Estado!$A$9:$B$508,2,FALSE),0)</f>
        <v>SERV.CIEN.ECON.Y SOC</v>
      </c>
      <c r="D52" s="16">
        <f>SUMIF(Estado!$A$9:$A$371,$B52,Estado!$C$9:$C$371)</f>
        <v>0</v>
      </c>
      <c r="E52" s="16">
        <f>SUMIF(Estado!$A$9:$A$371,$B52,Estado!$D$9:$D$371)</f>
        <v>0</v>
      </c>
      <c r="F52" s="16">
        <f>SUMIF(Estado!$A$9:$A$371,$B52,Estado!$E$9:$E$371)</f>
        <v>0</v>
      </c>
      <c r="G52" s="16">
        <f>SUMIF(Estado!$A$9:$A$371,$B52,Estado!$G$9:$G$371)</f>
        <v>0</v>
      </c>
      <c r="H52" s="16">
        <f>SUMIF(Estado!$A$9:$A$371,$B52,Estado!$I$9:$I$371)</f>
        <v>0</v>
      </c>
      <c r="I52" s="16">
        <f>SUMIF(Estado!$A$9:$A$371,$B52,Estado!$K$9:$K$371)</f>
        <v>0</v>
      </c>
      <c r="J52" s="16">
        <f t="shared" si="3"/>
        <v>0</v>
      </c>
      <c r="K52" s="16">
        <f>SUMIF(Estado!$A$9:$A$371,$B52,Estado!$O$9:$O$371)</f>
        <v>0</v>
      </c>
      <c r="L52" s="50">
        <f t="shared" si="1"/>
        <v>0</v>
      </c>
      <c r="M52" s="50">
        <f t="shared" si="2"/>
        <v>0</v>
      </c>
    </row>
    <row r="53" spans="1:13" s="24" customFormat="1" ht="16.5" x14ac:dyDescent="0.25">
      <c r="A53" s="109"/>
      <c r="B53" s="106" t="str">
        <f>+Estado!A87</f>
        <v>E-10405</v>
      </c>
      <c r="C53" s="104" t="str">
        <f>IFERROR(VLOOKUP(B53,Estado!$A$9:$B$508,2,FALSE),0)</f>
        <v>SERV.DES.SIST.INFORM</v>
      </c>
      <c r="D53" s="16">
        <f>SUMIF(Estado!$A$9:$A$371,$B53,Estado!$C$9:$C$371)</f>
        <v>0</v>
      </c>
      <c r="E53" s="16">
        <f>SUMIF(Estado!$A$9:$A$371,$B53,Estado!$D$9:$D$371)</f>
        <v>0</v>
      </c>
      <c r="F53" s="16">
        <f>SUMIF(Estado!$A$9:$A$371,$B53,Estado!$E$9:$E$371)</f>
        <v>0</v>
      </c>
      <c r="G53" s="16">
        <f>SUMIF(Estado!$A$9:$A$371,$B53,Estado!$G$9:$G$371)</f>
        <v>0</v>
      </c>
      <c r="H53" s="16">
        <f>SUMIF(Estado!$A$9:$A$371,$B53,Estado!$I$9:$I$371)</f>
        <v>0</v>
      </c>
      <c r="I53" s="16">
        <f>SUMIF(Estado!$A$9:$A$371,$B53,Estado!$K$9:$K$371)</f>
        <v>0</v>
      </c>
      <c r="J53" s="16">
        <f t="shared" si="3"/>
        <v>0</v>
      </c>
      <c r="K53" s="16">
        <f>SUMIF(Estado!$A$9:$A$371,$B53,Estado!$O$9:$O$371)</f>
        <v>0</v>
      </c>
      <c r="L53" s="50">
        <f t="shared" si="1"/>
        <v>0</v>
      </c>
      <c r="M53" s="50">
        <f t="shared" si="2"/>
        <v>0</v>
      </c>
    </row>
    <row r="54" spans="1:13" s="24" customFormat="1" ht="16.5" x14ac:dyDescent="0.25">
      <c r="A54" s="109"/>
      <c r="B54" s="106" t="str">
        <f>+Estado!A88</f>
        <v>E-10406</v>
      </c>
      <c r="C54" s="104" t="str">
        <f>IFERROR(VLOOKUP(B54,Estado!$A$9:$B$508,2,FALSE),0)</f>
        <v>SERVICIOS GENERALES</v>
      </c>
      <c r="D54" s="16">
        <f>SUMIF(Estado!$A$9:$A$371,$B54,Estado!$C$9:$C$371)</f>
        <v>467969179</v>
      </c>
      <c r="E54" s="16">
        <f>SUMIF(Estado!$A$9:$A$371,$B54,Estado!$D$9:$D$371)</f>
        <v>467969179</v>
      </c>
      <c r="F54" s="16">
        <f>SUMIF(Estado!$A$9:$A$371,$B54,Estado!$E$9:$E$371)</f>
        <v>0</v>
      </c>
      <c r="G54" s="16">
        <f>SUMIF(Estado!$A$9:$A$371,$B54,Estado!$G$9:$G$371)</f>
        <v>0</v>
      </c>
      <c r="H54" s="16">
        <f>SUMIF(Estado!$A$9:$A$371,$B54,Estado!$I$9:$I$371)</f>
        <v>0</v>
      </c>
      <c r="I54" s="16">
        <f>SUMIF(Estado!$A$9:$A$371,$B54,Estado!$K$9:$K$371)</f>
        <v>434201617.30000001</v>
      </c>
      <c r="J54" s="16">
        <f t="shared" si="3"/>
        <v>434201617.30000001</v>
      </c>
      <c r="K54" s="16">
        <f>SUMIF(Estado!$A$9:$A$371,$B54,Estado!$O$9:$O$371)</f>
        <v>33767561.700000003</v>
      </c>
      <c r="L54" s="50">
        <f t="shared" si="1"/>
        <v>0.92784233830920737</v>
      </c>
      <c r="M54" s="50">
        <f t="shared" si="2"/>
        <v>7.2157661690792685E-2</v>
      </c>
    </row>
    <row r="55" spans="1:13" s="24" customFormat="1" ht="16.5" x14ac:dyDescent="0.25">
      <c r="A55" s="109"/>
      <c r="B55" s="106" t="str">
        <f>+Estado!A89</f>
        <v>E-10499</v>
      </c>
      <c r="C55" s="104" t="str">
        <f>IFERROR(VLOOKUP(B55,Estado!$A$9:$B$508,2,FALSE),0)</f>
        <v>OTROS SERV.GEST.APOY</v>
      </c>
      <c r="D55" s="16">
        <f>SUMIF(Estado!$A$9:$A$371,$B55,Estado!$C$9:$C$371)</f>
        <v>77963572</v>
      </c>
      <c r="E55" s="16">
        <f>SUMIF(Estado!$A$9:$A$371,$B55,Estado!$D$9:$D$371)</f>
        <v>77963572</v>
      </c>
      <c r="F55" s="16">
        <f>SUMIF(Estado!$A$9:$A$371,$B55,Estado!$E$9:$E$371)</f>
        <v>0</v>
      </c>
      <c r="G55" s="16">
        <f>SUMIF(Estado!$A$9:$A$371,$B55,Estado!$G$9:$G$371)</f>
        <v>0</v>
      </c>
      <c r="H55" s="16">
        <f>SUMIF(Estado!$A$9:$A$371,$B55,Estado!$I$9:$I$371)</f>
        <v>0</v>
      </c>
      <c r="I55" s="16">
        <f>SUMIF(Estado!$A$9:$A$371,$B55,Estado!$K$9:$K$371)</f>
        <v>72183606.420000002</v>
      </c>
      <c r="J55" s="16">
        <f t="shared" si="3"/>
        <v>72183606.420000002</v>
      </c>
      <c r="K55" s="16">
        <f>SUMIF(Estado!$A$9:$A$371,$B55,Estado!$O$9:$O$371)</f>
        <v>5779965.5800000001</v>
      </c>
      <c r="L55" s="50">
        <f t="shared" si="1"/>
        <v>0.92586325341789111</v>
      </c>
      <c r="M55" s="50">
        <f t="shared" si="2"/>
        <v>7.4136746582108892E-2</v>
      </c>
    </row>
    <row r="56" spans="1:13" s="24" customFormat="1" ht="16.5" x14ac:dyDescent="0.25">
      <c r="A56" s="109"/>
      <c r="B56" s="106" t="str">
        <f>+Estado!A90</f>
        <v>E-105</v>
      </c>
      <c r="C56" s="104" t="str">
        <f>IFERROR(VLOOKUP(B56,Estado!$A$9:$B$508,2,FALSE),0)</f>
        <v>GAST. VIAJE Y TRANSP</v>
      </c>
      <c r="D56" s="16">
        <f>SUMIF(Estado!$A$9:$A$371,$B56,Estado!$C$9:$C$371)</f>
        <v>191860298</v>
      </c>
      <c r="E56" s="16">
        <f>SUMIF(Estado!$A$9:$A$371,$B56,Estado!$D$9:$D$371)</f>
        <v>191860298</v>
      </c>
      <c r="F56" s="16">
        <f>SUMIF(Estado!$A$9:$A$371,$B56,Estado!$E$9:$E$371)</f>
        <v>0</v>
      </c>
      <c r="G56" s="16">
        <f>SUMIF(Estado!$A$9:$A$371,$B56,Estado!$G$9:$G$371)</f>
        <v>0</v>
      </c>
      <c r="H56" s="16">
        <f>SUMIF(Estado!$A$9:$A$371,$B56,Estado!$I$9:$I$371)</f>
        <v>0</v>
      </c>
      <c r="I56" s="16">
        <f>SUMIF(Estado!$A$9:$A$371,$B56,Estado!$K$9:$K$371)</f>
        <v>145037582.13</v>
      </c>
      <c r="J56" s="16">
        <f t="shared" si="3"/>
        <v>145037582.13</v>
      </c>
      <c r="K56" s="16">
        <f>SUMIF(Estado!$A$9:$A$371,$B56,Estado!$O$9:$O$371)</f>
        <v>46822715.869999997</v>
      </c>
      <c r="L56" s="50">
        <f t="shared" si="1"/>
        <v>0.7559541168334889</v>
      </c>
      <c r="M56" s="50">
        <f t="shared" si="2"/>
        <v>0.24404588316651107</v>
      </c>
    </row>
    <row r="57" spans="1:13" s="24" customFormat="1" ht="16.5" x14ac:dyDescent="0.25">
      <c r="A57" s="109"/>
      <c r="B57" s="106" t="str">
        <f>+Estado!A91</f>
        <v>E-10501</v>
      </c>
      <c r="C57" s="104" t="str">
        <f>IFERROR(VLOOKUP(B57,Estado!$A$9:$B$508,2,FALSE),0)</f>
        <v>TRANSP.DENT.DEL PAÍS</v>
      </c>
      <c r="D57" s="16">
        <f>SUMIF(Estado!$A$9:$A$371,$B57,Estado!$C$9:$C$371)</f>
        <v>8031890</v>
      </c>
      <c r="E57" s="16">
        <f>SUMIF(Estado!$A$9:$A$371,$B57,Estado!$D$9:$D$371)</f>
        <v>8031890</v>
      </c>
      <c r="F57" s="16">
        <f>SUMIF(Estado!$A$9:$A$371,$B57,Estado!$E$9:$E$371)</f>
        <v>0</v>
      </c>
      <c r="G57" s="16">
        <f>SUMIF(Estado!$A$9:$A$371,$B57,Estado!$G$9:$G$371)</f>
        <v>0</v>
      </c>
      <c r="H57" s="16">
        <f>SUMIF(Estado!$A$9:$A$371,$B57,Estado!$I$9:$I$371)</f>
        <v>0</v>
      </c>
      <c r="I57" s="16">
        <f>SUMIF(Estado!$A$9:$A$371,$B57,Estado!$K$9:$K$371)</f>
        <v>4418270</v>
      </c>
      <c r="J57" s="16">
        <f t="shared" si="3"/>
        <v>4418270</v>
      </c>
      <c r="K57" s="16">
        <f>SUMIF(Estado!$A$9:$A$371,$B57,Estado!$O$9:$O$371)</f>
        <v>3613620</v>
      </c>
      <c r="L57" s="50">
        <f t="shared" si="1"/>
        <v>0.5500909499507588</v>
      </c>
      <c r="M57" s="50">
        <f t="shared" si="2"/>
        <v>0.4499090500492412</v>
      </c>
    </row>
    <row r="58" spans="1:13" s="24" customFormat="1" ht="16.5" x14ac:dyDescent="0.25">
      <c r="A58" s="109"/>
      <c r="B58" s="106" t="str">
        <f>+Estado!A92</f>
        <v>E-10502</v>
      </c>
      <c r="C58" s="104" t="str">
        <f>IFERROR(VLOOKUP(B58,Estado!$A$9:$B$508,2,FALSE),0)</f>
        <v>VIÁTICOS DENTRO PAÍS</v>
      </c>
      <c r="D58" s="16">
        <f>SUMIF(Estado!$A$9:$A$371,$B58,Estado!$C$9:$C$371)</f>
        <v>166072773</v>
      </c>
      <c r="E58" s="16">
        <f>SUMIF(Estado!$A$9:$A$371,$B58,Estado!$D$9:$D$371)</f>
        <v>166072773</v>
      </c>
      <c r="F58" s="16">
        <f>SUMIF(Estado!$A$9:$A$371,$B58,Estado!$E$9:$E$371)</f>
        <v>0</v>
      </c>
      <c r="G58" s="16">
        <f>SUMIF(Estado!$A$9:$A$371,$B58,Estado!$G$9:$G$371)</f>
        <v>0</v>
      </c>
      <c r="H58" s="16">
        <f>SUMIF(Estado!$A$9:$A$371,$B58,Estado!$I$9:$I$371)</f>
        <v>0</v>
      </c>
      <c r="I58" s="16">
        <f>SUMIF(Estado!$A$9:$A$371,$B58,Estado!$K$9:$K$371)</f>
        <v>128017195</v>
      </c>
      <c r="J58" s="16">
        <f t="shared" si="3"/>
        <v>128017195</v>
      </c>
      <c r="K58" s="16">
        <f>SUMIF(Estado!$A$9:$A$371,$B58,Estado!$O$9:$O$371)</f>
        <v>38055578</v>
      </c>
      <c r="L58" s="50">
        <f t="shared" si="1"/>
        <v>0.7708499875533481</v>
      </c>
      <c r="M58" s="50">
        <f t="shared" si="2"/>
        <v>0.22915001244665192</v>
      </c>
    </row>
    <row r="59" spans="1:13" s="24" customFormat="1" ht="16.5" x14ac:dyDescent="0.25">
      <c r="A59" s="109"/>
      <c r="B59" s="106" t="str">
        <f>+Estado!A93</f>
        <v>E-10503</v>
      </c>
      <c r="C59" s="104" t="str">
        <f>IFERROR(VLOOKUP(B59,Estado!$A$9:$B$508,2,FALSE),0)</f>
        <v>TRANSPORTE EN EL EXT</v>
      </c>
      <c r="D59" s="16">
        <f>SUMIF(Estado!$A$9:$A$371,$B59,Estado!$C$9:$C$371)</f>
        <v>7206683</v>
      </c>
      <c r="E59" s="16">
        <f>SUMIF(Estado!$A$9:$A$371,$B59,Estado!$D$9:$D$371)</f>
        <v>7206683</v>
      </c>
      <c r="F59" s="16">
        <f>SUMIF(Estado!$A$9:$A$371,$B59,Estado!$E$9:$E$371)</f>
        <v>0</v>
      </c>
      <c r="G59" s="16">
        <f>SUMIF(Estado!$A$9:$A$371,$B59,Estado!$G$9:$G$371)</f>
        <v>0</v>
      </c>
      <c r="H59" s="16">
        <f>SUMIF(Estado!$A$9:$A$371,$B59,Estado!$I$9:$I$371)</f>
        <v>0</v>
      </c>
      <c r="I59" s="16">
        <f>SUMIF(Estado!$A$9:$A$371,$B59,Estado!$K$9:$K$371)</f>
        <v>5492030.4800000004</v>
      </c>
      <c r="J59" s="16">
        <f t="shared" si="3"/>
        <v>5492030.4800000004</v>
      </c>
      <c r="K59" s="16">
        <f>SUMIF(Estado!$A$9:$A$371,$B59,Estado!$O$9:$O$371)</f>
        <v>1714652.52</v>
      </c>
      <c r="L59" s="50">
        <f t="shared" si="1"/>
        <v>0.76207465764763072</v>
      </c>
      <c r="M59" s="50">
        <f t="shared" si="2"/>
        <v>0.23792534235236931</v>
      </c>
    </row>
    <row r="60" spans="1:13" s="24" customFormat="1" ht="16.5" x14ac:dyDescent="0.25">
      <c r="A60" s="109"/>
      <c r="B60" s="106" t="str">
        <f>+Estado!A94</f>
        <v>E-10504</v>
      </c>
      <c r="C60" s="104" t="str">
        <f>IFERROR(VLOOKUP(B60,Estado!$A$9:$B$508,2,FALSE),0)</f>
        <v>VIÁTICOS EN EXTERIOR</v>
      </c>
      <c r="D60" s="16">
        <f>SUMIF(Estado!$A$9:$A$371,$B60,Estado!$C$9:$C$371)</f>
        <v>10548952</v>
      </c>
      <c r="E60" s="16">
        <f>SUMIF(Estado!$A$9:$A$371,$B60,Estado!$D$9:$D$371)</f>
        <v>10548952</v>
      </c>
      <c r="F60" s="16">
        <f>SUMIF(Estado!$A$9:$A$371,$B60,Estado!$E$9:$E$371)</f>
        <v>0</v>
      </c>
      <c r="G60" s="16">
        <f>SUMIF(Estado!$A$9:$A$371,$B60,Estado!$G$9:$G$371)</f>
        <v>0</v>
      </c>
      <c r="H60" s="16">
        <f>SUMIF(Estado!$A$9:$A$371,$B60,Estado!$I$9:$I$371)</f>
        <v>0</v>
      </c>
      <c r="I60" s="16">
        <f>SUMIF(Estado!$A$9:$A$371,$B60,Estado!$K$9:$K$371)</f>
        <v>7110086.6500000004</v>
      </c>
      <c r="J60" s="16">
        <f t="shared" si="3"/>
        <v>7110086.6500000004</v>
      </c>
      <c r="K60" s="16">
        <f>SUMIF(Estado!$A$9:$A$371,$B60,Estado!$O$9:$O$371)</f>
        <v>3438865.35</v>
      </c>
      <c r="L60" s="50">
        <f t="shared" si="1"/>
        <v>0.67400881623122377</v>
      </c>
      <c r="M60" s="50">
        <f t="shared" si="2"/>
        <v>0.32599118376877628</v>
      </c>
    </row>
    <row r="61" spans="1:13" s="24" customFormat="1" ht="16.5" x14ac:dyDescent="0.25">
      <c r="A61" s="109"/>
      <c r="B61" s="106" t="str">
        <f>+Estado!A95</f>
        <v>E-106</v>
      </c>
      <c r="C61" s="104" t="str">
        <f>IFERROR(VLOOKUP(B61,Estado!$A$9:$B$508,2,FALSE),0)</f>
        <v>SEGUROS REASEG Y OTR</v>
      </c>
      <c r="D61" s="16">
        <f>SUMIF(Estado!$A$9:$A$371,$B61,Estado!$C$9:$C$371)</f>
        <v>1424925704.29</v>
      </c>
      <c r="E61" s="16">
        <f>SUMIF(Estado!$A$9:$A$371,$B61,Estado!$D$9:$D$371)</f>
        <v>1424925704.29</v>
      </c>
      <c r="F61" s="16">
        <f>SUMIF(Estado!$A$9:$A$371,$B61,Estado!$E$9:$E$371)</f>
        <v>0</v>
      </c>
      <c r="G61" s="16">
        <f>SUMIF(Estado!$A$9:$A$371,$B61,Estado!$G$9:$G$371)</f>
        <v>0</v>
      </c>
      <c r="H61" s="16">
        <f>SUMIF(Estado!$A$9:$A$371,$B61,Estado!$I$9:$I$371)</f>
        <v>0</v>
      </c>
      <c r="I61" s="16">
        <f>SUMIF(Estado!$A$9:$A$371,$B61,Estado!$K$9:$K$371)</f>
        <v>1367300026.9000001</v>
      </c>
      <c r="J61" s="16">
        <f t="shared" si="3"/>
        <v>1367300026.9000001</v>
      </c>
      <c r="K61" s="16">
        <f>SUMIF(Estado!$A$9:$A$371,$B61,Estado!$O$9:$O$371)</f>
        <v>57625677.390000001</v>
      </c>
      <c r="L61" s="50">
        <f t="shared" si="1"/>
        <v>0.95955881965178447</v>
      </c>
      <c r="M61" s="50">
        <f t="shared" si="2"/>
        <v>4.0441180348215588E-2</v>
      </c>
    </row>
    <row r="62" spans="1:13" s="24" customFormat="1" ht="16.5" x14ac:dyDescent="0.25">
      <c r="A62" s="109"/>
      <c r="B62" s="106" t="str">
        <f>+Estado!A96</f>
        <v>E-10601</v>
      </c>
      <c r="C62" s="104" t="str">
        <f>IFERROR(VLOOKUP(B62,Estado!$A$9:$B$508,2,FALSE),0)</f>
        <v>SEGUROS</v>
      </c>
      <c r="D62" s="16">
        <f>SUMIF(Estado!$A$9:$A$371,$B62,Estado!$C$9:$C$371)</f>
        <v>1424925704.29</v>
      </c>
      <c r="E62" s="16">
        <f>SUMIF(Estado!$A$9:$A$371,$B62,Estado!$D$9:$D$371)</f>
        <v>1424925704.29</v>
      </c>
      <c r="F62" s="16">
        <f>SUMIF(Estado!$A$9:$A$371,$B62,Estado!$E$9:$E$371)</f>
        <v>0</v>
      </c>
      <c r="G62" s="16">
        <f>SUMIF(Estado!$A$9:$A$371,$B62,Estado!$G$9:$G$371)</f>
        <v>0</v>
      </c>
      <c r="H62" s="16">
        <f>SUMIF(Estado!$A$9:$A$371,$B62,Estado!$I$9:$I$371)</f>
        <v>0</v>
      </c>
      <c r="I62" s="16">
        <f>SUMIF(Estado!$A$9:$A$371,$B62,Estado!$K$9:$K$371)</f>
        <v>1367300026.9000001</v>
      </c>
      <c r="J62" s="16">
        <f t="shared" si="3"/>
        <v>1367300026.9000001</v>
      </c>
      <c r="K62" s="16">
        <f>SUMIF(Estado!$A$9:$A$371,$B62,Estado!$O$9:$O$371)</f>
        <v>57625677.390000001</v>
      </c>
      <c r="L62" s="50">
        <f t="shared" si="1"/>
        <v>0.95955881965178447</v>
      </c>
      <c r="M62" s="50">
        <f t="shared" si="2"/>
        <v>4.0441180348215588E-2</v>
      </c>
    </row>
    <row r="63" spans="1:13" s="24" customFormat="1" ht="16.5" x14ac:dyDescent="0.25">
      <c r="A63" s="109"/>
      <c r="B63" s="106" t="str">
        <f>+Estado!A97</f>
        <v>E-10602</v>
      </c>
      <c r="C63" s="104" t="str">
        <f>IFERROR(VLOOKUP(B63,Estado!$A$9:$B$508,2,FALSE),0)</f>
        <v>REASEGUROS</v>
      </c>
      <c r="D63" s="16">
        <f>SUMIF(Estado!$A$9:$A$371,$B63,Estado!$C$9:$C$371)</f>
        <v>0</v>
      </c>
      <c r="E63" s="16">
        <f>SUMIF(Estado!$A$9:$A$371,$B63,Estado!$D$9:$D$371)</f>
        <v>0</v>
      </c>
      <c r="F63" s="16">
        <f>SUMIF(Estado!$A$9:$A$371,$B63,Estado!$E$9:$E$371)</f>
        <v>0</v>
      </c>
      <c r="G63" s="16">
        <f>SUMIF(Estado!$A$9:$A$371,$B63,Estado!$G$9:$G$371)</f>
        <v>0</v>
      </c>
      <c r="H63" s="16">
        <f>SUMIF(Estado!$A$9:$A$371,$B63,Estado!$I$9:$I$371)</f>
        <v>0</v>
      </c>
      <c r="I63" s="16">
        <f>SUMIF(Estado!$A$9:$A$371,$B63,Estado!$K$9:$K$371)</f>
        <v>0</v>
      </c>
      <c r="J63" s="16">
        <f t="shared" ref="J63" si="6">SUM(G63:I63)</f>
        <v>0</v>
      </c>
      <c r="K63" s="16">
        <f>SUMIF(Estado!$A$9:$A$371,$B63,Estado!$O$9:$O$371)</f>
        <v>0</v>
      </c>
      <c r="L63" s="50">
        <f t="shared" ref="L63" si="7">+IFERROR(SUM(G63:I63)/D63,0)</f>
        <v>0</v>
      </c>
      <c r="M63" s="50">
        <f t="shared" ref="M63" si="8">+IFERROR(+K63/D63,0)</f>
        <v>0</v>
      </c>
    </row>
    <row r="64" spans="1:13" s="24" customFormat="1" ht="16.5" x14ac:dyDescent="0.25">
      <c r="A64" s="109"/>
      <c r="B64" s="106" t="str">
        <f>+Estado!A98</f>
        <v>E-107</v>
      </c>
      <c r="C64" s="104" t="str">
        <f>IFERROR(VLOOKUP(B64,Estado!$A$9:$B$508,2,FALSE),0)</f>
        <v>CAPACIT. Y PROTOCOLO</v>
      </c>
      <c r="D64" s="16">
        <f>SUMIF(Estado!$A$9:$A$371,$B64,Estado!$C$9:$C$371)</f>
        <v>15995940</v>
      </c>
      <c r="E64" s="16">
        <f>SUMIF(Estado!$A$9:$A$371,$B64,Estado!$D$9:$D$371)</f>
        <v>15695940</v>
      </c>
      <c r="F64" s="16">
        <f>SUMIF(Estado!$A$9:$A$371,$B64,Estado!$E$9:$E$371)</f>
        <v>0</v>
      </c>
      <c r="G64" s="16">
        <f>SUMIF(Estado!$A$9:$A$371,$B64,Estado!$G$9:$G$371)</f>
        <v>0</v>
      </c>
      <c r="H64" s="16">
        <f>SUMIF(Estado!$A$9:$A$371,$B64,Estado!$I$9:$I$371)</f>
        <v>0</v>
      </c>
      <c r="I64" s="16">
        <f>SUMIF(Estado!$A$9:$A$371,$B64,Estado!$K$9:$K$371)</f>
        <v>15231380</v>
      </c>
      <c r="J64" s="16">
        <f t="shared" si="3"/>
        <v>15231380</v>
      </c>
      <c r="K64" s="16">
        <f>SUMIF(Estado!$A$9:$A$371,$B64,Estado!$O$9:$O$371)</f>
        <v>764560</v>
      </c>
      <c r="L64" s="50">
        <f t="shared" si="1"/>
        <v>0.95220287147863769</v>
      </c>
      <c r="M64" s="50">
        <f t="shared" si="2"/>
        <v>4.7797128521362295E-2</v>
      </c>
    </row>
    <row r="65" spans="1:13" s="24" customFormat="1" ht="16.5" x14ac:dyDescent="0.25">
      <c r="A65" s="109"/>
      <c r="B65" s="106" t="str">
        <f>+Estado!A99</f>
        <v>E-10701</v>
      </c>
      <c r="C65" s="104" t="str">
        <f>IFERROR(VLOOKUP(B65,Estado!$A$9:$B$508,2,FALSE),0)</f>
        <v>ACTIV. CAPACITACIÓN</v>
      </c>
      <c r="D65" s="16">
        <f>SUMIF(Estado!$A$9:$A$371,$B65,Estado!$C$9:$C$371)</f>
        <v>15695940</v>
      </c>
      <c r="E65" s="16">
        <f>SUMIF(Estado!$A$9:$A$371,$B65,Estado!$D$9:$D$371)</f>
        <v>15695940</v>
      </c>
      <c r="F65" s="16">
        <f>SUMIF(Estado!$A$9:$A$371,$B65,Estado!$E$9:$E$371)</f>
        <v>0</v>
      </c>
      <c r="G65" s="16">
        <f>SUMIF(Estado!$A$9:$A$371,$B65,Estado!$G$9:$G$371)</f>
        <v>0</v>
      </c>
      <c r="H65" s="16">
        <f>SUMIF(Estado!$A$9:$A$371,$B65,Estado!$I$9:$I$371)</f>
        <v>0</v>
      </c>
      <c r="I65" s="16">
        <f>SUMIF(Estado!$A$9:$A$371,$B65,Estado!$K$9:$K$371)</f>
        <v>15231380</v>
      </c>
      <c r="J65" s="16">
        <f t="shared" si="3"/>
        <v>15231380</v>
      </c>
      <c r="K65" s="16">
        <f>SUMIF(Estado!$A$9:$A$371,$B65,Estado!$O$9:$O$371)</f>
        <v>464560</v>
      </c>
      <c r="L65" s="50">
        <f t="shared" si="1"/>
        <v>0.9704025372166305</v>
      </c>
      <c r="M65" s="50">
        <f t="shared" si="2"/>
        <v>2.9597462783369458E-2</v>
      </c>
    </row>
    <row r="66" spans="1:13" s="23" customFormat="1" ht="16.5" x14ac:dyDescent="0.25">
      <c r="A66" s="107"/>
      <c r="B66" s="106" t="str">
        <f>+Estado!A100</f>
        <v>E-10702</v>
      </c>
      <c r="C66" s="104" t="str">
        <f>IFERROR(VLOOKUP(B66,Estado!$A$9:$B$508,2,FALSE),0)</f>
        <v>ACTIV.PROTOCOL Y SOC</v>
      </c>
      <c r="D66" s="16">
        <f>SUMIF(Estado!$A$9:$A$371,$B66,Estado!$C$9:$C$371)</f>
        <v>0</v>
      </c>
      <c r="E66" s="16">
        <f>SUMIF(Estado!$A$9:$A$371,$B66,Estado!$D$9:$D$371)</f>
        <v>0</v>
      </c>
      <c r="F66" s="16">
        <f>SUMIF(Estado!$A$9:$A$371,$B66,Estado!$E$9:$E$371)</f>
        <v>0</v>
      </c>
      <c r="G66" s="16">
        <f>SUMIF(Estado!$A$9:$A$371,$B66,Estado!$G$9:$G$371)</f>
        <v>0</v>
      </c>
      <c r="H66" s="16">
        <f>SUMIF(Estado!$A$9:$A$371,$B66,Estado!$I$9:$I$371)</f>
        <v>0</v>
      </c>
      <c r="I66" s="16">
        <f>SUMIF(Estado!$A$9:$A$371,$B66,Estado!$K$9:$K$371)</f>
        <v>0</v>
      </c>
      <c r="J66" s="16">
        <f t="shared" ref="J66" si="9">SUM(G66:I66)</f>
        <v>0</v>
      </c>
      <c r="K66" s="16">
        <f>SUMIF(Estado!$A$9:$A$371,$B66,Estado!$O$9:$O$371)</f>
        <v>0</v>
      </c>
      <c r="L66" s="50">
        <f t="shared" si="1"/>
        <v>0</v>
      </c>
      <c r="M66" s="50">
        <f t="shared" si="2"/>
        <v>0</v>
      </c>
    </row>
    <row r="67" spans="1:13" s="24" customFormat="1" ht="16.5" x14ac:dyDescent="0.25">
      <c r="A67" s="109"/>
      <c r="B67" s="106" t="str">
        <f>+Estado!A101</f>
        <v>E-10703</v>
      </c>
      <c r="C67" s="104" t="str">
        <f>IFERROR(VLOOKUP(B67,Estado!$A$9:$B$508,2,FALSE),0)</f>
        <v>GASTOS REPRES.INSTIT</v>
      </c>
      <c r="D67" s="16">
        <f>SUMIF(Estado!$A$9:$A$371,$B67,Estado!$C$9:$C$371)</f>
        <v>300000</v>
      </c>
      <c r="E67" s="16">
        <f>SUMIF(Estado!$A$9:$A$371,$B67,Estado!$D$9:$D$371)</f>
        <v>0</v>
      </c>
      <c r="F67" s="16">
        <f>SUMIF(Estado!$A$9:$A$371,$B67,Estado!$E$9:$E$371)</f>
        <v>0</v>
      </c>
      <c r="G67" s="16">
        <f>SUMIF(Estado!$A$9:$A$371,$B67,Estado!$G$9:$G$371)</f>
        <v>0</v>
      </c>
      <c r="H67" s="16">
        <f>SUMIF(Estado!$A$9:$A$371,$B67,Estado!$I$9:$I$371)</f>
        <v>0</v>
      </c>
      <c r="I67" s="16">
        <f>SUMIF(Estado!$A$9:$A$371,$B67,Estado!$K$9:$K$371)</f>
        <v>0</v>
      </c>
      <c r="J67" s="16">
        <f t="shared" ref="J67" si="10">SUM(G67:I67)</f>
        <v>0</v>
      </c>
      <c r="K67" s="16">
        <f>SUMIF(Estado!$A$9:$A$371,$B67,Estado!$O$9:$O$371)</f>
        <v>300000</v>
      </c>
      <c r="L67" s="50">
        <f t="shared" si="1"/>
        <v>0</v>
      </c>
      <c r="M67" s="50">
        <f t="shared" si="2"/>
        <v>1</v>
      </c>
    </row>
    <row r="68" spans="1:13" s="24" customFormat="1" ht="16.5" x14ac:dyDescent="0.25">
      <c r="A68" s="109"/>
      <c r="B68" s="106" t="str">
        <f>+Estado!A102</f>
        <v>E-108</v>
      </c>
      <c r="C68" s="104" t="str">
        <f>IFERROR(VLOOKUP(B68,Estado!$A$9:$B$508,2,FALSE),0)</f>
        <v>MANTEN. Y REPARACIÓN</v>
      </c>
      <c r="D68" s="16">
        <f>SUMIF(Estado!$A$9:$A$371,$B68,Estado!$C$9:$C$371)</f>
        <v>830332075</v>
      </c>
      <c r="E68" s="16">
        <f>SUMIF(Estado!$A$9:$A$371,$B68,Estado!$D$9:$D$371)</f>
        <v>825832075</v>
      </c>
      <c r="F68" s="16">
        <f>SUMIF(Estado!$A$9:$A$371,$B68,Estado!$E$9:$E$371)</f>
        <v>0</v>
      </c>
      <c r="G68" s="16">
        <f>SUMIF(Estado!$A$9:$A$371,$B68,Estado!$G$9:$G$371)</f>
        <v>0</v>
      </c>
      <c r="H68" s="16">
        <f>SUMIF(Estado!$A$9:$A$371,$B68,Estado!$I$9:$I$371)</f>
        <v>0</v>
      </c>
      <c r="I68" s="16">
        <f>SUMIF(Estado!$A$9:$A$371,$B68,Estado!$K$9:$K$371)</f>
        <v>586076488.20000005</v>
      </c>
      <c r="J68" s="16">
        <f t="shared" si="3"/>
        <v>586076488.20000005</v>
      </c>
      <c r="K68" s="16">
        <f>SUMIF(Estado!$A$9:$A$371,$B68,Estado!$O$9:$O$371)</f>
        <v>244255586.80000001</v>
      </c>
      <c r="L68" s="50">
        <f t="shared" si="1"/>
        <v>0.70583385352179739</v>
      </c>
      <c r="M68" s="50">
        <f t="shared" si="2"/>
        <v>0.29416614647820272</v>
      </c>
    </row>
    <row r="69" spans="1:13" s="24" customFormat="1" ht="16.5" x14ac:dyDescent="0.25">
      <c r="A69" s="109"/>
      <c r="B69" s="106" t="str">
        <f>+Estado!A103</f>
        <v>E-10801</v>
      </c>
      <c r="C69" s="104" t="str">
        <f>IFERROR(VLOOKUP(B69,Estado!$A$9:$B$508,2,FALSE),0)</f>
        <v>MANT.EDIF.,LOC.YTERR</v>
      </c>
      <c r="D69" s="16">
        <f>SUMIF(Estado!$A$9:$A$371,$B69,Estado!$C$9:$C$371)</f>
        <v>78656000</v>
      </c>
      <c r="E69" s="16">
        <f>SUMIF(Estado!$A$9:$A$371,$B69,Estado!$D$9:$D$371)</f>
        <v>78656000</v>
      </c>
      <c r="F69" s="16">
        <f>SUMIF(Estado!$A$9:$A$371,$B69,Estado!$E$9:$E$371)</f>
        <v>0</v>
      </c>
      <c r="G69" s="16">
        <f>SUMIF(Estado!$A$9:$A$371,$B69,Estado!$G$9:$G$371)</f>
        <v>0</v>
      </c>
      <c r="H69" s="16">
        <f>SUMIF(Estado!$A$9:$A$371,$B69,Estado!$I$9:$I$371)</f>
        <v>0</v>
      </c>
      <c r="I69" s="16">
        <f>SUMIF(Estado!$A$9:$A$371,$B69,Estado!$K$9:$K$371)</f>
        <v>26684954.780000001</v>
      </c>
      <c r="J69" s="16">
        <f t="shared" si="3"/>
        <v>26684954.780000001</v>
      </c>
      <c r="K69" s="16">
        <f>SUMIF(Estado!$A$9:$A$371,$B69,Estado!$O$9:$O$371)</f>
        <v>51971045.219999999</v>
      </c>
      <c r="L69" s="50">
        <f t="shared" ref="L69:L134" si="11">+IFERROR(SUM(G69:I69)/D69,0)</f>
        <v>0.33926152842758339</v>
      </c>
      <c r="M69" s="50">
        <f t="shared" ref="M69:M134" si="12">+IFERROR(+K69/D69,0)</f>
        <v>0.66073847157241661</v>
      </c>
    </row>
    <row r="70" spans="1:13" s="24" customFormat="1" ht="16.5" x14ac:dyDescent="0.25">
      <c r="A70" s="109"/>
      <c r="B70" s="106" t="str">
        <f>+Estado!A104</f>
        <v>E-10804</v>
      </c>
      <c r="C70" s="104" t="str">
        <f>IFERROR(VLOOKUP(B70,Estado!$A$9:$B$508,2,FALSE),0)</f>
        <v>MANT.Y REP.M.EQ.PROD</v>
      </c>
      <c r="D70" s="16">
        <f>SUMIF(Estado!$A$9:$A$371,$B70,Estado!$C$9:$C$371)</f>
        <v>388797817</v>
      </c>
      <c r="E70" s="16">
        <f>SUMIF(Estado!$A$9:$A$371,$B70,Estado!$D$9:$D$371)</f>
        <v>388797817</v>
      </c>
      <c r="F70" s="16">
        <f>SUMIF(Estado!$A$9:$A$371,$B70,Estado!$E$9:$E$371)</f>
        <v>0</v>
      </c>
      <c r="G70" s="16">
        <f>SUMIF(Estado!$A$9:$A$371,$B70,Estado!$G$9:$G$371)</f>
        <v>0</v>
      </c>
      <c r="H70" s="16">
        <f>SUMIF(Estado!$A$9:$A$371,$B70,Estado!$I$9:$I$371)</f>
        <v>0</v>
      </c>
      <c r="I70" s="16">
        <f>SUMIF(Estado!$A$9:$A$371,$B70,Estado!$K$9:$K$371)</f>
        <v>310311905.64999998</v>
      </c>
      <c r="J70" s="16">
        <f t="shared" ref="J70:J135" si="13">SUM(G70:I70)</f>
        <v>310311905.64999998</v>
      </c>
      <c r="K70" s="16">
        <f>SUMIF(Estado!$A$9:$A$371,$B70,Estado!$O$9:$O$371)</f>
        <v>78485911.349999994</v>
      </c>
      <c r="L70" s="50">
        <f t="shared" si="11"/>
        <v>0.79813181062690997</v>
      </c>
      <c r="M70" s="50">
        <f t="shared" si="12"/>
        <v>0.20186818937309001</v>
      </c>
    </row>
    <row r="71" spans="1:13" s="24" customFormat="1" ht="16.5" x14ac:dyDescent="0.25">
      <c r="A71" s="109"/>
      <c r="B71" s="106" t="str">
        <f>+Estado!A105</f>
        <v>E-10805</v>
      </c>
      <c r="C71" s="104" t="str">
        <f>IFERROR(VLOOKUP(B71,Estado!$A$9:$B$508,2,FALSE),0)</f>
        <v>MANT.Y REP.EQ.TRANSP</v>
      </c>
      <c r="D71" s="16">
        <f>SUMIF(Estado!$A$9:$A$371,$B71,Estado!$C$9:$C$371)</f>
        <v>117065315</v>
      </c>
      <c r="E71" s="16">
        <f>SUMIF(Estado!$A$9:$A$371,$B71,Estado!$D$9:$D$371)</f>
        <v>117065315</v>
      </c>
      <c r="F71" s="16">
        <f>SUMIF(Estado!$A$9:$A$371,$B71,Estado!$E$9:$E$371)</f>
        <v>0</v>
      </c>
      <c r="G71" s="16">
        <f>SUMIF(Estado!$A$9:$A$371,$B71,Estado!$G$9:$G$371)</f>
        <v>0</v>
      </c>
      <c r="H71" s="16">
        <f>SUMIF(Estado!$A$9:$A$371,$B71,Estado!$I$9:$I$371)</f>
        <v>0</v>
      </c>
      <c r="I71" s="16">
        <f>SUMIF(Estado!$A$9:$A$371,$B71,Estado!$K$9:$K$371)</f>
        <v>80967416.840000004</v>
      </c>
      <c r="J71" s="16">
        <f t="shared" si="13"/>
        <v>80967416.840000004</v>
      </c>
      <c r="K71" s="16">
        <f>SUMIF(Estado!$A$9:$A$371,$B71,Estado!$O$9:$O$371)</f>
        <v>36097898.160000004</v>
      </c>
      <c r="L71" s="50">
        <f t="shared" si="11"/>
        <v>0.69164309548050162</v>
      </c>
      <c r="M71" s="50">
        <f t="shared" si="12"/>
        <v>0.30835690451949838</v>
      </c>
    </row>
    <row r="72" spans="1:13" s="24" customFormat="1" ht="16.5" x14ac:dyDescent="0.25">
      <c r="A72" s="109"/>
      <c r="B72" s="106" t="str">
        <f>+Estado!A106</f>
        <v>E-10806</v>
      </c>
      <c r="C72" s="104" t="str">
        <f>IFERROR(VLOOKUP(B72,Estado!$A$9:$B$508,2,FALSE),0)</f>
        <v>MANT.Y REP.EQ.COMUNI</v>
      </c>
      <c r="D72" s="16">
        <f>SUMIF(Estado!$A$9:$A$371,$B72,Estado!$C$9:$C$371)</f>
        <v>13481770</v>
      </c>
      <c r="E72" s="16">
        <f>SUMIF(Estado!$A$9:$A$371,$B72,Estado!$D$9:$D$371)</f>
        <v>8981770</v>
      </c>
      <c r="F72" s="16">
        <f>SUMIF(Estado!$A$9:$A$371,$B72,Estado!$E$9:$E$371)</f>
        <v>0</v>
      </c>
      <c r="G72" s="16">
        <f>SUMIF(Estado!$A$9:$A$371,$B72,Estado!$G$9:$G$371)</f>
        <v>0</v>
      </c>
      <c r="H72" s="16">
        <f>SUMIF(Estado!$A$9:$A$371,$B72,Estado!$I$9:$I$371)</f>
        <v>0</v>
      </c>
      <c r="I72" s="16">
        <f>SUMIF(Estado!$A$9:$A$371,$B72,Estado!$K$9:$K$371)</f>
        <v>6395193.4100000001</v>
      </c>
      <c r="J72" s="16">
        <f t="shared" si="13"/>
        <v>6395193.4100000001</v>
      </c>
      <c r="K72" s="16">
        <f>SUMIF(Estado!$A$9:$A$371,$B72,Estado!$O$9:$O$371)</f>
        <v>7086576.5899999999</v>
      </c>
      <c r="L72" s="50">
        <f t="shared" si="11"/>
        <v>0.47435859015544696</v>
      </c>
      <c r="M72" s="50">
        <f t="shared" si="12"/>
        <v>0.52564140984455299</v>
      </c>
    </row>
    <row r="73" spans="1:13" s="24" customFormat="1" ht="16.5" x14ac:dyDescent="0.25">
      <c r="A73" s="109"/>
      <c r="B73" s="106" t="str">
        <f>+Estado!A107</f>
        <v>E-10807</v>
      </c>
      <c r="C73" s="104" t="str">
        <f>IFERROR(VLOOKUP(B73,Estado!$A$9:$B$508,2,FALSE),0)</f>
        <v>MANT.Y REP.EQ.MOB.OF</v>
      </c>
      <c r="D73" s="16">
        <f>SUMIF(Estado!$A$9:$A$371,$B73,Estado!$C$9:$C$371)</f>
        <v>23705953</v>
      </c>
      <c r="E73" s="16">
        <f>SUMIF(Estado!$A$9:$A$371,$B73,Estado!$D$9:$D$371)</f>
        <v>23705953</v>
      </c>
      <c r="F73" s="16">
        <f>SUMIF(Estado!$A$9:$A$371,$B73,Estado!$E$9:$E$371)</f>
        <v>0</v>
      </c>
      <c r="G73" s="16">
        <f>SUMIF(Estado!$A$9:$A$371,$B73,Estado!$G$9:$G$371)</f>
        <v>0</v>
      </c>
      <c r="H73" s="16">
        <f>SUMIF(Estado!$A$9:$A$371,$B73,Estado!$I$9:$I$371)</f>
        <v>0</v>
      </c>
      <c r="I73" s="16">
        <f>SUMIF(Estado!$A$9:$A$371,$B73,Estado!$K$9:$K$371)</f>
        <v>16179780.920000002</v>
      </c>
      <c r="J73" s="16">
        <f t="shared" si="13"/>
        <v>16179780.920000002</v>
      </c>
      <c r="K73" s="16">
        <f>SUMIF(Estado!$A$9:$A$371,$B73,Estado!$O$9:$O$371)</f>
        <v>7526172.0800000001</v>
      </c>
      <c r="L73" s="50">
        <f t="shared" si="11"/>
        <v>0.68251974177119146</v>
      </c>
      <c r="M73" s="50">
        <f t="shared" si="12"/>
        <v>0.3174802582288086</v>
      </c>
    </row>
    <row r="74" spans="1:13" s="24" customFormat="1" ht="16.5" x14ac:dyDescent="0.25">
      <c r="A74" s="109"/>
      <c r="B74" s="106" t="str">
        <f>+Estado!A108</f>
        <v>E-10808</v>
      </c>
      <c r="C74" s="104" t="str">
        <f>IFERROR(VLOOKUP(B74,Estado!$A$9:$B$508,2,FALSE),0)</f>
        <v>MANT.YREP.EQ.C.S.INF</v>
      </c>
      <c r="D74" s="16">
        <f>SUMIF(Estado!$A$9:$A$371,$B74,Estado!$C$9:$C$371)</f>
        <v>68909737</v>
      </c>
      <c r="E74" s="16">
        <f>SUMIF(Estado!$A$9:$A$371,$B74,Estado!$D$9:$D$371)</f>
        <v>68909737</v>
      </c>
      <c r="F74" s="16">
        <f>SUMIF(Estado!$A$9:$A$371,$B74,Estado!$E$9:$E$371)</f>
        <v>0</v>
      </c>
      <c r="G74" s="16">
        <f>SUMIF(Estado!$A$9:$A$371,$B74,Estado!$G$9:$G$371)</f>
        <v>0</v>
      </c>
      <c r="H74" s="16">
        <f>SUMIF(Estado!$A$9:$A$371,$B74,Estado!$I$9:$I$371)</f>
        <v>0</v>
      </c>
      <c r="I74" s="16">
        <f>SUMIF(Estado!$A$9:$A$371,$B74,Estado!$K$9:$K$371)</f>
        <v>49444845.780000001</v>
      </c>
      <c r="J74" s="16">
        <f t="shared" si="13"/>
        <v>49444845.780000001</v>
      </c>
      <c r="K74" s="16">
        <f>SUMIF(Estado!$A$9:$A$371,$B74,Estado!$O$9:$O$371)</f>
        <v>19464891.219999999</v>
      </c>
      <c r="L74" s="50">
        <f t="shared" si="11"/>
        <v>0.71753061225585579</v>
      </c>
      <c r="M74" s="50">
        <f t="shared" si="12"/>
        <v>0.28246938774414421</v>
      </c>
    </row>
    <row r="75" spans="1:13" s="24" customFormat="1" ht="16.5" x14ac:dyDescent="0.25">
      <c r="A75" s="109"/>
      <c r="B75" s="106" t="str">
        <f>+Estado!A109</f>
        <v>E-10899</v>
      </c>
      <c r="C75" s="104" t="str">
        <f>IFERROR(VLOOKUP(B75,Estado!$A$9:$B$508,2,FALSE),0)</f>
        <v>MANT.Y REP.OTROS EQ.</v>
      </c>
      <c r="D75" s="16">
        <f>SUMIF(Estado!$A$9:$A$371,$B75,Estado!$C$9:$C$371)</f>
        <v>139715483</v>
      </c>
      <c r="E75" s="16">
        <f>SUMIF(Estado!$A$9:$A$371,$B75,Estado!$D$9:$D$371)</f>
        <v>139715483</v>
      </c>
      <c r="F75" s="16">
        <f>SUMIF(Estado!$A$9:$A$371,$B75,Estado!$E$9:$E$371)</f>
        <v>0</v>
      </c>
      <c r="G75" s="16">
        <f>SUMIF(Estado!$A$9:$A$371,$B75,Estado!$G$9:$G$371)</f>
        <v>0</v>
      </c>
      <c r="H75" s="16">
        <f>SUMIF(Estado!$A$9:$A$371,$B75,Estado!$I$9:$I$371)</f>
        <v>0</v>
      </c>
      <c r="I75" s="16">
        <f>SUMIF(Estado!$A$9:$A$371,$B75,Estado!$K$9:$K$371)</f>
        <v>96092390.820000008</v>
      </c>
      <c r="J75" s="16">
        <f t="shared" si="13"/>
        <v>96092390.820000008</v>
      </c>
      <c r="K75" s="16">
        <f>SUMIF(Estado!$A$9:$A$371,$B75,Estado!$O$9:$O$371)</f>
        <v>43623092.18</v>
      </c>
      <c r="L75" s="50">
        <f t="shared" si="11"/>
        <v>0.68777195452274964</v>
      </c>
      <c r="M75" s="50">
        <f t="shared" si="12"/>
        <v>0.31222804547725036</v>
      </c>
    </row>
    <row r="76" spans="1:13" s="24" customFormat="1" ht="16.5" x14ac:dyDescent="0.25">
      <c r="A76" s="109"/>
      <c r="B76" s="106" t="str">
        <f>+Estado!A110</f>
        <v>E-109</v>
      </c>
      <c r="C76" s="104" t="str">
        <f>IFERROR(VLOOKUP(B76,Estado!$A$9:$B$508,2,FALSE),0)</f>
        <v>IMPUESTOS</v>
      </c>
      <c r="D76" s="16">
        <f>SUMIF(Estado!$A$9:$A$371,$B76,Estado!$C$9:$C$371)</f>
        <v>13965838</v>
      </c>
      <c r="E76" s="16">
        <f>SUMIF(Estado!$A$9:$A$371,$B76,Estado!$D$9:$D$371)</f>
        <v>13965838</v>
      </c>
      <c r="F76" s="16">
        <f>SUMIF(Estado!$A$9:$A$371,$B76,Estado!$E$9:$E$371)</f>
        <v>0</v>
      </c>
      <c r="G76" s="16">
        <f>SUMIF(Estado!$A$9:$A$371,$B76,Estado!$G$9:$G$371)</f>
        <v>0</v>
      </c>
      <c r="H76" s="16">
        <f>SUMIF(Estado!$A$9:$A$371,$B76,Estado!$I$9:$I$371)</f>
        <v>0</v>
      </c>
      <c r="I76" s="16">
        <f>SUMIF(Estado!$A$9:$A$371,$B76,Estado!$K$9:$K$371)</f>
        <v>12192585</v>
      </c>
      <c r="J76" s="16">
        <f t="shared" si="13"/>
        <v>12192585</v>
      </c>
      <c r="K76" s="16">
        <f>SUMIF(Estado!$A$9:$A$371,$B76,Estado!$O$9:$O$371)</f>
        <v>1773253</v>
      </c>
      <c r="L76" s="50">
        <f t="shared" si="11"/>
        <v>0.8730292446468304</v>
      </c>
      <c r="M76" s="50">
        <f t="shared" si="12"/>
        <v>0.12697075535316965</v>
      </c>
    </row>
    <row r="77" spans="1:13" s="24" customFormat="1" ht="16.5" x14ac:dyDescent="0.25">
      <c r="A77" s="109"/>
      <c r="B77" s="106" t="str">
        <f>+Estado!A111</f>
        <v>E-10999</v>
      </c>
      <c r="C77" s="104" t="str">
        <f>IFERROR(VLOOKUP(B77,Estado!$A$9:$B$508,2,FALSE),0)</f>
        <v>TROS IMPUESTOS</v>
      </c>
      <c r="D77" s="16">
        <f>SUMIF(Estado!$A$9:$A$371,$B77,Estado!$C$9:$C$371)</f>
        <v>13965838</v>
      </c>
      <c r="E77" s="16">
        <f>SUMIF(Estado!$A$9:$A$371,$B77,Estado!$D$9:$D$371)</f>
        <v>13965838</v>
      </c>
      <c r="F77" s="16">
        <f>SUMIF(Estado!$A$9:$A$371,$B77,Estado!$E$9:$E$371)</f>
        <v>0</v>
      </c>
      <c r="G77" s="16">
        <f>SUMIF(Estado!$A$9:$A$371,$B77,Estado!$G$9:$G$371)</f>
        <v>0</v>
      </c>
      <c r="H77" s="16">
        <f>SUMIF(Estado!$A$9:$A$371,$B77,Estado!$I$9:$I$371)</f>
        <v>0</v>
      </c>
      <c r="I77" s="16">
        <f>SUMIF(Estado!$A$9:$A$371,$B77,Estado!$K$9:$K$371)</f>
        <v>12192585</v>
      </c>
      <c r="J77" s="16">
        <f t="shared" si="13"/>
        <v>12192585</v>
      </c>
      <c r="K77" s="16">
        <f>SUMIF(Estado!$A$9:$A$371,$B77,Estado!$O$9:$O$371)</f>
        <v>1773253</v>
      </c>
      <c r="L77" s="50">
        <f t="shared" si="11"/>
        <v>0.8730292446468304</v>
      </c>
      <c r="M77" s="50">
        <f t="shared" si="12"/>
        <v>0.12697075535316965</v>
      </c>
    </row>
    <row r="78" spans="1:13" s="24" customFormat="1" ht="16.5" x14ac:dyDescent="0.25">
      <c r="A78" s="109"/>
      <c r="B78" s="106" t="str">
        <f>+Estado!A112</f>
        <v>E-199</v>
      </c>
      <c r="C78" s="104" t="str">
        <f>IFERROR(VLOOKUP(B78,Estado!$A$9:$B$508,2,FALSE),0)</f>
        <v>SERVICIOS DIVERSOS</v>
      </c>
      <c r="D78" s="16">
        <f>SUMIF(Estado!$A$9:$A$371,$B78,Estado!$C$9:$C$371)</f>
        <v>77319190.709999993</v>
      </c>
      <c r="E78" s="16">
        <f>SUMIF(Estado!$A$9:$A$371,$B78,Estado!$D$9:$D$371)</f>
        <v>77319190.709999993</v>
      </c>
      <c r="F78" s="16">
        <f>SUMIF(Estado!$A$9:$A$371,$B78,Estado!$E$9:$E$371)</f>
        <v>0</v>
      </c>
      <c r="G78" s="16">
        <f>SUMIF(Estado!$A$9:$A$371,$B78,Estado!$G$9:$G$371)</f>
        <v>0</v>
      </c>
      <c r="H78" s="16">
        <f>SUMIF(Estado!$A$9:$A$371,$B78,Estado!$I$9:$I$371)</f>
        <v>0</v>
      </c>
      <c r="I78" s="16">
        <f>SUMIF(Estado!$A$9:$A$371,$B78,Estado!$K$9:$K$371)</f>
        <v>19952169.27</v>
      </c>
      <c r="J78" s="16">
        <f t="shared" si="13"/>
        <v>19952169.27</v>
      </c>
      <c r="K78" s="16">
        <f>SUMIF(Estado!$A$9:$A$371,$B78,Estado!$O$9:$O$371)</f>
        <v>57367021.439999998</v>
      </c>
      <c r="L78" s="50">
        <f t="shared" si="11"/>
        <v>0.25804938058436644</v>
      </c>
      <c r="M78" s="50">
        <f t="shared" si="12"/>
        <v>0.74195061941563356</v>
      </c>
    </row>
    <row r="79" spans="1:13" s="24" customFormat="1" ht="16.5" x14ac:dyDescent="0.25">
      <c r="A79" s="109"/>
      <c r="B79" s="106" t="str">
        <f>+Estado!A113</f>
        <v>E-19901</v>
      </c>
      <c r="C79" s="104" t="str">
        <f>IFERROR(VLOOKUP(B79,Estado!$A$9:$B$508,2,FALSE),0)</f>
        <v>SERV. DE REGULACIÓN</v>
      </c>
      <c r="D79" s="16">
        <f>SUMIF(Estado!$A$9:$A$371,$B79,Estado!$C$9:$C$371)</f>
        <v>5000000</v>
      </c>
      <c r="E79" s="16">
        <f>SUMIF(Estado!$A$9:$A$371,$B79,Estado!$D$9:$D$371)</f>
        <v>5000000</v>
      </c>
      <c r="F79" s="16">
        <f>SUMIF(Estado!$A$9:$A$371,$B79,Estado!$E$9:$E$371)</f>
        <v>0</v>
      </c>
      <c r="G79" s="16">
        <f>SUMIF(Estado!$A$9:$A$371,$B79,Estado!$G$9:$G$371)</f>
        <v>0</v>
      </c>
      <c r="H79" s="16">
        <f>SUMIF(Estado!$A$9:$A$371,$B79,Estado!$I$9:$I$371)</f>
        <v>0</v>
      </c>
      <c r="I79" s="16">
        <f>SUMIF(Estado!$A$9:$A$371,$B79,Estado!$K$9:$K$371)</f>
        <v>3986646.23</v>
      </c>
      <c r="J79" s="16">
        <f t="shared" si="13"/>
        <v>3986646.23</v>
      </c>
      <c r="K79" s="16">
        <f>SUMIF(Estado!$A$9:$A$371,$B79,Estado!$O$9:$O$371)</f>
        <v>1013353.77</v>
      </c>
      <c r="L79" s="50">
        <f t="shared" si="11"/>
        <v>0.79732924599999999</v>
      </c>
      <c r="M79" s="50">
        <f t="shared" si="12"/>
        <v>0.20267075400000001</v>
      </c>
    </row>
    <row r="80" spans="1:13" s="24" customFormat="1" ht="16.5" x14ac:dyDescent="0.25">
      <c r="A80" s="109"/>
      <c r="B80" s="106" t="str">
        <f>+Estado!A114</f>
        <v>E-19902</v>
      </c>
      <c r="C80" s="104" t="str">
        <f>IFERROR(VLOOKUP(B80,Estado!$A$9:$B$508,2,FALSE),0)</f>
        <v>INT. MORAT. Y MULTAS</v>
      </c>
      <c r="D80" s="16">
        <f>SUMIF(Estado!$A$9:$A$371,$B80,Estado!$C$9:$C$371)</f>
        <v>53671460.710000001</v>
      </c>
      <c r="E80" s="16">
        <f>SUMIF(Estado!$A$9:$A$371,$B80,Estado!$D$9:$D$371)</f>
        <v>53671460.710000001</v>
      </c>
      <c r="F80" s="16">
        <f>SUMIF(Estado!$A$9:$A$371,$B80,Estado!$E$9:$E$371)</f>
        <v>0</v>
      </c>
      <c r="G80" s="16">
        <f>SUMIF(Estado!$A$9:$A$371,$B80,Estado!$G$9:$G$371)</f>
        <v>0</v>
      </c>
      <c r="H80" s="16">
        <f>SUMIF(Estado!$A$9:$A$371,$B80,Estado!$I$9:$I$371)</f>
        <v>0</v>
      </c>
      <c r="I80" s="16">
        <f>SUMIF(Estado!$A$9:$A$371,$B80,Estado!$K$9:$K$371)</f>
        <v>3313284.04</v>
      </c>
      <c r="J80" s="16">
        <f t="shared" si="13"/>
        <v>3313284.04</v>
      </c>
      <c r="K80" s="16">
        <f>SUMIF(Estado!$A$9:$A$371,$B80,Estado!$O$9:$O$371)</f>
        <v>50358176.670000002</v>
      </c>
      <c r="L80" s="50">
        <f t="shared" si="11"/>
        <v>6.1732697343612135E-2</v>
      </c>
      <c r="M80" s="50">
        <f t="shared" si="12"/>
        <v>0.93826730265638791</v>
      </c>
    </row>
    <row r="81" spans="1:13" s="24" customFormat="1" ht="16.5" x14ac:dyDescent="0.25">
      <c r="A81" s="109"/>
      <c r="B81" s="106" t="str">
        <f>+Estado!A115</f>
        <v>E-19905</v>
      </c>
      <c r="C81" s="104" t="str">
        <f>IFERROR(VLOOKUP(B81,Estado!$A$9:$B$508,2,FALSE),0)</f>
        <v>DEDUCIBLES</v>
      </c>
      <c r="D81" s="16">
        <f>SUMIF(Estado!$A$9:$A$371,$B81,Estado!$C$9:$C$371)</f>
        <v>18647730</v>
      </c>
      <c r="E81" s="16">
        <f>SUMIF(Estado!$A$9:$A$371,$B81,Estado!$D$9:$D$371)</f>
        <v>18647730</v>
      </c>
      <c r="F81" s="16">
        <f>SUMIF(Estado!$A$9:$A$371,$B81,Estado!$E$9:$E$371)</f>
        <v>0</v>
      </c>
      <c r="G81" s="16">
        <f>SUMIF(Estado!$A$9:$A$371,$B81,Estado!$G$9:$G$371)</f>
        <v>0</v>
      </c>
      <c r="H81" s="16">
        <f>SUMIF(Estado!$A$9:$A$371,$B81,Estado!$I$9:$I$371)</f>
        <v>0</v>
      </c>
      <c r="I81" s="16">
        <f>SUMIF(Estado!$A$9:$A$371,$B81,Estado!$K$9:$K$371)</f>
        <v>12652239</v>
      </c>
      <c r="J81" s="16">
        <f t="shared" si="13"/>
        <v>12652239</v>
      </c>
      <c r="K81" s="16">
        <f>SUMIF(Estado!$A$9:$A$371,$B81,Estado!$O$9:$O$371)</f>
        <v>5995491</v>
      </c>
      <c r="L81" s="50">
        <f t="shared" si="11"/>
        <v>0.67848681850284187</v>
      </c>
      <c r="M81" s="50">
        <f t="shared" si="12"/>
        <v>0.32151318149715807</v>
      </c>
    </row>
    <row r="82" spans="1:13" s="23" customFormat="1" ht="17.25" x14ac:dyDescent="0.25">
      <c r="A82" s="107"/>
      <c r="B82" s="108" t="str">
        <f>+Estado!A116</f>
        <v>E-2</v>
      </c>
      <c r="C82" s="105" t="str">
        <f>IFERROR(VLOOKUP(B82,Estado!$A$9:$B$508,2,FALSE),0)</f>
        <v>MATERIALES Y SUMINIS</v>
      </c>
      <c r="D82" s="22">
        <f>+D83+D89+D92+D100+D105+D103</f>
        <v>14210989756</v>
      </c>
      <c r="E82" s="22">
        <f>+E83+E89+E92+E100+E105+E103</f>
        <v>14210989756</v>
      </c>
      <c r="F82" s="22">
        <f t="shared" ref="F82:J82" si="14">+F83+F89+F92+F100+F105</f>
        <v>0</v>
      </c>
      <c r="G82" s="22">
        <f t="shared" si="14"/>
        <v>0</v>
      </c>
      <c r="H82" s="22">
        <f t="shared" si="14"/>
        <v>0</v>
      </c>
      <c r="I82" s="22">
        <f t="shared" si="14"/>
        <v>12787585774.42</v>
      </c>
      <c r="J82" s="22">
        <f t="shared" si="14"/>
        <v>12787585774.42</v>
      </c>
      <c r="K82" s="22">
        <f>+K83+K89+K92+K100+K105+K103</f>
        <v>1423403981.5800002</v>
      </c>
      <c r="L82" s="67">
        <f t="shared" si="11"/>
        <v>0.89983780116518441</v>
      </c>
      <c r="M82" s="67">
        <f t="shared" si="12"/>
        <v>0.10016219883481564</v>
      </c>
    </row>
    <row r="83" spans="1:13" s="24" customFormat="1" ht="16.5" x14ac:dyDescent="0.25">
      <c r="A83" s="109"/>
      <c r="B83" s="106" t="str">
        <f>+Estado!A117</f>
        <v>E-201</v>
      </c>
      <c r="C83" s="104" t="str">
        <f>IFERROR(VLOOKUP(B83,Estado!$A$9:$B$508,2,FALSE),0)</f>
        <v>PRODUC QUÍM Y CONEX</v>
      </c>
      <c r="D83" s="16">
        <f>SUMIF(Estado!$A$9:$A$371,$B83,Estado!$C$9:$C$371)</f>
        <v>860168068</v>
      </c>
      <c r="E83" s="16">
        <f>SUMIF(Estado!$A$9:$A$371,$B83,Estado!$D$9:$D$371)</f>
        <v>860168068</v>
      </c>
      <c r="F83" s="16">
        <f>SUMIF(Estado!$A$9:$A$371,$B83,Estado!$E$9:$E$371)</f>
        <v>0</v>
      </c>
      <c r="G83" s="16">
        <f>SUMIF(Estado!$A$9:$A$371,$B83,Estado!$G$9:$G$371)</f>
        <v>0</v>
      </c>
      <c r="H83" s="16">
        <f>SUMIF(Estado!$A$9:$A$371,$B83,Estado!$I$9:$I$371)</f>
        <v>0</v>
      </c>
      <c r="I83" s="16">
        <f>SUMIF(Estado!$A$9:$A$371,$B83,Estado!$K$9:$K$371)</f>
        <v>775123828.31000006</v>
      </c>
      <c r="J83" s="16">
        <f t="shared" si="13"/>
        <v>775123828.31000006</v>
      </c>
      <c r="K83" s="16">
        <f>SUMIF(Estado!$A$9:$A$371,$B83,Estado!$O$9:$O$371)</f>
        <v>85044239.689999998</v>
      </c>
      <c r="L83" s="50">
        <f t="shared" si="11"/>
        <v>0.90113067102370048</v>
      </c>
      <c r="M83" s="50">
        <f t="shared" si="12"/>
        <v>9.8869328976299548E-2</v>
      </c>
    </row>
    <row r="84" spans="1:13" s="24" customFormat="1" ht="16.5" x14ac:dyDescent="0.25">
      <c r="A84" s="109"/>
      <c r="B84" s="106" t="str">
        <f>+Estado!A118</f>
        <v>E-20101</v>
      </c>
      <c r="C84" s="104" t="str">
        <f>IFERROR(VLOOKUP(B84,Estado!$A$9:$B$508,2,FALSE),0)</f>
        <v>COMB Y LUBRICANTES</v>
      </c>
      <c r="D84" s="16">
        <f>SUMIF(Estado!$A$9:$A$371,$B84,Estado!$C$9:$C$371)</f>
        <v>627099030</v>
      </c>
      <c r="E84" s="16">
        <f>SUMIF(Estado!$A$9:$A$371,$B84,Estado!$D$9:$D$371)</f>
        <v>627099030</v>
      </c>
      <c r="F84" s="16">
        <f>SUMIF(Estado!$A$9:$A$371,$B84,Estado!$E$9:$E$371)</f>
        <v>0</v>
      </c>
      <c r="G84" s="16">
        <f>SUMIF(Estado!$A$9:$A$371,$B84,Estado!$G$9:$G$371)</f>
        <v>0</v>
      </c>
      <c r="H84" s="16">
        <f>SUMIF(Estado!$A$9:$A$371,$B84,Estado!$I$9:$I$371)</f>
        <v>0</v>
      </c>
      <c r="I84" s="16">
        <f>SUMIF(Estado!$A$9:$A$371,$B84,Estado!$K$9:$K$371)</f>
        <v>586433171.73000002</v>
      </c>
      <c r="J84" s="16">
        <f t="shared" si="13"/>
        <v>586433171.73000002</v>
      </c>
      <c r="K84" s="16">
        <f>SUMIF(Estado!$A$9:$A$371,$B84,Estado!$O$9:$O$371)</f>
        <v>40665858.269999996</v>
      </c>
      <c r="L84" s="50">
        <f t="shared" si="11"/>
        <v>0.93515241401346139</v>
      </c>
      <c r="M84" s="50">
        <f t="shared" si="12"/>
        <v>6.4847585986538669E-2</v>
      </c>
    </row>
    <row r="85" spans="1:13" s="24" customFormat="1" ht="16.5" x14ac:dyDescent="0.25">
      <c r="A85" s="109"/>
      <c r="B85" s="106" t="str">
        <f>+Estado!A119</f>
        <v>E-20102</v>
      </c>
      <c r="C85" s="104" t="str">
        <f>IFERROR(VLOOKUP(B85,Estado!$A$9:$B$508,2,FALSE),0)</f>
        <v>PROD FARMAC Y MEDIC.</v>
      </c>
      <c r="D85" s="16">
        <f>SUMIF(Estado!$A$9:$A$371,$B85,Estado!$C$9:$C$371)</f>
        <v>186224905</v>
      </c>
      <c r="E85" s="16">
        <f>SUMIF(Estado!$A$9:$A$371,$B85,Estado!$D$9:$D$371)</f>
        <v>186224905</v>
      </c>
      <c r="F85" s="16">
        <f>SUMIF(Estado!$A$9:$A$371,$B85,Estado!$E$9:$E$371)</f>
        <v>0</v>
      </c>
      <c r="G85" s="16">
        <f>SUMIF(Estado!$A$9:$A$371,$B85,Estado!$G$9:$G$371)</f>
        <v>0</v>
      </c>
      <c r="H85" s="16">
        <f>SUMIF(Estado!$A$9:$A$371,$B85,Estado!$I$9:$I$371)</f>
        <v>0</v>
      </c>
      <c r="I85" s="16">
        <f>SUMIF(Estado!$A$9:$A$371,$B85,Estado!$K$9:$K$371)</f>
        <v>157480705</v>
      </c>
      <c r="J85" s="16">
        <f t="shared" si="13"/>
        <v>157480705</v>
      </c>
      <c r="K85" s="16">
        <f>SUMIF(Estado!$A$9:$A$371,$B85,Estado!$O$9:$O$371)</f>
        <v>28744200</v>
      </c>
      <c r="L85" s="50">
        <f t="shared" si="11"/>
        <v>0.84564792770333275</v>
      </c>
      <c r="M85" s="50">
        <f t="shared" si="12"/>
        <v>0.15435207229666731</v>
      </c>
    </row>
    <row r="86" spans="1:13" s="24" customFormat="1" ht="16.5" x14ac:dyDescent="0.25">
      <c r="A86" s="109"/>
      <c r="B86" s="106" t="str">
        <f>+Estado!A120</f>
        <v>E-20103</v>
      </c>
      <c r="C86" s="104" t="str">
        <f>IFERROR(VLOOKUP(B86,Estado!$A$9:$B$508,2,FALSE),0)</f>
        <v>PRODUCTOS VETERIN.</v>
      </c>
      <c r="D86" s="16">
        <f>SUMIF(Estado!$A$9:$A$371,$B86,Estado!$C$9:$C$371)</f>
        <v>2674000</v>
      </c>
      <c r="E86" s="16">
        <f>SUMIF(Estado!$A$9:$A$371,$B86,Estado!$D$9:$D$371)</f>
        <v>2674000</v>
      </c>
      <c r="F86" s="16">
        <f>SUMIF(Estado!$A$9:$A$371,$B86,Estado!$E$9:$E$371)</f>
        <v>0</v>
      </c>
      <c r="G86" s="16">
        <f>SUMIF(Estado!$A$9:$A$371,$B86,Estado!$G$9:$G$371)</f>
        <v>0</v>
      </c>
      <c r="H86" s="16">
        <f>SUMIF(Estado!$A$9:$A$371,$B86,Estado!$I$9:$I$371)</f>
        <v>0</v>
      </c>
      <c r="I86" s="16">
        <f>SUMIF(Estado!$A$9:$A$371,$B86,Estado!$K$9:$K$371)</f>
        <v>77925</v>
      </c>
      <c r="J86" s="16">
        <f t="shared" si="13"/>
        <v>77925</v>
      </c>
      <c r="K86" s="16">
        <f>SUMIF(Estado!$A$9:$A$371,$B86,Estado!$O$9:$O$371)</f>
        <v>2596075</v>
      </c>
      <c r="L86" s="50">
        <f t="shared" si="11"/>
        <v>2.9141735228122662E-2</v>
      </c>
      <c r="M86" s="50">
        <f t="shared" si="12"/>
        <v>0.97085826477187731</v>
      </c>
    </row>
    <row r="87" spans="1:13" s="24" customFormat="1" ht="16.5" x14ac:dyDescent="0.25">
      <c r="A87" s="109"/>
      <c r="B87" s="106" t="str">
        <f>+Estado!A121</f>
        <v>E-20104</v>
      </c>
      <c r="C87" s="104" t="str">
        <f>IFERROR(VLOOKUP(B87,Estado!$A$9:$B$508,2,FALSE),0)</f>
        <v>TINTAS, PINT.Y DILUY</v>
      </c>
      <c r="D87" s="16">
        <f>SUMIF(Estado!$A$9:$A$371,$B87,Estado!$C$9:$C$371)</f>
        <v>41000133</v>
      </c>
      <c r="E87" s="16">
        <f>SUMIF(Estado!$A$9:$A$371,$B87,Estado!$D$9:$D$371)</f>
        <v>41000133</v>
      </c>
      <c r="F87" s="16">
        <f>SUMIF(Estado!$A$9:$A$371,$B87,Estado!$E$9:$E$371)</f>
        <v>0</v>
      </c>
      <c r="G87" s="16">
        <f>SUMIF(Estado!$A$9:$A$371,$B87,Estado!$G$9:$G$371)</f>
        <v>0</v>
      </c>
      <c r="H87" s="16">
        <f>SUMIF(Estado!$A$9:$A$371,$B87,Estado!$I$9:$I$371)</f>
        <v>0</v>
      </c>
      <c r="I87" s="16">
        <f>SUMIF(Estado!$A$9:$A$371,$B87,Estado!$K$9:$K$371)</f>
        <v>29216743.800000001</v>
      </c>
      <c r="J87" s="16">
        <f t="shared" si="13"/>
        <v>29216743.800000001</v>
      </c>
      <c r="K87" s="16">
        <f>SUMIF(Estado!$A$9:$A$371,$B87,Estado!$O$9:$O$371)</f>
        <v>11783389.199999999</v>
      </c>
      <c r="L87" s="50">
        <f t="shared" si="11"/>
        <v>0.71260119570831637</v>
      </c>
      <c r="M87" s="50">
        <f t="shared" si="12"/>
        <v>0.28739880429168363</v>
      </c>
    </row>
    <row r="88" spans="1:13" s="24" customFormat="1" ht="16.5" x14ac:dyDescent="0.25">
      <c r="A88" s="109"/>
      <c r="B88" s="106" t="str">
        <f>+Estado!A122</f>
        <v>E-20199</v>
      </c>
      <c r="C88" s="104" t="str">
        <f>IFERROR(VLOOKUP(B88,Estado!$A$9:$B$508,2,FALSE),0)</f>
        <v>OTR.PROD.QUÍM YCONEX</v>
      </c>
      <c r="D88" s="16">
        <f>SUMIF(Estado!$A$9:$A$371,$B88,Estado!$C$9:$C$371)</f>
        <v>3170000</v>
      </c>
      <c r="E88" s="16">
        <f>SUMIF(Estado!$A$9:$A$371,$B88,Estado!$D$9:$D$371)</f>
        <v>3170000</v>
      </c>
      <c r="F88" s="16">
        <f>SUMIF(Estado!$A$9:$A$371,$B88,Estado!$E$9:$E$371)</f>
        <v>0</v>
      </c>
      <c r="G88" s="16">
        <f>SUMIF(Estado!$A$9:$A$371,$B88,Estado!$G$9:$G$371)</f>
        <v>0</v>
      </c>
      <c r="H88" s="16">
        <f>SUMIF(Estado!$A$9:$A$371,$B88,Estado!$I$9:$I$371)</f>
        <v>0</v>
      </c>
      <c r="I88" s="16">
        <f>SUMIF(Estado!$A$9:$A$371,$B88,Estado!$K$9:$K$371)</f>
        <v>1915282.78</v>
      </c>
      <c r="J88" s="16">
        <f t="shared" si="13"/>
        <v>1915282.78</v>
      </c>
      <c r="K88" s="16">
        <f>SUMIF(Estado!$A$9:$A$371,$B88,Estado!$O$9:$O$371)</f>
        <v>1254717.22</v>
      </c>
      <c r="L88" s="50">
        <f t="shared" si="11"/>
        <v>0.60419015141955834</v>
      </c>
      <c r="M88" s="50">
        <f t="shared" si="12"/>
        <v>0.39580984858044166</v>
      </c>
    </row>
    <row r="89" spans="1:13" s="24" customFormat="1" ht="16.5" x14ac:dyDescent="0.25">
      <c r="A89" s="109"/>
      <c r="B89" s="106" t="str">
        <f>+Estado!A123</f>
        <v>E-202</v>
      </c>
      <c r="C89" s="104" t="str">
        <f>IFERROR(VLOOKUP(B89,Estado!$A$9:$B$508,2,FALSE),0)</f>
        <v>ALIMEN Y PRODUC AGRO</v>
      </c>
      <c r="D89" s="16">
        <f>SUMIF(Estado!$A$9:$A$371,$B89,Estado!$C$9:$C$371)</f>
        <v>11083277500</v>
      </c>
      <c r="E89" s="16">
        <f>SUMIF(Estado!$A$9:$A$371,$B89,Estado!$D$9:$D$371)</f>
        <v>11083277500</v>
      </c>
      <c r="F89" s="16">
        <f>SUMIF(Estado!$A$9:$A$371,$B89,Estado!$E$9:$E$371)</f>
        <v>0</v>
      </c>
      <c r="G89" s="16">
        <f>SUMIF(Estado!$A$9:$A$371,$B89,Estado!$G$9:$G$371)</f>
        <v>0</v>
      </c>
      <c r="H89" s="16">
        <f>SUMIF(Estado!$A$9:$A$371,$B89,Estado!$I$9:$I$371)</f>
        <v>0</v>
      </c>
      <c r="I89" s="16">
        <f>SUMIF(Estado!$A$9:$A$371,$B89,Estado!$K$9:$K$371)</f>
        <v>10099640378.24</v>
      </c>
      <c r="J89" s="16">
        <f t="shared" si="13"/>
        <v>10099640378.24</v>
      </c>
      <c r="K89" s="16">
        <f>SUMIF(Estado!$A$9:$A$371,$B89,Estado!$O$9:$O$371)</f>
        <v>983637121.75999999</v>
      </c>
      <c r="L89" s="50">
        <f t="shared" si="11"/>
        <v>0.91125033892185769</v>
      </c>
      <c r="M89" s="50">
        <f t="shared" si="12"/>
        <v>8.8749661078142278E-2</v>
      </c>
    </row>
    <row r="90" spans="1:13" s="24" customFormat="1" ht="16.5" x14ac:dyDescent="0.25">
      <c r="A90" s="109"/>
      <c r="B90" s="106" t="str">
        <f>+Estado!A124</f>
        <v>E-20203</v>
      </c>
      <c r="C90" s="104" t="str">
        <f>IFERROR(VLOOKUP(B90,Estado!$A$9:$B$508,2,FALSE),0)</f>
        <v>ALIMENTOS Y BEBIDAS</v>
      </c>
      <c r="D90" s="16">
        <f>SUMIF(Estado!$A$9:$A$371,$B90,Estado!$C$9:$C$371)</f>
        <v>11071637000</v>
      </c>
      <c r="E90" s="16">
        <f>SUMIF(Estado!$A$9:$A$371,$B90,Estado!$D$9:$D$371)</f>
        <v>11071637000</v>
      </c>
      <c r="F90" s="16">
        <f>SUMIF(Estado!$A$9:$A$371,$B90,Estado!$E$9:$E$371)</f>
        <v>0</v>
      </c>
      <c r="G90" s="16">
        <f>SUMIF(Estado!$A$9:$A$371,$B90,Estado!$G$9:$G$371)</f>
        <v>0</v>
      </c>
      <c r="H90" s="16">
        <f>SUMIF(Estado!$A$9:$A$371,$B90,Estado!$I$9:$I$371)</f>
        <v>0</v>
      </c>
      <c r="I90" s="16">
        <f>SUMIF(Estado!$A$9:$A$371,$B90,Estado!$K$9:$K$371)</f>
        <v>10088072528.24</v>
      </c>
      <c r="J90" s="16">
        <f t="shared" si="13"/>
        <v>10088072528.24</v>
      </c>
      <c r="K90" s="16">
        <f>SUMIF(Estado!$A$9:$A$371,$B90,Estado!$O$9:$O$371)</f>
        <v>983564471.75999999</v>
      </c>
      <c r="L90" s="50">
        <f t="shared" si="11"/>
        <v>0.9111635910967818</v>
      </c>
      <c r="M90" s="50">
        <f t="shared" si="12"/>
        <v>8.88364089032182E-2</v>
      </c>
    </row>
    <row r="91" spans="1:13" s="23" customFormat="1" ht="16.5" x14ac:dyDescent="0.25">
      <c r="A91" s="107"/>
      <c r="B91" s="106" t="str">
        <f>+Estado!A125</f>
        <v>E-20204</v>
      </c>
      <c r="C91" s="104" t="str">
        <f>IFERROR(VLOOKUP(B91,Estado!$A$9:$B$508,2,FALSE),0)</f>
        <v>ALIM. PARA ANIMALES</v>
      </c>
      <c r="D91" s="16">
        <f>SUMIF(Estado!$A$9:$A$371,$B91,Estado!$C$9:$C$371)</f>
        <v>11640500</v>
      </c>
      <c r="E91" s="16">
        <f>SUMIF(Estado!$A$9:$A$371,$B91,Estado!$D$9:$D$371)</f>
        <v>11640500</v>
      </c>
      <c r="F91" s="16">
        <f>SUMIF(Estado!$A$9:$A$371,$B91,Estado!$E$9:$E$371)</f>
        <v>0</v>
      </c>
      <c r="G91" s="16">
        <f>SUMIF(Estado!$A$9:$A$371,$B91,Estado!$G$9:$G$371)</f>
        <v>0</v>
      </c>
      <c r="H91" s="16">
        <f>SUMIF(Estado!$A$9:$A$371,$B91,Estado!$I$9:$I$371)</f>
        <v>0</v>
      </c>
      <c r="I91" s="16">
        <f>SUMIF(Estado!$A$9:$A$371,$B91,Estado!$K$9:$K$371)</f>
        <v>11567850</v>
      </c>
      <c r="J91" s="16">
        <f t="shared" ref="J91" si="15">SUM(G91:I91)</f>
        <v>11567850</v>
      </c>
      <c r="K91" s="16">
        <f>SUMIF(Estado!$A$9:$A$371,$B91,Estado!$O$9:$O$371)</f>
        <v>72650</v>
      </c>
      <c r="L91" s="50">
        <f t="shared" ref="L91" si="16">+IFERROR(SUM(G91:I91)/D91,0)</f>
        <v>0.99375885915553452</v>
      </c>
      <c r="M91" s="50">
        <f t="shared" ref="M91" si="17">+IFERROR(+K91/D91,0)</f>
        <v>6.2411408444654438E-3</v>
      </c>
    </row>
    <row r="92" spans="1:13" s="24" customFormat="1" ht="16.5" x14ac:dyDescent="0.25">
      <c r="A92" s="109"/>
      <c r="B92" s="106" t="str">
        <f>+Estado!A126</f>
        <v>E-203</v>
      </c>
      <c r="C92" s="104" t="str">
        <f>IFERROR(VLOOKUP(B92,Estado!$A$9:$B$508,2,FALSE),0)</f>
        <v>MATER P.CONST Y MANT</v>
      </c>
      <c r="D92" s="16">
        <f>SUMIF(Estado!$A$9:$A$371,$B92,Estado!$C$9:$C$371)</f>
        <v>455649194</v>
      </c>
      <c r="E92" s="16">
        <f>SUMIF(Estado!$A$9:$A$371,$B92,Estado!$D$9:$D$371)</f>
        <v>455649194</v>
      </c>
      <c r="F92" s="16">
        <f>SUMIF(Estado!$A$9:$A$371,$B92,Estado!$E$9:$E$371)</f>
        <v>0</v>
      </c>
      <c r="G92" s="16">
        <f>SUMIF(Estado!$A$9:$A$371,$B92,Estado!$G$9:$G$371)</f>
        <v>0</v>
      </c>
      <c r="H92" s="16">
        <f>SUMIF(Estado!$A$9:$A$371,$B92,Estado!$I$9:$I$371)</f>
        <v>0</v>
      </c>
      <c r="I92" s="16">
        <f>SUMIF(Estado!$A$9:$A$371,$B92,Estado!$K$9:$K$371)</f>
        <v>354866111.61000001</v>
      </c>
      <c r="J92" s="16">
        <f t="shared" ref="J92:J102" si="18">SUM(G92:I92)</f>
        <v>354866111.61000001</v>
      </c>
      <c r="K92" s="16">
        <f>SUMIF(Estado!$A$9:$A$371,$B92,Estado!$O$9:$O$371)</f>
        <v>100783082.39</v>
      </c>
      <c r="L92" s="50">
        <f t="shared" ref="L92:L102" si="19">+IFERROR(SUM(G92:I92)/D92,0)</f>
        <v>0.77881430776765515</v>
      </c>
      <c r="M92" s="50">
        <f t="shared" ref="M92:M102" si="20">+IFERROR(+K92/D92,0)</f>
        <v>0.22118569223234488</v>
      </c>
    </row>
    <row r="93" spans="1:13" s="24" customFormat="1" ht="16.5" x14ac:dyDescent="0.25">
      <c r="A93" s="109"/>
      <c r="B93" s="106" t="str">
        <f>+Estado!A127</f>
        <v>E-20301</v>
      </c>
      <c r="C93" s="104" t="str">
        <f>IFERROR(VLOOKUP(B93,Estado!$A$9:$B$508,2,FALSE),0)</f>
        <v>MATERIALES YPROD MET</v>
      </c>
      <c r="D93" s="16">
        <f>SUMIF(Estado!$A$9:$A$371,$B93,Estado!$C$9:$C$371)</f>
        <v>123732000</v>
      </c>
      <c r="E93" s="16">
        <f>SUMIF(Estado!$A$9:$A$371,$B93,Estado!$D$9:$D$371)</f>
        <v>123732000</v>
      </c>
      <c r="F93" s="16">
        <f>SUMIF(Estado!$A$9:$A$371,$B93,Estado!$E$9:$E$371)</f>
        <v>0</v>
      </c>
      <c r="G93" s="16">
        <f>SUMIF(Estado!$A$9:$A$371,$B93,Estado!$G$9:$G$371)</f>
        <v>0</v>
      </c>
      <c r="H93" s="16">
        <f>SUMIF(Estado!$A$9:$A$371,$B93,Estado!$I$9:$I$371)</f>
        <v>0</v>
      </c>
      <c r="I93" s="16">
        <f>SUMIF(Estado!$A$9:$A$371,$B93,Estado!$K$9:$K$371)</f>
        <v>104657001.95999999</v>
      </c>
      <c r="J93" s="16">
        <f t="shared" si="18"/>
        <v>104657001.95999999</v>
      </c>
      <c r="K93" s="16">
        <f>SUMIF(Estado!$A$9:$A$371,$B93,Estado!$O$9:$O$371)</f>
        <v>19074998.039999999</v>
      </c>
      <c r="L93" s="50">
        <f t="shared" si="19"/>
        <v>0.8458361778682959</v>
      </c>
      <c r="M93" s="50">
        <f t="shared" si="20"/>
        <v>0.15416382213170399</v>
      </c>
    </row>
    <row r="94" spans="1:13" s="24" customFormat="1" ht="16.5" x14ac:dyDescent="0.25">
      <c r="A94" s="109"/>
      <c r="B94" s="106" t="str">
        <f>+Estado!A128</f>
        <v>E-20302</v>
      </c>
      <c r="C94" s="104" t="str">
        <f>IFERROR(VLOOKUP(B94,Estado!$A$9:$B$508,2,FALSE),0)</f>
        <v>MAT Y PROD.MIN.Y ASF</v>
      </c>
      <c r="D94" s="16">
        <f>SUMIF(Estado!$A$9:$A$371,$B94,Estado!$C$9:$C$371)</f>
        <v>81538000</v>
      </c>
      <c r="E94" s="16">
        <f>SUMIF(Estado!$A$9:$A$371,$B94,Estado!$D$9:$D$371)</f>
        <v>81538000</v>
      </c>
      <c r="F94" s="16">
        <f>SUMIF(Estado!$A$9:$A$371,$B94,Estado!$E$9:$E$371)</f>
        <v>0</v>
      </c>
      <c r="G94" s="16">
        <f>SUMIF(Estado!$A$9:$A$371,$B94,Estado!$G$9:$G$371)</f>
        <v>0</v>
      </c>
      <c r="H94" s="16">
        <f>SUMIF(Estado!$A$9:$A$371,$B94,Estado!$I$9:$I$371)</f>
        <v>0</v>
      </c>
      <c r="I94" s="16">
        <f>SUMIF(Estado!$A$9:$A$371,$B94,Estado!$K$9:$K$371)</f>
        <v>39613996</v>
      </c>
      <c r="J94" s="16">
        <f t="shared" si="18"/>
        <v>39613996</v>
      </c>
      <c r="K94" s="16">
        <f>SUMIF(Estado!$A$9:$A$371,$B94,Estado!$O$9:$O$371)</f>
        <v>41924004</v>
      </c>
      <c r="L94" s="50">
        <f t="shared" si="19"/>
        <v>0.48583477642326278</v>
      </c>
      <c r="M94" s="50">
        <f t="shared" si="20"/>
        <v>0.51416522357673722</v>
      </c>
    </row>
    <row r="95" spans="1:13" s="24" customFormat="1" ht="16.5" x14ac:dyDescent="0.25">
      <c r="A95" s="109"/>
      <c r="B95" s="106" t="str">
        <f>+Estado!A129</f>
        <v>E-20303</v>
      </c>
      <c r="C95" s="104" t="str">
        <f>IFERROR(VLOOKUP(B95,Estado!$A$9:$B$508,2,FALSE),0)</f>
        <v>MADERA Y SUS DERIV</v>
      </c>
      <c r="D95" s="16">
        <f>SUMIF(Estado!$A$9:$A$371,$B95,Estado!$C$9:$C$371)</f>
        <v>89294672</v>
      </c>
      <c r="E95" s="16">
        <f>SUMIF(Estado!$A$9:$A$371,$B95,Estado!$D$9:$D$371)</f>
        <v>89294672</v>
      </c>
      <c r="F95" s="16">
        <f>SUMIF(Estado!$A$9:$A$371,$B95,Estado!$E$9:$E$371)</f>
        <v>0</v>
      </c>
      <c r="G95" s="16">
        <f>SUMIF(Estado!$A$9:$A$371,$B95,Estado!$G$9:$G$371)</f>
        <v>0</v>
      </c>
      <c r="H95" s="16">
        <f>SUMIF(Estado!$A$9:$A$371,$B95,Estado!$I$9:$I$371)</f>
        <v>0</v>
      </c>
      <c r="I95" s="16">
        <f>SUMIF(Estado!$A$9:$A$371,$B95,Estado!$K$9:$K$371)</f>
        <v>89292128</v>
      </c>
      <c r="J95" s="16">
        <f t="shared" si="18"/>
        <v>89292128</v>
      </c>
      <c r="K95" s="16">
        <f>SUMIF(Estado!$A$9:$A$371,$B95,Estado!$O$9:$O$371)</f>
        <v>2544</v>
      </c>
      <c r="L95" s="50">
        <f t="shared" si="19"/>
        <v>0.99997151005829332</v>
      </c>
      <c r="M95" s="50">
        <f t="shared" si="20"/>
        <v>2.8489941706712356E-5</v>
      </c>
    </row>
    <row r="96" spans="1:13" s="24" customFormat="1" ht="16.5" x14ac:dyDescent="0.25">
      <c r="A96" s="109"/>
      <c r="B96" s="106" t="str">
        <f>+Estado!A130</f>
        <v>E-20304</v>
      </c>
      <c r="C96" s="104" t="str">
        <f>IFERROR(VLOOKUP(B96,Estado!$A$9:$B$508,2,FALSE),0)</f>
        <v>MAT.YPROD.ELÉC,TEL.C</v>
      </c>
      <c r="D96" s="16">
        <f>SUMIF(Estado!$A$9:$A$371,$B96,Estado!$C$9:$C$371)</f>
        <v>94199225</v>
      </c>
      <c r="E96" s="16">
        <f>SUMIF(Estado!$A$9:$A$371,$B96,Estado!$D$9:$D$371)</f>
        <v>94199225</v>
      </c>
      <c r="F96" s="16">
        <f>SUMIF(Estado!$A$9:$A$371,$B96,Estado!$E$9:$E$371)</f>
        <v>0</v>
      </c>
      <c r="G96" s="16">
        <f>SUMIF(Estado!$A$9:$A$371,$B96,Estado!$G$9:$G$371)</f>
        <v>0</v>
      </c>
      <c r="H96" s="16">
        <f>SUMIF(Estado!$A$9:$A$371,$B96,Estado!$I$9:$I$371)</f>
        <v>0</v>
      </c>
      <c r="I96" s="16">
        <f>SUMIF(Estado!$A$9:$A$371,$B96,Estado!$K$9:$K$371)</f>
        <v>76401915.75</v>
      </c>
      <c r="J96" s="16">
        <f t="shared" si="18"/>
        <v>76401915.75</v>
      </c>
      <c r="K96" s="16">
        <f>SUMIF(Estado!$A$9:$A$371,$B96,Estado!$O$9:$O$371)</f>
        <v>17797309.25</v>
      </c>
      <c r="L96" s="50">
        <f t="shared" si="19"/>
        <v>0.811067349545604</v>
      </c>
      <c r="M96" s="50">
        <f t="shared" si="20"/>
        <v>0.188932650454396</v>
      </c>
    </row>
    <row r="97" spans="1:13" s="24" customFormat="1" ht="16.5" x14ac:dyDescent="0.25">
      <c r="A97" s="109"/>
      <c r="B97" s="106" t="str">
        <f>+Estado!A131</f>
        <v>E-20305</v>
      </c>
      <c r="C97" s="104" t="str">
        <f>IFERROR(VLOOKUP(B97,Estado!$A$9:$B$508,2,FALSE),0)</f>
        <v>MATER. Y PROD VIDRIO</v>
      </c>
      <c r="D97" s="16">
        <f>SUMIF(Estado!$A$9:$A$371,$B97,Estado!$C$9:$C$371)</f>
        <v>2521183</v>
      </c>
      <c r="E97" s="16">
        <f>SUMIF(Estado!$A$9:$A$371,$B97,Estado!$D$9:$D$371)</f>
        <v>2521183</v>
      </c>
      <c r="F97" s="16">
        <f>SUMIF(Estado!$A$9:$A$371,$B97,Estado!$E$9:$E$371)</f>
        <v>0</v>
      </c>
      <c r="G97" s="16">
        <f>SUMIF(Estado!$A$9:$A$371,$B97,Estado!$G$9:$G$371)</f>
        <v>0</v>
      </c>
      <c r="H97" s="16">
        <f>SUMIF(Estado!$A$9:$A$371,$B97,Estado!$I$9:$I$371)</f>
        <v>0</v>
      </c>
      <c r="I97" s="16">
        <f>SUMIF(Estado!$A$9:$A$371,$B97,Estado!$K$9:$K$371)</f>
        <v>2327835.92</v>
      </c>
      <c r="J97" s="16">
        <f t="shared" si="18"/>
        <v>2327835.92</v>
      </c>
      <c r="K97" s="16">
        <f>SUMIF(Estado!$A$9:$A$371,$B97,Estado!$O$9:$O$371)</f>
        <v>193347.08</v>
      </c>
      <c r="L97" s="50">
        <f t="shared" si="19"/>
        <v>0.92331096949328939</v>
      </c>
      <c r="M97" s="50">
        <f t="shared" si="20"/>
        <v>7.668903050671054E-2</v>
      </c>
    </row>
    <row r="98" spans="1:13" s="24" customFormat="1" ht="16.5" x14ac:dyDescent="0.25">
      <c r="A98" s="109"/>
      <c r="B98" s="106" t="str">
        <f>+Estado!A132</f>
        <v>E-20306</v>
      </c>
      <c r="C98" s="104" t="str">
        <f>IFERROR(VLOOKUP(B98,Estado!$A$9:$B$508,2,FALSE),0)</f>
        <v>MAT. Y PROD PLÁSTICO</v>
      </c>
      <c r="D98" s="16">
        <f>SUMIF(Estado!$A$9:$A$371,$B98,Estado!$C$9:$C$371)</f>
        <v>50317000</v>
      </c>
      <c r="E98" s="16">
        <f>SUMIF(Estado!$A$9:$A$371,$B98,Estado!$D$9:$D$371)</f>
        <v>50317000</v>
      </c>
      <c r="F98" s="16">
        <f>SUMIF(Estado!$A$9:$A$371,$B98,Estado!$E$9:$E$371)</f>
        <v>0</v>
      </c>
      <c r="G98" s="16">
        <f>SUMIF(Estado!$A$9:$A$371,$B98,Estado!$G$9:$G$371)</f>
        <v>0</v>
      </c>
      <c r="H98" s="16">
        <f>SUMIF(Estado!$A$9:$A$371,$B98,Estado!$I$9:$I$371)</f>
        <v>0</v>
      </c>
      <c r="I98" s="16">
        <f>SUMIF(Estado!$A$9:$A$371,$B98,Estado!$K$9:$K$371)</f>
        <v>41866027.979999997</v>
      </c>
      <c r="J98" s="16">
        <f t="shared" si="18"/>
        <v>41866027.979999997</v>
      </c>
      <c r="K98" s="16">
        <f>SUMIF(Estado!$A$9:$A$371,$B98,Estado!$O$9:$O$371)</f>
        <v>8450972.0199999996</v>
      </c>
      <c r="L98" s="50">
        <f t="shared" si="19"/>
        <v>0.83204539181588721</v>
      </c>
      <c r="M98" s="50">
        <f t="shared" si="20"/>
        <v>0.16795460818411273</v>
      </c>
    </row>
    <row r="99" spans="1:13" s="24" customFormat="1" ht="16.5" x14ac:dyDescent="0.25">
      <c r="A99" s="109"/>
      <c r="B99" s="106" t="str">
        <f>+Estado!A133</f>
        <v>E-20399</v>
      </c>
      <c r="C99" s="104" t="str">
        <f>IFERROR(VLOOKUP(B99,Estado!$A$9:$B$508,2,FALSE),0)</f>
        <v>OTR.MAT.YP.USO CONST</v>
      </c>
      <c r="D99" s="16">
        <f>SUMIF(Estado!$A$9:$A$371,$B99,Estado!$C$9:$C$371)</f>
        <v>14047114</v>
      </c>
      <c r="E99" s="16">
        <f>SUMIF(Estado!$A$9:$A$371,$B99,Estado!$D$9:$D$371)</f>
        <v>14047114</v>
      </c>
      <c r="F99" s="16">
        <f>SUMIF(Estado!$A$9:$A$371,$B99,Estado!$E$9:$E$371)</f>
        <v>0</v>
      </c>
      <c r="G99" s="16">
        <f>SUMIF(Estado!$A$9:$A$371,$B99,Estado!$G$9:$G$371)</f>
        <v>0</v>
      </c>
      <c r="H99" s="16">
        <f>SUMIF(Estado!$A$9:$A$371,$B99,Estado!$I$9:$I$371)</f>
        <v>0</v>
      </c>
      <c r="I99" s="16">
        <f>SUMIF(Estado!$A$9:$A$371,$B99,Estado!$K$9:$K$371)</f>
        <v>707206</v>
      </c>
      <c r="J99" s="16">
        <f t="shared" si="18"/>
        <v>707206</v>
      </c>
      <c r="K99" s="16">
        <f>SUMIF(Estado!$A$9:$A$371,$B99,Estado!$O$9:$O$371)</f>
        <v>13339908</v>
      </c>
      <c r="L99" s="50">
        <f t="shared" si="19"/>
        <v>5.0345288007202046E-2</v>
      </c>
      <c r="M99" s="50">
        <f t="shared" si="20"/>
        <v>0.94965471199279794</v>
      </c>
    </row>
    <row r="100" spans="1:13" s="24" customFormat="1" ht="16.5" x14ac:dyDescent="0.25">
      <c r="A100" s="109"/>
      <c r="B100" s="106" t="str">
        <f>+Estado!A134</f>
        <v>E-204</v>
      </c>
      <c r="C100" s="104" t="str">
        <f>IFERROR(VLOOKUP(B100,Estado!$A$9:$B$508,2,FALSE),0)</f>
        <v>HERRAM REPUE Y ACCES</v>
      </c>
      <c r="D100" s="16">
        <f>SUMIF(Estado!$A$9:$A$371,$B100,Estado!$C$9:$C$371)</f>
        <v>162753500</v>
      </c>
      <c r="E100" s="16">
        <f>SUMIF(Estado!$A$9:$A$371,$B100,Estado!$D$9:$D$371)</f>
        <v>162753500</v>
      </c>
      <c r="F100" s="16">
        <f>SUMIF(Estado!$A$9:$A$371,$B100,Estado!$E$9:$E$371)</f>
        <v>0</v>
      </c>
      <c r="G100" s="16">
        <f>SUMIF(Estado!$A$9:$A$371,$B100,Estado!$G$9:$G$371)</f>
        <v>0</v>
      </c>
      <c r="H100" s="16">
        <f>SUMIF(Estado!$A$9:$A$371,$B100,Estado!$I$9:$I$371)</f>
        <v>0</v>
      </c>
      <c r="I100" s="16">
        <f>SUMIF(Estado!$A$9:$A$371,$B100,Estado!$K$9:$K$371)</f>
        <v>113728969.53</v>
      </c>
      <c r="J100" s="16">
        <f t="shared" si="18"/>
        <v>113728969.53</v>
      </c>
      <c r="K100" s="16">
        <f>SUMIF(Estado!$A$9:$A$371,$B100,Estado!$O$9:$O$371)</f>
        <v>49024530.469999999</v>
      </c>
      <c r="L100" s="50">
        <f t="shared" si="19"/>
        <v>0.69878048416777516</v>
      </c>
      <c r="M100" s="50">
        <f t="shared" si="20"/>
        <v>0.30121951583222478</v>
      </c>
    </row>
    <row r="101" spans="1:13" s="24" customFormat="1" ht="16.5" x14ac:dyDescent="0.25">
      <c r="A101" s="109"/>
      <c r="B101" s="106" t="str">
        <f>+Estado!A135</f>
        <v>E-20401</v>
      </c>
      <c r="C101" s="104" t="str">
        <f>IFERROR(VLOOKUP(B101,Estado!$A$9:$B$508,2,FALSE),0)</f>
        <v>HERRAM.E INSTRUMENTO</v>
      </c>
      <c r="D101" s="16">
        <f>SUMIF(Estado!$A$9:$A$371,$B101,Estado!$C$9:$C$371)</f>
        <v>54479500</v>
      </c>
      <c r="E101" s="16">
        <f>SUMIF(Estado!$A$9:$A$371,$B101,Estado!$D$9:$D$371)</f>
        <v>54479500</v>
      </c>
      <c r="F101" s="16">
        <f>SUMIF(Estado!$A$9:$A$371,$B101,Estado!$E$9:$E$371)</f>
        <v>0</v>
      </c>
      <c r="G101" s="16">
        <f>SUMIF(Estado!$A$9:$A$371,$B101,Estado!$G$9:$G$371)</f>
        <v>0</v>
      </c>
      <c r="H101" s="16">
        <f>SUMIF(Estado!$A$9:$A$371,$B101,Estado!$I$9:$I$371)</f>
        <v>0</v>
      </c>
      <c r="I101" s="16">
        <f>SUMIF(Estado!$A$9:$A$371,$B101,Estado!$K$9:$K$371)</f>
        <v>20339284</v>
      </c>
      <c r="J101" s="16">
        <f t="shared" si="18"/>
        <v>20339284</v>
      </c>
      <c r="K101" s="16">
        <f>SUMIF(Estado!$A$9:$A$371,$B101,Estado!$O$9:$O$371)</f>
        <v>34140216</v>
      </c>
      <c r="L101" s="50">
        <f t="shared" si="19"/>
        <v>0.37333830156297321</v>
      </c>
      <c r="M101" s="50">
        <f t="shared" si="20"/>
        <v>0.62666169843702679</v>
      </c>
    </row>
    <row r="102" spans="1:13" s="24" customFormat="1" ht="16.5" x14ac:dyDescent="0.25">
      <c r="A102" s="109"/>
      <c r="B102" s="106" t="str">
        <f>+Estado!A136</f>
        <v>E-20402</v>
      </c>
      <c r="C102" s="104" t="str">
        <f>IFERROR(VLOOKUP(B102,Estado!$A$9:$B$508,2,FALSE),0)</f>
        <v>REP.Y ACCESORIOS</v>
      </c>
      <c r="D102" s="16">
        <f>SUMIF(Estado!$A$9:$A$371,$B102,Estado!$C$9:$C$371)</f>
        <v>108274000</v>
      </c>
      <c r="E102" s="16">
        <f>SUMIF(Estado!$A$9:$A$371,$B102,Estado!$D$9:$D$371)</f>
        <v>108274000</v>
      </c>
      <c r="F102" s="16">
        <f>SUMIF(Estado!$A$9:$A$371,$B102,Estado!$E$9:$E$371)</f>
        <v>0</v>
      </c>
      <c r="G102" s="16">
        <f>SUMIF(Estado!$A$9:$A$371,$B102,Estado!$G$9:$G$371)</f>
        <v>0</v>
      </c>
      <c r="H102" s="16">
        <f>SUMIF(Estado!$A$9:$A$371,$B102,Estado!$I$9:$I$371)</f>
        <v>0</v>
      </c>
      <c r="I102" s="16">
        <f>SUMIF(Estado!$A$9:$A$371,$B102,Estado!$K$9:$K$371)</f>
        <v>93389685.530000001</v>
      </c>
      <c r="J102" s="16">
        <f t="shared" si="18"/>
        <v>93389685.530000001</v>
      </c>
      <c r="K102" s="16">
        <f>SUMIF(Estado!$A$9:$A$371,$B102,Estado!$O$9:$O$371)</f>
        <v>14884314.470000001</v>
      </c>
      <c r="L102" s="50">
        <f t="shared" si="19"/>
        <v>0.86253103727580027</v>
      </c>
      <c r="M102" s="50">
        <f t="shared" si="20"/>
        <v>0.13746896272419973</v>
      </c>
    </row>
    <row r="103" spans="1:13" s="24" customFormat="1" ht="25.5" x14ac:dyDescent="0.25">
      <c r="A103" s="109"/>
      <c r="B103" s="106" t="s">
        <v>609</v>
      </c>
      <c r="C103" s="104" t="s">
        <v>610</v>
      </c>
      <c r="D103" s="16">
        <f>SUMIF(Estado!$A$9:$A$371,$B103,Estado!$C$9:$C$371)</f>
        <v>4577817</v>
      </c>
      <c r="E103" s="16">
        <f>SUMIF(Estado!$A$9:$A$371,$B103,Estado!$D$9:$D$371)</f>
        <v>4577817</v>
      </c>
      <c r="F103" s="16">
        <f>SUMIF(Estado!$A$9:$A$371,$B103,Estado!$E$9:$E$371)</f>
        <v>0</v>
      </c>
      <c r="G103" s="16">
        <f>SUMIF(Estado!$A$9:$A$371,$B103,Estado!$G$9:$G$371)</f>
        <v>0</v>
      </c>
      <c r="H103" s="16">
        <f>SUMIF(Estado!$A$9:$A$371,$B103,Estado!$I$9:$I$371)</f>
        <v>0</v>
      </c>
      <c r="I103" s="16">
        <f>SUMIF(Estado!$A$9:$A$371,$B103,Estado!$K$9:$K$371)</f>
        <v>0</v>
      </c>
      <c r="J103" s="16">
        <f t="shared" ref="J103:J104" si="21">SUM(G103:I103)</f>
        <v>0</v>
      </c>
      <c r="K103" s="16">
        <f>SUMIF(Estado!$A$9:$A$371,$B103,Estado!$O$9:$O$371)</f>
        <v>4577817</v>
      </c>
      <c r="L103" s="50">
        <f t="shared" ref="L103:L104" si="22">+IFERROR(SUM(G103:I103)/D103,0)</f>
        <v>0</v>
      </c>
      <c r="M103" s="50">
        <f t="shared" ref="M103:M104" si="23">+IFERROR(+K103/D103,0)</f>
        <v>1</v>
      </c>
    </row>
    <row r="104" spans="1:13" s="24" customFormat="1" ht="25.5" x14ac:dyDescent="0.25">
      <c r="A104" s="109"/>
      <c r="B104" s="106" t="s">
        <v>611</v>
      </c>
      <c r="C104" s="104" t="s">
        <v>612</v>
      </c>
      <c r="D104" s="16">
        <f>SUMIF(Estado!$A$9:$A$371,$B104,Estado!$C$9:$C$371)</f>
        <v>4577817</v>
      </c>
      <c r="E104" s="16">
        <f>SUMIF(Estado!$A$9:$A$371,$B104,Estado!$D$9:$D$371)</f>
        <v>4577817</v>
      </c>
      <c r="F104" s="16">
        <f>SUMIF(Estado!$A$9:$A$371,$B104,Estado!$E$9:$E$371)</f>
        <v>0</v>
      </c>
      <c r="G104" s="16">
        <f>SUMIF(Estado!$A$9:$A$371,$B104,Estado!$G$9:$G$371)</f>
        <v>0</v>
      </c>
      <c r="H104" s="16">
        <f>SUMIF(Estado!$A$9:$A$371,$B104,Estado!$I$9:$I$371)</f>
        <v>0</v>
      </c>
      <c r="I104" s="16">
        <f>SUMIF(Estado!$A$9:$A$371,$B104,Estado!$K$9:$K$371)</f>
        <v>0</v>
      </c>
      <c r="J104" s="16">
        <f t="shared" si="21"/>
        <v>0</v>
      </c>
      <c r="K104" s="16">
        <f>SUMIF(Estado!$A$9:$A$371,$B104,Estado!$O$9:$O$371)</f>
        <v>4577817</v>
      </c>
      <c r="L104" s="50">
        <f t="shared" si="22"/>
        <v>0</v>
      </c>
      <c r="M104" s="50">
        <f t="shared" si="23"/>
        <v>1</v>
      </c>
    </row>
    <row r="105" spans="1:13" s="24" customFormat="1" ht="16.5" x14ac:dyDescent="0.25">
      <c r="A105" s="109"/>
      <c r="B105" s="106" t="str">
        <f>+Estado!A139</f>
        <v>E-299</v>
      </c>
      <c r="C105" s="104" t="str">
        <f>IFERROR(VLOOKUP(B105,Estado!$A$9:$B$508,2,FALSE),0)</f>
        <v>ÚTILES MAT Y SUM DIV</v>
      </c>
      <c r="D105" s="16">
        <f>SUMIF(Estado!$A$9:$A$371,$B105,Estado!$C$9:$C$371)</f>
        <v>1644563677</v>
      </c>
      <c r="E105" s="16">
        <f>SUMIF(Estado!$A$9:$A$371,$B105,Estado!$D$9:$D$371)</f>
        <v>1644563677</v>
      </c>
      <c r="F105" s="16">
        <f>SUMIF(Estado!$A$9:$A$371,$B105,Estado!$E$9:$E$371)</f>
        <v>0</v>
      </c>
      <c r="G105" s="16">
        <f>SUMIF(Estado!$A$9:$A$371,$B105,Estado!$G$9:$G$371)</f>
        <v>0</v>
      </c>
      <c r="H105" s="16">
        <f>SUMIF(Estado!$A$9:$A$371,$B105,Estado!$I$9:$I$371)</f>
        <v>0</v>
      </c>
      <c r="I105" s="16">
        <f>SUMIF(Estado!$A$9:$A$371,$B105,Estado!$K$9:$K$371)</f>
        <v>1444226486.73</v>
      </c>
      <c r="J105" s="16">
        <f t="shared" ref="J105:J113" si="24">SUM(G105:I105)</f>
        <v>1444226486.73</v>
      </c>
      <c r="K105" s="16">
        <f>SUMIF(Estado!$A$9:$A$371,$B105,Estado!$O$9:$O$371)</f>
        <v>200337190.27000001</v>
      </c>
      <c r="L105" s="50">
        <f t="shared" ref="L105:L113" si="25">+IFERROR(SUM(G105:I105)/D105,0)</f>
        <v>0.87818216279989014</v>
      </c>
      <c r="M105" s="50">
        <f t="shared" ref="M105:M113" si="26">+IFERROR(+K105/D105,0)</f>
        <v>0.12181783720010983</v>
      </c>
    </row>
    <row r="106" spans="1:13" s="24" customFormat="1" ht="16.5" x14ac:dyDescent="0.25">
      <c r="A106" s="109"/>
      <c r="B106" s="106" t="str">
        <f>+Estado!A140</f>
        <v>E-29901</v>
      </c>
      <c r="C106" s="104" t="str">
        <f>IFERROR(VLOOKUP(B106,Estado!$A$9:$B$508,2,FALSE),0)</f>
        <v>ÚT.Y MAT.OF.Y COMP.</v>
      </c>
      <c r="D106" s="16">
        <f>SUMIF(Estado!$A$9:$A$371,$B106,Estado!$C$9:$C$371)</f>
        <v>33486136</v>
      </c>
      <c r="E106" s="16">
        <f>SUMIF(Estado!$A$9:$A$371,$B106,Estado!$D$9:$D$371)</f>
        <v>33486136</v>
      </c>
      <c r="F106" s="16">
        <f>SUMIF(Estado!$A$9:$A$371,$B106,Estado!$E$9:$E$371)</f>
        <v>0</v>
      </c>
      <c r="G106" s="16">
        <f>SUMIF(Estado!$A$9:$A$371,$B106,Estado!$G$9:$G$371)</f>
        <v>0</v>
      </c>
      <c r="H106" s="16">
        <f>SUMIF(Estado!$A$9:$A$371,$B106,Estado!$I$9:$I$371)</f>
        <v>0</v>
      </c>
      <c r="I106" s="16">
        <f>SUMIF(Estado!$A$9:$A$371,$B106,Estado!$K$9:$K$371)</f>
        <v>21607295.740000002</v>
      </c>
      <c r="J106" s="16">
        <f t="shared" si="24"/>
        <v>21607295.740000002</v>
      </c>
      <c r="K106" s="16">
        <f>SUMIF(Estado!$A$9:$A$371,$B106,Estado!$O$9:$O$371)</f>
        <v>11878840.26</v>
      </c>
      <c r="L106" s="50">
        <f t="shared" si="25"/>
        <v>0.6452609444099493</v>
      </c>
      <c r="M106" s="50">
        <f t="shared" si="26"/>
        <v>0.35473905559005076</v>
      </c>
    </row>
    <row r="107" spans="1:13" s="24" customFormat="1" ht="16.5" x14ac:dyDescent="0.25">
      <c r="A107" s="109"/>
      <c r="B107" s="106" t="str">
        <f>+Estado!A141</f>
        <v>E-29902</v>
      </c>
      <c r="C107" s="104" t="str">
        <f>IFERROR(VLOOKUP(B107,Estado!$A$9:$B$508,2,FALSE),0)</f>
        <v>UT.Y MAT.MÉD,H.Y INV</v>
      </c>
      <c r="D107" s="16">
        <f>SUMIF(Estado!$A$9:$A$371,$B107,Estado!$C$9:$C$371)</f>
        <v>50182019</v>
      </c>
      <c r="E107" s="16">
        <f>SUMIF(Estado!$A$9:$A$371,$B107,Estado!$D$9:$D$371)</f>
        <v>50182019</v>
      </c>
      <c r="F107" s="16">
        <f>SUMIF(Estado!$A$9:$A$371,$B107,Estado!$E$9:$E$371)</f>
        <v>0</v>
      </c>
      <c r="G107" s="16">
        <f>SUMIF(Estado!$A$9:$A$371,$B107,Estado!$G$9:$G$371)</f>
        <v>0</v>
      </c>
      <c r="H107" s="16">
        <f>SUMIF(Estado!$A$9:$A$371,$B107,Estado!$I$9:$I$371)</f>
        <v>0</v>
      </c>
      <c r="I107" s="16">
        <f>SUMIF(Estado!$A$9:$A$371,$B107,Estado!$K$9:$K$371)</f>
        <v>30484018.079999998</v>
      </c>
      <c r="J107" s="16">
        <f t="shared" si="24"/>
        <v>30484018.079999998</v>
      </c>
      <c r="K107" s="16">
        <f>SUMIF(Estado!$A$9:$A$371,$B107,Estado!$O$9:$O$371)</f>
        <v>19698000.920000002</v>
      </c>
      <c r="L107" s="50">
        <f t="shared" si="25"/>
        <v>0.6074689438063462</v>
      </c>
      <c r="M107" s="50">
        <f t="shared" si="26"/>
        <v>0.3925310561936538</v>
      </c>
    </row>
    <row r="108" spans="1:13" s="24" customFormat="1" ht="16.5" x14ac:dyDescent="0.25">
      <c r="A108" s="109"/>
      <c r="B108" s="106" t="str">
        <f>+Estado!A142</f>
        <v>E-29903</v>
      </c>
      <c r="C108" s="104" t="str">
        <f>IFERROR(VLOOKUP(B108,Estado!$A$9:$B$508,2,FALSE),0)</f>
        <v>PROD.PAPEL,CART.EIMP</v>
      </c>
      <c r="D108" s="16">
        <f>SUMIF(Estado!$A$9:$A$371,$B108,Estado!$C$9:$C$371)</f>
        <v>133362693</v>
      </c>
      <c r="E108" s="16">
        <f>SUMIF(Estado!$A$9:$A$371,$B108,Estado!$D$9:$D$371)</f>
        <v>133362693</v>
      </c>
      <c r="F108" s="16">
        <f>SUMIF(Estado!$A$9:$A$371,$B108,Estado!$E$9:$E$371)</f>
        <v>0</v>
      </c>
      <c r="G108" s="16">
        <f>SUMIF(Estado!$A$9:$A$371,$B108,Estado!$G$9:$G$371)</f>
        <v>0</v>
      </c>
      <c r="H108" s="16">
        <f>SUMIF(Estado!$A$9:$A$371,$B108,Estado!$I$9:$I$371)</f>
        <v>0</v>
      </c>
      <c r="I108" s="16">
        <f>SUMIF(Estado!$A$9:$A$371,$B108,Estado!$K$9:$K$371)</f>
        <v>92821607.729999989</v>
      </c>
      <c r="J108" s="16">
        <f t="shared" si="24"/>
        <v>92821607.729999989</v>
      </c>
      <c r="K108" s="16">
        <f>SUMIF(Estado!$A$9:$A$371,$B108,Estado!$O$9:$O$371)</f>
        <v>40541085.269999996</v>
      </c>
      <c r="L108" s="50">
        <f t="shared" si="25"/>
        <v>0.69600879857757514</v>
      </c>
      <c r="M108" s="50">
        <f t="shared" si="26"/>
        <v>0.30399120142242475</v>
      </c>
    </row>
    <row r="109" spans="1:13" s="24" customFormat="1" ht="16.5" x14ac:dyDescent="0.25">
      <c r="A109" s="109"/>
      <c r="B109" s="106" t="str">
        <f>+Estado!A143</f>
        <v>E-29904</v>
      </c>
      <c r="C109" s="104" t="str">
        <f>IFERROR(VLOOKUP(B109,Estado!$A$9:$B$508,2,FALSE),0)</f>
        <v>TEXTILES Y VESTUARIO</v>
      </c>
      <c r="D109" s="16">
        <f>SUMIF(Estado!$A$9:$A$371,$B109,Estado!$C$9:$C$371)</f>
        <v>637001000</v>
      </c>
      <c r="E109" s="16">
        <f>SUMIF(Estado!$A$9:$A$371,$B109,Estado!$D$9:$D$371)</f>
        <v>637001000</v>
      </c>
      <c r="F109" s="16">
        <f>SUMIF(Estado!$A$9:$A$371,$B109,Estado!$E$9:$E$371)</f>
        <v>0</v>
      </c>
      <c r="G109" s="16">
        <f>SUMIF(Estado!$A$9:$A$371,$B109,Estado!$G$9:$G$371)</f>
        <v>0</v>
      </c>
      <c r="H109" s="16">
        <f>SUMIF(Estado!$A$9:$A$371,$B109,Estado!$I$9:$I$371)</f>
        <v>0</v>
      </c>
      <c r="I109" s="16">
        <f>SUMIF(Estado!$A$9:$A$371,$B109,Estado!$K$9:$K$371)</f>
        <v>564635922.28999996</v>
      </c>
      <c r="J109" s="16">
        <f t="shared" si="24"/>
        <v>564635922.28999996</v>
      </c>
      <c r="K109" s="16">
        <f>SUMIF(Estado!$A$9:$A$371,$B109,Estado!$O$9:$O$371)</f>
        <v>72365077.709999993</v>
      </c>
      <c r="L109" s="50">
        <f t="shared" si="25"/>
        <v>0.88639723060089382</v>
      </c>
      <c r="M109" s="50">
        <f t="shared" si="26"/>
        <v>0.11360276939910612</v>
      </c>
    </row>
    <row r="110" spans="1:13" s="24" customFormat="1" ht="16.5" x14ac:dyDescent="0.25">
      <c r="A110" s="109"/>
      <c r="B110" s="106" t="str">
        <f>+Estado!A144</f>
        <v>E-29905</v>
      </c>
      <c r="C110" s="104" t="str">
        <f>IFERROR(VLOOKUP(B110,Estado!$A$9:$B$508,2,FALSE),0)</f>
        <v>ÚTILES Y MATER.LIMP</v>
      </c>
      <c r="D110" s="16">
        <f>SUMIF(Estado!$A$9:$A$371,$B110,Estado!$C$9:$C$371)</f>
        <v>318641000</v>
      </c>
      <c r="E110" s="16">
        <f>SUMIF(Estado!$A$9:$A$371,$B110,Estado!$D$9:$D$371)</f>
        <v>318641000</v>
      </c>
      <c r="F110" s="16">
        <f>SUMIF(Estado!$A$9:$A$371,$B110,Estado!$E$9:$E$371)</f>
        <v>0</v>
      </c>
      <c r="G110" s="16">
        <f>SUMIF(Estado!$A$9:$A$371,$B110,Estado!$G$9:$G$371)</f>
        <v>0</v>
      </c>
      <c r="H110" s="16">
        <f>SUMIF(Estado!$A$9:$A$371,$B110,Estado!$I$9:$I$371)</f>
        <v>0</v>
      </c>
      <c r="I110" s="16">
        <f>SUMIF(Estado!$A$9:$A$371,$B110,Estado!$K$9:$K$371)</f>
        <v>305601716.56</v>
      </c>
      <c r="J110" s="16">
        <f t="shared" si="24"/>
        <v>305601716.56</v>
      </c>
      <c r="K110" s="16">
        <f>SUMIF(Estado!$A$9:$A$371,$B110,Estado!$O$9:$O$371)</f>
        <v>13039283.439999999</v>
      </c>
      <c r="L110" s="50">
        <f t="shared" si="25"/>
        <v>0.9590784505446569</v>
      </c>
      <c r="M110" s="50">
        <f t="shared" si="26"/>
        <v>4.0921549455343161E-2</v>
      </c>
    </row>
    <row r="111" spans="1:13" s="24" customFormat="1" ht="16.5" x14ac:dyDescent="0.25">
      <c r="A111" s="109"/>
      <c r="B111" s="106" t="str">
        <f>+Estado!A145</f>
        <v>E-29906</v>
      </c>
      <c r="C111" s="104" t="str">
        <f>IFERROR(VLOOKUP(B111,Estado!$A$9:$B$508,2,FALSE),0)</f>
        <v>ÚTILES YMAT.RESG.SEG</v>
      </c>
      <c r="D111" s="16">
        <f>SUMIF(Estado!$A$9:$A$371,$B111,Estado!$C$9:$C$371)</f>
        <v>180610000</v>
      </c>
      <c r="E111" s="16">
        <f>SUMIF(Estado!$A$9:$A$371,$B111,Estado!$D$9:$D$371)</f>
        <v>180610000</v>
      </c>
      <c r="F111" s="16">
        <f>SUMIF(Estado!$A$9:$A$371,$B111,Estado!$E$9:$E$371)</f>
        <v>0</v>
      </c>
      <c r="G111" s="16">
        <f>SUMIF(Estado!$A$9:$A$371,$B111,Estado!$G$9:$G$371)</f>
        <v>0</v>
      </c>
      <c r="H111" s="16">
        <f>SUMIF(Estado!$A$9:$A$371,$B111,Estado!$I$9:$I$371)</f>
        <v>0</v>
      </c>
      <c r="I111" s="16">
        <f>SUMIF(Estado!$A$9:$A$371,$B111,Estado!$K$9:$K$371)</f>
        <v>171256852.57999998</v>
      </c>
      <c r="J111" s="16">
        <f t="shared" si="24"/>
        <v>171256852.57999998</v>
      </c>
      <c r="K111" s="16">
        <f>SUMIF(Estado!$A$9:$A$371,$B111,Estado!$O$9:$O$371)</f>
        <v>9353147.4199999999</v>
      </c>
      <c r="L111" s="50">
        <f t="shared" si="25"/>
        <v>0.9482135683516969</v>
      </c>
      <c r="M111" s="50">
        <f t="shared" si="26"/>
        <v>5.1786431648302975E-2</v>
      </c>
    </row>
    <row r="112" spans="1:13" s="24" customFormat="1" ht="16.5" x14ac:dyDescent="0.25">
      <c r="A112" s="109"/>
      <c r="B112" s="106" t="str">
        <f>+Estado!A146</f>
        <v>E-29907</v>
      </c>
      <c r="C112" s="104" t="str">
        <f>IFERROR(VLOOKUP(B112,Estado!$A$9:$B$508,2,FALSE),0)</f>
        <v>ÚTILES YMAT.COC.YCOM</v>
      </c>
      <c r="D112" s="16">
        <f>SUMIF(Estado!$A$9:$A$371,$B112,Estado!$C$9:$C$371)</f>
        <v>93059347</v>
      </c>
      <c r="E112" s="16">
        <f>SUMIF(Estado!$A$9:$A$371,$B112,Estado!$D$9:$D$371)</f>
        <v>93059347</v>
      </c>
      <c r="F112" s="16">
        <f>SUMIF(Estado!$A$9:$A$371,$B112,Estado!$E$9:$E$371)</f>
        <v>0</v>
      </c>
      <c r="G112" s="16">
        <f>SUMIF(Estado!$A$9:$A$371,$B112,Estado!$G$9:$G$371)</f>
        <v>0</v>
      </c>
      <c r="H112" s="16">
        <f>SUMIF(Estado!$A$9:$A$371,$B112,Estado!$I$9:$I$371)</f>
        <v>0</v>
      </c>
      <c r="I112" s="16">
        <f>SUMIF(Estado!$A$9:$A$371,$B112,Estado!$K$9:$K$371)</f>
        <v>82729652.469999999</v>
      </c>
      <c r="J112" s="16">
        <f t="shared" si="24"/>
        <v>82729652.469999999</v>
      </c>
      <c r="K112" s="16">
        <f>SUMIF(Estado!$A$9:$A$371,$B112,Estado!$O$9:$O$371)</f>
        <v>10329694.529999999</v>
      </c>
      <c r="L112" s="50">
        <f t="shared" si="25"/>
        <v>0.88899885005640544</v>
      </c>
      <c r="M112" s="50">
        <f t="shared" si="26"/>
        <v>0.11100114994359458</v>
      </c>
    </row>
    <row r="113" spans="1:13" s="24" customFormat="1" ht="16.5" x14ac:dyDescent="0.25">
      <c r="A113" s="109"/>
      <c r="B113" s="106" t="str">
        <f>+Estado!A147</f>
        <v>E-29999</v>
      </c>
      <c r="C113" s="104" t="str">
        <f>IFERROR(VLOOKUP(B113,Estado!$A$9:$B$508,2,FALSE),0)</f>
        <v>OTR.UT,MAT Y SUM.DIV</v>
      </c>
      <c r="D113" s="16">
        <f>SUMIF(Estado!$A$9:$A$371,$B113,Estado!$C$9:$C$371)</f>
        <v>198221482</v>
      </c>
      <c r="E113" s="16">
        <f>SUMIF(Estado!$A$9:$A$371,$B113,Estado!$D$9:$D$371)</f>
        <v>198221482</v>
      </c>
      <c r="F113" s="16">
        <f>SUMIF(Estado!$A$9:$A$371,$B113,Estado!$E$9:$E$371)</f>
        <v>0</v>
      </c>
      <c r="G113" s="16">
        <f>SUMIF(Estado!$A$9:$A$371,$B113,Estado!$G$9:$G$371)</f>
        <v>0</v>
      </c>
      <c r="H113" s="16">
        <f>SUMIF(Estado!$A$9:$A$371,$B113,Estado!$I$9:$I$371)</f>
        <v>0</v>
      </c>
      <c r="I113" s="16">
        <f>SUMIF(Estado!$A$9:$A$371,$B113,Estado!$K$9:$K$371)</f>
        <v>175089421.28</v>
      </c>
      <c r="J113" s="16">
        <f t="shared" si="24"/>
        <v>175089421.28</v>
      </c>
      <c r="K113" s="16">
        <f>SUMIF(Estado!$A$9:$A$371,$B113,Estado!$O$9:$O$371)</f>
        <v>23132060.719999999</v>
      </c>
      <c r="L113" s="50">
        <f t="shared" si="25"/>
        <v>0.88330194847398025</v>
      </c>
      <c r="M113" s="50">
        <f t="shared" si="26"/>
        <v>0.11669805152601977</v>
      </c>
    </row>
    <row r="114" spans="1:13" s="23" customFormat="1" ht="17.25" x14ac:dyDescent="0.25">
      <c r="A114" s="107"/>
      <c r="B114" s="108" t="str">
        <f>+Estado!A148</f>
        <v>E-5</v>
      </c>
      <c r="C114" s="105" t="str">
        <f>IFERROR(VLOOKUP(B114,Estado!$A$9:$B$508,2,FALSE),0)</f>
        <v>BIENES DURADEROS</v>
      </c>
      <c r="D114" s="22">
        <f>+D115+D124+D127</f>
        <v>1954944685</v>
      </c>
      <c r="E114" s="22">
        <f t="shared" ref="E114:J114" si="27">+E115+E124+E127</f>
        <v>1954944685</v>
      </c>
      <c r="F114" s="22">
        <f t="shared" si="27"/>
        <v>0</v>
      </c>
      <c r="G114" s="22">
        <f t="shared" si="27"/>
        <v>0</v>
      </c>
      <c r="H114" s="22">
        <f t="shared" si="27"/>
        <v>0</v>
      </c>
      <c r="I114" s="22">
        <f t="shared" si="27"/>
        <v>1418559473.8900001</v>
      </c>
      <c r="J114" s="22">
        <f t="shared" si="27"/>
        <v>1418559473.8900001</v>
      </c>
      <c r="K114" s="22">
        <f>+K115+K124+K127</f>
        <v>536385211.10999995</v>
      </c>
      <c r="L114" s="67">
        <f t="shared" si="11"/>
        <v>0.72562639995617073</v>
      </c>
      <c r="M114" s="67">
        <f t="shared" si="12"/>
        <v>0.27437360004382932</v>
      </c>
    </row>
    <row r="115" spans="1:13" s="24" customFormat="1" ht="16.5" x14ac:dyDescent="0.25">
      <c r="A115" s="109"/>
      <c r="B115" s="106" t="str">
        <f>+Estado!A149</f>
        <v>E-501</v>
      </c>
      <c r="C115" s="104" t="str">
        <f>IFERROR(VLOOKUP(B115,Estado!$A$9:$B$508,2,FALSE),0)</f>
        <v>MAQ, EQUIPO Y MOB</v>
      </c>
      <c r="D115" s="16">
        <f>SUMIF(Estado!$A$9:$A$371,$B115,Estado!$C$9:$C$371)</f>
        <v>714300413.80999994</v>
      </c>
      <c r="E115" s="16">
        <f>SUMIF(Estado!$A$9:$A$371,$B115,Estado!$D$9:$D$371)</f>
        <v>714300413.80999994</v>
      </c>
      <c r="F115" s="16">
        <f>SUMIF(Estado!$A$9:$A$371,$B115,Estado!$E$9:$E$371)</f>
        <v>0</v>
      </c>
      <c r="G115" s="16">
        <f>SUMIF(Estado!$A$9:$A$371,$B115,Estado!$G$9:$G$371)</f>
        <v>0</v>
      </c>
      <c r="H115" s="16">
        <f>SUMIF(Estado!$A$9:$A$371,$B115,Estado!$I$9:$I$371)</f>
        <v>0</v>
      </c>
      <c r="I115" s="16">
        <f>SUMIF(Estado!$A$9:$A$371,$B115,Estado!$K$9:$K$371)</f>
        <v>527165620.06999999</v>
      </c>
      <c r="J115" s="16">
        <f t="shared" si="13"/>
        <v>527165620.06999999</v>
      </c>
      <c r="K115" s="16">
        <f>SUMIF(Estado!$A$9:$A$371,$B115,Estado!$O$9:$O$371)</f>
        <v>187134793.73999998</v>
      </c>
      <c r="L115" s="50">
        <f t="shared" si="11"/>
        <v>0.73801668020624056</v>
      </c>
      <c r="M115" s="50">
        <f t="shared" si="12"/>
        <v>0.26198331979375955</v>
      </c>
    </row>
    <row r="116" spans="1:13" s="24" customFormat="1" ht="16.5" x14ac:dyDescent="0.25">
      <c r="A116" s="109"/>
      <c r="B116" s="106" t="str">
        <f>+Estado!A150</f>
        <v>E-50101</v>
      </c>
      <c r="C116" s="104" t="str">
        <f>IFERROR(VLOOKUP(B116,Estado!$A$9:$B$508,2,FALSE),0)</f>
        <v>MAQ.Y EQ. PRODUCCIÓN</v>
      </c>
      <c r="D116" s="16">
        <f>SUMIF(Estado!$A$9:$A$371,$B116,Estado!$C$9:$C$371)</f>
        <v>13198794</v>
      </c>
      <c r="E116" s="16">
        <f>SUMIF(Estado!$A$9:$A$371,$B116,Estado!$D$9:$D$371)</f>
        <v>13198794</v>
      </c>
      <c r="F116" s="16">
        <f>SUMIF(Estado!$A$9:$A$371,$B116,Estado!$E$9:$E$371)</f>
        <v>0</v>
      </c>
      <c r="G116" s="16">
        <f>SUMIF(Estado!$A$9:$A$371,$B116,Estado!$G$9:$G$371)</f>
        <v>0</v>
      </c>
      <c r="H116" s="16">
        <f>SUMIF(Estado!$A$9:$A$371,$B116,Estado!$I$9:$I$371)</f>
        <v>0</v>
      </c>
      <c r="I116" s="16">
        <f>SUMIF(Estado!$A$9:$A$371,$B116,Estado!$K$9:$K$371)</f>
        <v>6551172.9400000004</v>
      </c>
      <c r="J116" s="16">
        <f t="shared" si="13"/>
        <v>6551172.9400000004</v>
      </c>
      <c r="K116" s="16">
        <f>SUMIF(Estado!$A$9:$A$371,$B116,Estado!$O$9:$O$371)</f>
        <v>6647621.0600000005</v>
      </c>
      <c r="L116" s="50">
        <f t="shared" si="11"/>
        <v>0.49634632830848036</v>
      </c>
      <c r="M116" s="50">
        <f t="shared" si="12"/>
        <v>0.50365367169151976</v>
      </c>
    </row>
    <row r="117" spans="1:13" s="24" customFormat="1" ht="16.5" x14ac:dyDescent="0.25">
      <c r="A117" s="109"/>
      <c r="B117" s="106" t="str">
        <f>+Estado!A151</f>
        <v>E-50102</v>
      </c>
      <c r="C117" s="104" t="str">
        <f>IFERROR(VLOOKUP(B117,Estado!$A$9:$B$508,2,FALSE),0)</f>
        <v>EQUIPO DE TRANSPORTE</v>
      </c>
      <c r="D117" s="16">
        <f>SUMIF(Estado!$A$9:$A$371,$B117,Estado!$C$9:$C$371)</f>
        <v>85687284</v>
      </c>
      <c r="E117" s="16">
        <f>SUMIF(Estado!$A$9:$A$371,$B117,Estado!$D$9:$D$371)</f>
        <v>85687284</v>
      </c>
      <c r="F117" s="16">
        <f>SUMIF(Estado!$A$9:$A$371,$B117,Estado!$E$9:$E$371)</f>
        <v>0</v>
      </c>
      <c r="G117" s="16">
        <f>SUMIF(Estado!$A$9:$A$371,$B117,Estado!$G$9:$G$371)</f>
        <v>0</v>
      </c>
      <c r="H117" s="16">
        <f>SUMIF(Estado!$A$9:$A$371,$B117,Estado!$I$9:$I$371)</f>
        <v>0</v>
      </c>
      <c r="I117" s="16">
        <f>SUMIF(Estado!$A$9:$A$371,$B117,Estado!$K$9:$K$371)</f>
        <v>71535531.150000006</v>
      </c>
      <c r="J117" s="16">
        <f t="shared" si="13"/>
        <v>71535531.150000006</v>
      </c>
      <c r="K117" s="16">
        <f>SUMIF(Estado!$A$9:$A$371,$B117,Estado!$O$9:$O$371)</f>
        <v>14151752.85</v>
      </c>
      <c r="L117" s="50">
        <f t="shared" si="11"/>
        <v>0.83484418936653426</v>
      </c>
      <c r="M117" s="50">
        <f t="shared" si="12"/>
        <v>0.16515581063346574</v>
      </c>
    </row>
    <row r="118" spans="1:13" s="24" customFormat="1" ht="16.5" x14ac:dyDescent="0.25">
      <c r="A118" s="109"/>
      <c r="B118" s="106" t="str">
        <f>+Estado!A152</f>
        <v>E-50103</v>
      </c>
      <c r="C118" s="104" t="str">
        <f>IFERROR(VLOOKUP(B118,Estado!$A$9:$B$508,2,FALSE),0)</f>
        <v>EQ. DE COMUNICACIÓN</v>
      </c>
      <c r="D118" s="16">
        <f>SUMIF(Estado!$A$9:$A$371,$B118,Estado!$C$9:$C$371)</f>
        <v>141972659</v>
      </c>
      <c r="E118" s="16">
        <f>SUMIF(Estado!$A$9:$A$371,$B118,Estado!$D$9:$D$371)</f>
        <v>141972659</v>
      </c>
      <c r="F118" s="16">
        <f>SUMIF(Estado!$A$9:$A$371,$B118,Estado!$E$9:$E$371)</f>
        <v>0</v>
      </c>
      <c r="G118" s="16">
        <f>SUMIF(Estado!$A$9:$A$371,$B118,Estado!$G$9:$G$371)</f>
        <v>0</v>
      </c>
      <c r="H118" s="16">
        <f>SUMIF(Estado!$A$9:$A$371,$B118,Estado!$I$9:$I$371)</f>
        <v>0</v>
      </c>
      <c r="I118" s="16">
        <f>SUMIF(Estado!$A$9:$A$371,$B118,Estado!$K$9:$K$371)</f>
        <v>123151861.8</v>
      </c>
      <c r="J118" s="16">
        <f t="shared" si="13"/>
        <v>123151861.8</v>
      </c>
      <c r="K118" s="16">
        <f>SUMIF(Estado!$A$9:$A$371,$B118,Estado!$O$9:$O$371)</f>
        <v>18820797.199999999</v>
      </c>
      <c r="L118" s="50">
        <f t="shared" si="11"/>
        <v>0.86743365002412187</v>
      </c>
      <c r="M118" s="50">
        <f t="shared" si="12"/>
        <v>0.1325663499758781</v>
      </c>
    </row>
    <row r="119" spans="1:13" s="24" customFormat="1" ht="16.5" x14ac:dyDescent="0.25">
      <c r="A119" s="109"/>
      <c r="B119" s="106" t="str">
        <f>+Estado!A153</f>
        <v>E-50104</v>
      </c>
      <c r="C119" s="104" t="str">
        <f>IFERROR(VLOOKUP(B119,Estado!$A$9:$B$508,2,FALSE),0)</f>
        <v>EQUIPO Y MOB. OFIC.</v>
      </c>
      <c r="D119" s="16">
        <f>SUMIF(Estado!$A$9:$A$371,$B119,Estado!$C$9:$C$371)</f>
        <v>102888503</v>
      </c>
      <c r="E119" s="16">
        <f>SUMIF(Estado!$A$9:$A$371,$B119,Estado!$D$9:$D$371)</f>
        <v>102888503</v>
      </c>
      <c r="F119" s="16">
        <f>SUMIF(Estado!$A$9:$A$371,$B119,Estado!$E$9:$E$371)</f>
        <v>0</v>
      </c>
      <c r="G119" s="16">
        <f>SUMIF(Estado!$A$9:$A$371,$B119,Estado!$G$9:$G$371)</f>
        <v>0</v>
      </c>
      <c r="H119" s="16">
        <f>SUMIF(Estado!$A$9:$A$371,$B119,Estado!$I$9:$I$371)</f>
        <v>0</v>
      </c>
      <c r="I119" s="16">
        <f>SUMIF(Estado!$A$9:$A$371,$B119,Estado!$K$9:$K$371)</f>
        <v>55482741.920000002</v>
      </c>
      <c r="J119" s="16">
        <f t="shared" si="13"/>
        <v>55482741.920000002</v>
      </c>
      <c r="K119" s="16">
        <f>SUMIF(Estado!$A$9:$A$371,$B119,Estado!$O$9:$O$371)</f>
        <v>47405761.079999998</v>
      </c>
      <c r="L119" s="50">
        <f t="shared" si="11"/>
        <v>0.53925113401640223</v>
      </c>
      <c r="M119" s="50">
        <f t="shared" si="12"/>
        <v>0.46074886598359777</v>
      </c>
    </row>
    <row r="120" spans="1:13" s="24" customFormat="1" ht="16.5" x14ac:dyDescent="0.25">
      <c r="A120" s="109"/>
      <c r="B120" s="106" t="str">
        <f>+Estado!A154</f>
        <v>E-50105</v>
      </c>
      <c r="C120" s="104" t="str">
        <f>IFERROR(VLOOKUP(B120,Estado!$A$9:$B$508,2,FALSE),0)</f>
        <v>EQ.Y PROGR. CÓMPUTO</v>
      </c>
      <c r="D120" s="16">
        <f>SUMIF(Estado!$A$9:$A$371,$B120,Estado!$C$9:$C$371)</f>
        <v>23722233.809999999</v>
      </c>
      <c r="E120" s="16">
        <f>SUMIF(Estado!$A$9:$A$371,$B120,Estado!$D$9:$D$371)</f>
        <v>23722233.809999999</v>
      </c>
      <c r="F120" s="16">
        <f>SUMIF(Estado!$A$9:$A$371,$B120,Estado!$E$9:$E$371)</f>
        <v>0</v>
      </c>
      <c r="G120" s="16">
        <f>SUMIF(Estado!$A$9:$A$371,$B120,Estado!$G$9:$G$371)</f>
        <v>0</v>
      </c>
      <c r="H120" s="16">
        <f>SUMIF(Estado!$A$9:$A$371,$B120,Estado!$I$9:$I$371)</f>
        <v>0</v>
      </c>
      <c r="I120" s="16">
        <f>SUMIF(Estado!$A$9:$A$371,$B120,Estado!$K$9:$K$371)</f>
        <v>21302427.279999997</v>
      </c>
      <c r="J120" s="16">
        <f t="shared" si="13"/>
        <v>21302427.279999997</v>
      </c>
      <c r="K120" s="16">
        <f>SUMIF(Estado!$A$9:$A$371,$B120,Estado!$O$9:$O$371)</f>
        <v>2419806.5300000003</v>
      </c>
      <c r="L120" s="50">
        <f t="shared" si="11"/>
        <v>0.8979941539493661</v>
      </c>
      <c r="M120" s="50">
        <f t="shared" si="12"/>
        <v>0.10200584605063381</v>
      </c>
    </row>
    <row r="121" spans="1:13" s="24" customFormat="1" ht="16.5" x14ac:dyDescent="0.25">
      <c r="A121" s="109"/>
      <c r="B121" s="106" t="str">
        <f>+Estado!A155</f>
        <v>E-50106</v>
      </c>
      <c r="C121" s="104" t="str">
        <f>IFERROR(VLOOKUP(B121,Estado!$A$9:$B$508,2,FALSE),0)</f>
        <v>EQ.SANIT, LAB. E INV</v>
      </c>
      <c r="D121" s="16">
        <f>SUMIF(Estado!$A$9:$A$371,$B121,Estado!$C$9:$C$371)</f>
        <v>29448040</v>
      </c>
      <c r="E121" s="16">
        <f>SUMIF(Estado!$A$9:$A$371,$B121,Estado!$D$9:$D$371)</f>
        <v>29448040</v>
      </c>
      <c r="F121" s="16">
        <f>SUMIF(Estado!$A$9:$A$371,$B121,Estado!$E$9:$E$371)</f>
        <v>0</v>
      </c>
      <c r="G121" s="16">
        <f>SUMIF(Estado!$A$9:$A$371,$B121,Estado!$G$9:$G$371)</f>
        <v>0</v>
      </c>
      <c r="H121" s="16">
        <f>SUMIF(Estado!$A$9:$A$371,$B121,Estado!$I$9:$I$371)</f>
        <v>0</v>
      </c>
      <c r="I121" s="16">
        <f>SUMIF(Estado!$A$9:$A$371,$B121,Estado!$K$9:$K$371)</f>
        <v>28048639.210000001</v>
      </c>
      <c r="J121" s="16">
        <f t="shared" si="13"/>
        <v>28048639.210000001</v>
      </c>
      <c r="K121" s="16">
        <f>SUMIF(Estado!$A$9:$A$371,$B121,Estado!$O$9:$O$371)</f>
        <v>1399400.79</v>
      </c>
      <c r="L121" s="50">
        <f t="shared" si="11"/>
        <v>0.95247898366071226</v>
      </c>
      <c r="M121" s="50">
        <f t="shared" si="12"/>
        <v>4.7521016339287778E-2</v>
      </c>
    </row>
    <row r="122" spans="1:13" s="24" customFormat="1" ht="16.5" x14ac:dyDescent="0.25">
      <c r="A122" s="109"/>
      <c r="B122" s="106" t="str">
        <f>+Estado!A156</f>
        <v>E-50107</v>
      </c>
      <c r="C122" s="104" t="str">
        <f>IFERROR(VLOOKUP(B122,Estado!$A$9:$B$508,2,FALSE),0)</f>
        <v>EQ.YMOB.EDUC,DEP.Y R</v>
      </c>
      <c r="D122" s="16">
        <f>SUMIF(Estado!$A$9:$A$371,$B122,Estado!$C$9:$C$371)</f>
        <v>23640700</v>
      </c>
      <c r="E122" s="16">
        <f>SUMIF(Estado!$A$9:$A$371,$B122,Estado!$D$9:$D$371)</f>
        <v>23640700</v>
      </c>
      <c r="F122" s="16">
        <f>SUMIF(Estado!$A$9:$A$371,$B122,Estado!$E$9:$E$371)</f>
        <v>0</v>
      </c>
      <c r="G122" s="16">
        <f>SUMIF(Estado!$A$9:$A$371,$B122,Estado!$G$9:$G$371)</f>
        <v>0</v>
      </c>
      <c r="H122" s="16">
        <f>SUMIF(Estado!$A$9:$A$371,$B122,Estado!$I$9:$I$371)</f>
        <v>0</v>
      </c>
      <c r="I122" s="16">
        <f>SUMIF(Estado!$A$9:$A$371,$B122,Estado!$K$9:$K$371)</f>
        <v>22971351</v>
      </c>
      <c r="J122" s="16">
        <f t="shared" si="13"/>
        <v>22971351</v>
      </c>
      <c r="K122" s="16">
        <f>SUMIF(Estado!$A$9:$A$371,$B122,Estado!$O$9:$O$371)</f>
        <v>669349</v>
      </c>
      <c r="L122" s="50">
        <f t="shared" si="11"/>
        <v>0.97168658288460152</v>
      </c>
      <c r="M122" s="50">
        <f t="shared" si="12"/>
        <v>2.8313417115398445E-2</v>
      </c>
    </row>
    <row r="123" spans="1:13" s="24" customFormat="1" ht="16.5" x14ac:dyDescent="0.25">
      <c r="A123" s="109"/>
      <c r="B123" s="106" t="str">
        <f>+Estado!A157</f>
        <v>E-50199</v>
      </c>
      <c r="C123" s="104" t="str">
        <f>IFERROR(VLOOKUP(B123,Estado!$A$9:$B$508,2,FALSE),0)</f>
        <v>MAQ,EQ Y MOV.DIVERSO</v>
      </c>
      <c r="D123" s="16">
        <f>SUMIF(Estado!$A$9:$A$371,$B123,Estado!$C$9:$C$371)</f>
        <v>293742200</v>
      </c>
      <c r="E123" s="16">
        <f>SUMIF(Estado!$A$9:$A$371,$B123,Estado!$D$9:$D$371)</f>
        <v>293742200</v>
      </c>
      <c r="F123" s="16">
        <f>SUMIF(Estado!$A$9:$A$371,$B123,Estado!$E$9:$E$371)</f>
        <v>0</v>
      </c>
      <c r="G123" s="16">
        <f>SUMIF(Estado!$A$9:$A$371,$B123,Estado!$G$9:$G$371)</f>
        <v>0</v>
      </c>
      <c r="H123" s="16">
        <f>SUMIF(Estado!$A$9:$A$371,$B123,Estado!$I$9:$I$371)</f>
        <v>0</v>
      </c>
      <c r="I123" s="16">
        <f>SUMIF(Estado!$A$9:$A$371,$B123,Estado!$K$9:$K$371)</f>
        <v>198121894.77000001</v>
      </c>
      <c r="J123" s="16">
        <f t="shared" si="13"/>
        <v>198121894.77000001</v>
      </c>
      <c r="K123" s="16">
        <f>SUMIF(Estado!$A$9:$A$371,$B123,Estado!$O$9:$O$371)</f>
        <v>95620305.230000004</v>
      </c>
      <c r="L123" s="50">
        <f t="shared" si="11"/>
        <v>0.67447542358571566</v>
      </c>
      <c r="M123" s="50">
        <f t="shared" si="12"/>
        <v>0.32552457641428439</v>
      </c>
    </row>
    <row r="124" spans="1:13" s="24" customFormat="1" ht="16.5" x14ac:dyDescent="0.25">
      <c r="A124" s="109"/>
      <c r="B124" s="106" t="str">
        <f>+Estado!A158</f>
        <v>E-502</v>
      </c>
      <c r="C124" s="104" t="str">
        <f>IFERROR(VLOOKUP(B124,Estado!$A$9:$B$508,2,FALSE),0)</f>
        <v>CONST, ADIC YMEJORAS</v>
      </c>
      <c r="D124" s="16">
        <f>SUMIF(Estado!$A$9:$A$371,$B124,Estado!$C$9:$C$371)</f>
        <v>737909209.19000006</v>
      </c>
      <c r="E124" s="16">
        <f>SUMIF(Estado!$A$9:$A$371,$B124,Estado!$D$9:$D$371)</f>
        <v>737909209.19000006</v>
      </c>
      <c r="F124" s="16">
        <f>SUMIF(Estado!$A$9:$A$371,$B124,Estado!$E$9:$E$371)</f>
        <v>0</v>
      </c>
      <c r="G124" s="16">
        <f>SUMIF(Estado!$A$9:$A$371,$B124,Estado!$G$9:$G$371)</f>
        <v>0</v>
      </c>
      <c r="H124" s="16">
        <f>SUMIF(Estado!$A$9:$A$371,$B124,Estado!$I$9:$I$371)</f>
        <v>0</v>
      </c>
      <c r="I124" s="16">
        <f>SUMIF(Estado!$A$9:$A$371,$B124,Estado!$K$9:$K$371)</f>
        <v>663222307.61000001</v>
      </c>
      <c r="J124" s="16">
        <f t="shared" si="13"/>
        <v>663222307.61000001</v>
      </c>
      <c r="K124" s="16">
        <f>SUMIF(Estado!$A$9:$A$371,$B124,Estado!$O$9:$O$371)</f>
        <v>74686901.579999998</v>
      </c>
      <c r="L124" s="50">
        <f t="shared" si="11"/>
        <v>0.898785784687545</v>
      </c>
      <c r="M124" s="50">
        <f t="shared" si="12"/>
        <v>0.10121421531245491</v>
      </c>
    </row>
    <row r="125" spans="1:13" s="23" customFormat="1" ht="16.5" x14ac:dyDescent="0.25">
      <c r="A125" s="107"/>
      <c r="B125" s="106" t="str">
        <f>+Estado!A159</f>
        <v>E-50201</v>
      </c>
      <c r="C125" s="104" t="str">
        <f>IFERROR(VLOOKUP(B125,Estado!$A$9:$B$508,2,FALSE),0)</f>
        <v>EDIFICIOS</v>
      </c>
      <c r="D125" s="16">
        <f>SUMIF(Estado!$A$9:$A$371,$B125,Estado!$C$9:$C$371)</f>
        <v>729101908.19000006</v>
      </c>
      <c r="E125" s="16">
        <f>SUMIF(Estado!$A$9:$A$371,$B125,Estado!$D$9:$D$371)</f>
        <v>729101908.19000006</v>
      </c>
      <c r="F125" s="16">
        <f>SUMIF(Estado!$A$9:$A$371,$B125,Estado!$E$9:$E$371)</f>
        <v>0</v>
      </c>
      <c r="G125" s="16">
        <f>SUMIF(Estado!$A$9:$A$371,$B125,Estado!$G$9:$G$371)</f>
        <v>0</v>
      </c>
      <c r="H125" s="16">
        <f>SUMIF(Estado!$A$9:$A$371,$B125,Estado!$I$9:$I$371)</f>
        <v>0</v>
      </c>
      <c r="I125" s="16">
        <f>SUMIF(Estado!$A$9:$A$371,$B125,Estado!$K$9:$K$371)</f>
        <v>654415130.61000001</v>
      </c>
      <c r="J125" s="16">
        <f t="shared" si="13"/>
        <v>654415130.61000001</v>
      </c>
      <c r="K125" s="16">
        <f>SUMIF(Estado!$A$9:$A$371,$B125,Estado!$O$9:$O$371)</f>
        <v>74686777.579999998</v>
      </c>
      <c r="L125" s="50">
        <f t="shared" si="11"/>
        <v>0.89756332175098752</v>
      </c>
      <c r="M125" s="50">
        <f t="shared" si="12"/>
        <v>0.10243667824901238</v>
      </c>
    </row>
    <row r="126" spans="1:13" s="24" customFormat="1" ht="16.5" x14ac:dyDescent="0.25">
      <c r="A126" s="109"/>
      <c r="B126" s="106" t="str">
        <f>+Estado!A160</f>
        <v>E-50207</v>
      </c>
      <c r="C126" s="104" t="str">
        <f>IFERROR(VLOOKUP(B126,Estado!$A$9:$B$508,2,FALSE),0)</f>
        <v>INSTALACIONES</v>
      </c>
      <c r="D126" s="16">
        <f>SUMIF(Estado!$A$9:$A$371,$B126,Estado!$C$9:$C$371)</f>
        <v>8807301</v>
      </c>
      <c r="E126" s="16">
        <f>SUMIF(Estado!$A$9:$A$371,$B126,Estado!$D$9:$D$371)</f>
        <v>8807301</v>
      </c>
      <c r="F126" s="16">
        <f>SUMIF(Estado!$A$9:$A$371,$B126,Estado!$E$9:$E$371)</f>
        <v>0</v>
      </c>
      <c r="G126" s="16">
        <f>SUMIF(Estado!$A$9:$A$371,$B126,Estado!$G$9:$G$371)</f>
        <v>0</v>
      </c>
      <c r="H126" s="16">
        <f>SUMIF(Estado!$A$9:$A$371,$B126,Estado!$I$9:$I$371)</f>
        <v>0</v>
      </c>
      <c r="I126" s="16">
        <f>SUMIF(Estado!$A$9:$A$371,$B126,Estado!$K$9:$K$371)</f>
        <v>8807177</v>
      </c>
      <c r="J126" s="16">
        <f t="shared" si="13"/>
        <v>8807177</v>
      </c>
      <c r="K126" s="16">
        <f>SUMIF(Estado!$A$9:$A$371,$B126,Estado!$O$9:$O$371)</f>
        <v>124</v>
      </c>
      <c r="L126" s="50">
        <f t="shared" si="11"/>
        <v>0.99998592077186865</v>
      </c>
      <c r="M126" s="50">
        <f t="shared" si="12"/>
        <v>1.4079228131296977E-5</v>
      </c>
    </row>
    <row r="127" spans="1:13" s="24" customFormat="1" ht="16.5" x14ac:dyDescent="0.25">
      <c r="A127" s="109"/>
      <c r="B127" s="106" t="str">
        <f>+Estado!A161</f>
        <v>E-599</v>
      </c>
      <c r="C127" s="104" t="str">
        <f>IFERROR(VLOOKUP(B127,Estado!$A$9:$B$508,2,FALSE),0)</f>
        <v>BIENES DURADEROS DIV</v>
      </c>
      <c r="D127" s="16">
        <f>SUMIF(Estado!$A$9:$A$371,$B127,Estado!$C$9:$C$371)</f>
        <v>502735062</v>
      </c>
      <c r="E127" s="16">
        <f>SUMIF(Estado!$A$9:$A$371,$B127,Estado!$D$9:$D$371)</f>
        <v>502735062</v>
      </c>
      <c r="F127" s="16">
        <f>SUMIF(Estado!$A$9:$A$371,$B127,Estado!$E$9:$E$371)</f>
        <v>0</v>
      </c>
      <c r="G127" s="16">
        <f>SUMIF(Estado!$A$9:$A$371,$B127,Estado!$G$9:$G$371)</f>
        <v>0</v>
      </c>
      <c r="H127" s="16">
        <f>SUMIF(Estado!$A$9:$A$371,$B127,Estado!$I$9:$I$371)</f>
        <v>0</v>
      </c>
      <c r="I127" s="16">
        <f>SUMIF(Estado!$A$9:$A$371,$B127,Estado!$K$9:$K$371)</f>
        <v>228171546.21000001</v>
      </c>
      <c r="J127" s="16">
        <f t="shared" si="13"/>
        <v>228171546.21000001</v>
      </c>
      <c r="K127" s="16">
        <f>SUMIF(Estado!$A$9:$A$371,$B127,Estado!$O$9:$O$371)</f>
        <v>274563515.78999996</v>
      </c>
      <c r="L127" s="50">
        <f t="shared" si="11"/>
        <v>0.45386041964584523</v>
      </c>
      <c r="M127" s="50">
        <f t="shared" si="12"/>
        <v>0.54613958035415477</v>
      </c>
    </row>
    <row r="128" spans="1:13" s="24" customFormat="1" ht="16.5" x14ac:dyDescent="0.25">
      <c r="A128" s="109"/>
      <c r="B128" s="106" t="str">
        <f>+Estado!A162</f>
        <v>E-59903</v>
      </c>
      <c r="C128" s="104" t="str">
        <f>IFERROR(VLOOKUP(B128,Estado!$A$9:$B$508,2,FALSE),0)</f>
        <v>BIENES INTANGIBLES</v>
      </c>
      <c r="D128" s="16">
        <f>SUMIF(Estado!$A$9:$A$371,$B128,Estado!$C$9:$C$371)</f>
        <v>502735062</v>
      </c>
      <c r="E128" s="16">
        <f>SUMIF(Estado!$A$9:$A$371,$B128,Estado!$D$9:$D$371)</f>
        <v>502735062</v>
      </c>
      <c r="F128" s="16">
        <f>SUMIF(Estado!$A$9:$A$371,$B128,Estado!$E$9:$E$371)</f>
        <v>0</v>
      </c>
      <c r="G128" s="16">
        <f>SUMIF(Estado!$A$9:$A$371,$B128,Estado!$G$9:$G$371)</f>
        <v>0</v>
      </c>
      <c r="H128" s="16">
        <f>SUMIF(Estado!$A$9:$A$371,$B128,Estado!$I$9:$I$371)</f>
        <v>0</v>
      </c>
      <c r="I128" s="16">
        <f>SUMIF(Estado!$A$9:$A$371,$B128,Estado!$K$9:$K$371)</f>
        <v>228171546.21000001</v>
      </c>
      <c r="J128" s="16">
        <f t="shared" si="13"/>
        <v>228171546.21000001</v>
      </c>
      <c r="K128" s="16">
        <f>SUMIF(Estado!$A$9:$A$371,$B128,Estado!$O$9:$O$371)</f>
        <v>274563515.78999996</v>
      </c>
      <c r="L128" s="50">
        <f t="shared" si="11"/>
        <v>0.45386041964584523</v>
      </c>
      <c r="M128" s="50">
        <f t="shared" si="12"/>
        <v>0.54613958035415477</v>
      </c>
    </row>
    <row r="129" spans="1:13" s="23" customFormat="1" ht="17.25" x14ac:dyDescent="0.25">
      <c r="A129" s="107"/>
      <c r="B129" s="108" t="str">
        <f>+Estado!A163</f>
        <v>E-6</v>
      </c>
      <c r="C129" s="105" t="str">
        <f>IFERROR(VLOOKUP(B129,Estado!$A$9:$B$508,2,FALSE),0)</f>
        <v>TRANSF. CORRIENTES</v>
      </c>
      <c r="D129" s="22">
        <f>+D130+D133+D135+D138+D141</f>
        <v>13557931872</v>
      </c>
      <c r="E129" s="22">
        <f t="shared" ref="E129:K129" si="28">+E130+E133+E135+E138+E141</f>
        <v>13557401367</v>
      </c>
      <c r="F129" s="22">
        <f t="shared" si="28"/>
        <v>0</v>
      </c>
      <c r="G129" s="22">
        <f t="shared" si="28"/>
        <v>0</v>
      </c>
      <c r="H129" s="22">
        <f t="shared" si="28"/>
        <v>0</v>
      </c>
      <c r="I129" s="22">
        <f t="shared" si="28"/>
        <v>13240377282.469999</v>
      </c>
      <c r="J129" s="22">
        <f t="shared" si="28"/>
        <v>13240377282.469999</v>
      </c>
      <c r="K129" s="22">
        <f t="shared" si="28"/>
        <v>317554589.53000003</v>
      </c>
      <c r="L129" s="67">
        <f t="shared" si="11"/>
        <v>0.97657794768936568</v>
      </c>
      <c r="M129" s="67">
        <f t="shared" si="12"/>
        <v>2.3422052310634302E-2</v>
      </c>
    </row>
    <row r="130" spans="1:13" s="24" customFormat="1" ht="16.5" x14ac:dyDescent="0.25">
      <c r="A130" s="109"/>
      <c r="B130" s="106" t="str">
        <f>+Estado!A164</f>
        <v>E-601</v>
      </c>
      <c r="C130" s="104" t="str">
        <f>IFERROR(VLOOKUP(B130,Estado!$A$9:$B$508,2,FALSE),0)</f>
        <v>TRANSF CTES S. PUB</v>
      </c>
      <c r="D130" s="16">
        <f>SUMIF(Estado!$A$9:$A$371,$B130,Estado!$C$9:$C$371)</f>
        <v>10410026800</v>
      </c>
      <c r="E130" s="16">
        <f>SUMIF(Estado!$A$9:$A$371,$B130,Estado!$D$9:$D$371)</f>
        <v>10409496295</v>
      </c>
      <c r="F130" s="16">
        <f>SUMIF(Estado!$A$9:$A$371,$B130,Estado!$E$9:$E$371)</f>
        <v>0</v>
      </c>
      <c r="G130" s="16">
        <f>SUMIF(Estado!$A$9:$A$371,$B130,Estado!$G$9:$G$371)</f>
        <v>0</v>
      </c>
      <c r="H130" s="16">
        <f>SUMIF(Estado!$A$9:$A$371,$B130,Estado!$I$9:$I$371)</f>
        <v>0</v>
      </c>
      <c r="I130" s="16">
        <f>SUMIF(Estado!$A$9:$A$371,$B130,Estado!$K$9:$K$371)</f>
        <v>10222964706.119999</v>
      </c>
      <c r="J130" s="16">
        <f t="shared" si="13"/>
        <v>10222964706.119999</v>
      </c>
      <c r="K130" s="16">
        <f>SUMIF(Estado!$A$9:$A$371,$B130,Estado!$O$9:$O$371)</f>
        <v>187062093.88</v>
      </c>
      <c r="L130" s="50">
        <f t="shared" si="11"/>
        <v>0.98203058479349914</v>
      </c>
      <c r="M130" s="50">
        <f t="shared" si="12"/>
        <v>1.7969415206500718E-2</v>
      </c>
    </row>
    <row r="131" spans="1:13" s="24" customFormat="1" ht="16.5" x14ac:dyDescent="0.25">
      <c r="A131" s="109"/>
      <c r="B131" s="106" t="str">
        <f>+Estado!A165</f>
        <v>E-60102</v>
      </c>
      <c r="C131" s="104" t="str">
        <f>IFERROR(VLOOKUP(B131,Estado!$A$9:$B$508,2,FALSE),0)</f>
        <v>TRANSF.CTE ORG.DESC</v>
      </c>
      <c r="D131" s="16">
        <f>SUMIF(Estado!$A$9:$A$371,$B131,Estado!$C$9:$C$371)</f>
        <v>252000000</v>
      </c>
      <c r="E131" s="16">
        <f>SUMIF(Estado!$A$9:$A$371,$B131,Estado!$D$9:$D$371)</f>
        <v>252000000</v>
      </c>
      <c r="F131" s="16">
        <f>SUMIF(Estado!$A$9:$A$371,$B131,Estado!$E$9:$E$371)</f>
        <v>0</v>
      </c>
      <c r="G131" s="16">
        <f>SUMIF(Estado!$A$9:$A$371,$B131,Estado!$G$9:$G$371)</f>
        <v>0</v>
      </c>
      <c r="H131" s="16">
        <f>SUMIF(Estado!$A$9:$A$371,$B131,Estado!$I$9:$I$371)</f>
        <v>0</v>
      </c>
      <c r="I131" s="16">
        <f>SUMIF(Estado!$A$9:$A$371,$B131,Estado!$K$9:$K$371)</f>
        <v>244456955.97999999</v>
      </c>
      <c r="J131" s="16">
        <f>SUM(G131:I131)</f>
        <v>244456955.97999999</v>
      </c>
      <c r="K131" s="16">
        <f>SUMIF(Estado!$A$9:$A$371,$B131,Estado!$O$9:$O$371)</f>
        <v>7543044.0199999996</v>
      </c>
      <c r="L131" s="50">
        <f t="shared" si="11"/>
        <v>0.97006728563492062</v>
      </c>
      <c r="M131" s="50">
        <f t="shared" si="12"/>
        <v>2.9932714365079362E-2</v>
      </c>
    </row>
    <row r="132" spans="1:13" s="24" customFormat="1" ht="16.5" x14ac:dyDescent="0.25">
      <c r="A132" s="109"/>
      <c r="B132" s="106" t="str">
        <f>+Estado!A170</f>
        <v>E-60103</v>
      </c>
      <c r="C132" s="104" t="str">
        <f>IFERROR(VLOOKUP(B132,Estado!$A$9:$B$508,2,FALSE),0)</f>
        <v>TRANSF.CTE I.D.NOE</v>
      </c>
      <c r="D132" s="16">
        <f>SUMIF(Estado!$A$9:$A$371,$B132,Estado!$C$9:$C$371)</f>
        <v>10158026800</v>
      </c>
      <c r="E132" s="16">
        <f>SUMIF(Estado!$A$9:$A$371,$B132,Estado!$D$9:$D$371)</f>
        <v>10157496295</v>
      </c>
      <c r="F132" s="16">
        <f>SUMIF(Estado!$A$9:$A$371,$B132,Estado!$E$9:$E$371)</f>
        <v>0</v>
      </c>
      <c r="G132" s="16">
        <f>SUMIF(Estado!$A$9:$A$371,$B132,Estado!$G$9:$G$371)</f>
        <v>0</v>
      </c>
      <c r="H132" s="16">
        <f>SUMIF(Estado!$A$9:$A$371,$B132,Estado!$I$9:$I$371)</f>
        <v>0</v>
      </c>
      <c r="I132" s="16">
        <f>SUMIF(Estado!$A$9:$A$371,$B132,Estado!$K$9:$K$371)</f>
        <v>9978507750.1399994</v>
      </c>
      <c r="J132" s="16">
        <f t="shared" si="13"/>
        <v>9978507750.1399994</v>
      </c>
      <c r="K132" s="16">
        <f>SUMIF(Estado!$A$9:$A$371,$B132,Estado!$O$9:$O$371)</f>
        <v>179519049.86000001</v>
      </c>
      <c r="L132" s="50">
        <f t="shared" si="11"/>
        <v>0.9823273699317272</v>
      </c>
      <c r="M132" s="50">
        <f t="shared" si="12"/>
        <v>1.7672630068272709E-2</v>
      </c>
    </row>
    <row r="133" spans="1:13" s="24" customFormat="1" ht="16.5" x14ac:dyDescent="0.25">
      <c r="A133" s="109"/>
      <c r="B133" s="106" t="str">
        <f>+Estado!A182</f>
        <v>E-602</v>
      </c>
      <c r="C133" s="104" t="str">
        <f>IFERROR(VLOOKUP(B133,Estado!$A$9:$B$508,2,FALSE),0)</f>
        <v>TRANSF CTES A PERS</v>
      </c>
      <c r="D133" s="16">
        <f>SUMIF(Estado!$A$9:$A$371,$B133,Estado!$C$9:$C$371)</f>
        <v>530000000</v>
      </c>
      <c r="E133" s="16">
        <f>SUMIF(Estado!$A$9:$A$371,$B133,Estado!$D$9:$D$371)</f>
        <v>530000000</v>
      </c>
      <c r="F133" s="16">
        <f>SUMIF(Estado!$A$9:$A$371,$B133,Estado!$E$9:$E$371)</f>
        <v>0</v>
      </c>
      <c r="G133" s="16">
        <f>SUMIF(Estado!$A$9:$A$371,$B133,Estado!$G$9:$G$371)</f>
        <v>0</v>
      </c>
      <c r="H133" s="16">
        <f>SUMIF(Estado!$A$9:$A$371,$B133,Estado!$I$9:$I$371)</f>
        <v>0</v>
      </c>
      <c r="I133" s="16">
        <f>SUMIF(Estado!$A$9:$A$371,$B133,Estado!$K$9:$K$371)</f>
        <v>530000000</v>
      </c>
      <c r="J133" s="16">
        <f t="shared" si="13"/>
        <v>530000000</v>
      </c>
      <c r="K133" s="16">
        <f>SUMIF(Estado!$A$9:$A$371,$B133,Estado!$O$9:$O$371)</f>
        <v>0</v>
      </c>
      <c r="L133" s="50">
        <f t="shared" si="11"/>
        <v>1</v>
      </c>
      <c r="M133" s="50">
        <f t="shared" si="12"/>
        <v>0</v>
      </c>
    </row>
    <row r="134" spans="1:13" s="24" customFormat="1" ht="16.5" x14ac:dyDescent="0.25">
      <c r="A134" s="109"/>
      <c r="B134" s="106" t="str">
        <f>+Estado!A183</f>
        <v>E-60299</v>
      </c>
      <c r="C134" s="104" t="str">
        <f>IFERROR(VLOOKUP(B134,Estado!$A$9:$B$508,2,FALSE),0)</f>
        <v>OTRAS TRANSF. A PERS</v>
      </c>
      <c r="D134" s="16">
        <f>SUMIF(Estado!$A$9:$A$371,$B134,Estado!$C$9:$C$371)</f>
        <v>530000000</v>
      </c>
      <c r="E134" s="16">
        <f>SUMIF(Estado!$A$9:$A$371,$B134,Estado!$D$9:$D$371)</f>
        <v>530000000</v>
      </c>
      <c r="F134" s="16">
        <f>SUMIF(Estado!$A$9:$A$371,$B134,Estado!$E$9:$E$371)</f>
        <v>0</v>
      </c>
      <c r="G134" s="16">
        <f>SUMIF(Estado!$A$9:$A$371,$B134,Estado!$G$9:$G$371)</f>
        <v>0</v>
      </c>
      <c r="H134" s="16">
        <f>SUMIF(Estado!$A$9:$A$371,$B134,Estado!$I$9:$I$371)</f>
        <v>0</v>
      </c>
      <c r="I134" s="16">
        <f>SUMIF(Estado!$A$9:$A$371,$B134,Estado!$K$9:$K$371)</f>
        <v>530000000</v>
      </c>
      <c r="J134" s="16">
        <f t="shared" si="13"/>
        <v>530000000</v>
      </c>
      <c r="K134" s="16">
        <f>SUMIF(Estado!$A$9:$A$371,$B134,Estado!$O$9:$O$371)</f>
        <v>0</v>
      </c>
      <c r="L134" s="50">
        <f t="shared" si="11"/>
        <v>1</v>
      </c>
      <c r="M134" s="50">
        <f t="shared" si="12"/>
        <v>0</v>
      </c>
    </row>
    <row r="135" spans="1:13" s="24" customFormat="1" ht="16.5" x14ac:dyDescent="0.25">
      <c r="A135" s="109"/>
      <c r="B135" s="106" t="str">
        <f>+Estado!A184</f>
        <v>E-603</v>
      </c>
      <c r="C135" s="104" t="str">
        <f>IFERROR(VLOOKUP(B135,Estado!$A$9:$B$508,2,FALSE),0)</f>
        <v>PRESTACIONES</v>
      </c>
      <c r="D135" s="16">
        <f>SUMIF(Estado!$A$9:$A$371,$B135,Estado!$C$9:$C$371)</f>
        <v>1841612072</v>
      </c>
      <c r="E135" s="16">
        <f>SUMIF(Estado!$A$9:$A$371,$B135,Estado!$D$9:$D$371)</f>
        <v>1841612072</v>
      </c>
      <c r="F135" s="16">
        <f>SUMIF(Estado!$A$9:$A$371,$B135,Estado!$E$9:$E$371)</f>
        <v>0</v>
      </c>
      <c r="G135" s="16">
        <f>SUMIF(Estado!$A$9:$A$371,$B135,Estado!$G$9:$G$371)</f>
        <v>0</v>
      </c>
      <c r="H135" s="16">
        <f>SUMIF(Estado!$A$9:$A$371,$B135,Estado!$I$9:$I$371)</f>
        <v>0</v>
      </c>
      <c r="I135" s="16">
        <f>SUMIF(Estado!$A$9:$A$371,$B135,Estado!$K$9:$K$371)</f>
        <v>1798781435.29</v>
      </c>
      <c r="J135" s="16">
        <f t="shared" si="13"/>
        <v>1798781435.29</v>
      </c>
      <c r="K135" s="16">
        <f>SUMIF(Estado!$A$9:$A$371,$B135,Estado!$O$9:$O$371)</f>
        <v>42830636.710000001</v>
      </c>
      <c r="L135" s="50">
        <f t="shared" ref="L135:L145" si="29">+IFERROR(SUM(G135:I135)/D135,0)</f>
        <v>0.97674285623926993</v>
      </c>
      <c r="M135" s="50">
        <f t="shared" ref="M135:M145" si="30">+IFERROR(+K135/D135,0)</f>
        <v>2.3257143760730084E-2</v>
      </c>
    </row>
    <row r="136" spans="1:13" s="24" customFormat="1" ht="16.5" x14ac:dyDescent="0.25">
      <c r="A136" s="109"/>
      <c r="B136" s="106" t="str">
        <f>+Estado!A185</f>
        <v>E-60301</v>
      </c>
      <c r="C136" s="104" t="str">
        <f>IFERROR(VLOOKUP(B136,Estado!$A$9:$B$508,2,FALSE),0)</f>
        <v>PRESTACIONES LEGALES</v>
      </c>
      <c r="D136" s="16">
        <f>SUMIF(Estado!$A$9:$A$371,$B136,Estado!$C$9:$C$371)</f>
        <v>1358382537</v>
      </c>
      <c r="E136" s="16">
        <f>SUMIF(Estado!$A$9:$A$371,$B136,Estado!$D$9:$D$371)</f>
        <v>1358382537</v>
      </c>
      <c r="F136" s="16">
        <f>SUMIF(Estado!$A$9:$A$371,$B136,Estado!$E$9:$E$371)</f>
        <v>0</v>
      </c>
      <c r="G136" s="16">
        <f>SUMIF(Estado!$A$9:$A$371,$B136,Estado!$G$9:$G$371)</f>
        <v>0</v>
      </c>
      <c r="H136" s="16">
        <f>SUMIF(Estado!$A$9:$A$371,$B136,Estado!$I$9:$I$371)</f>
        <v>0</v>
      </c>
      <c r="I136" s="16">
        <f>SUMIF(Estado!$A$9:$A$371,$B136,Estado!$K$9:$K$371)</f>
        <v>1337352310.8</v>
      </c>
      <c r="J136" s="16">
        <f t="shared" ref="J136:J145" si="31">SUM(G136:I136)</f>
        <v>1337352310.8</v>
      </c>
      <c r="K136" s="16">
        <f>SUMIF(Estado!$A$9:$A$371,$B136,Estado!$O$9:$O$371)</f>
        <v>21030226.200000003</v>
      </c>
      <c r="L136" s="50">
        <f t="shared" si="29"/>
        <v>0.98451818568983851</v>
      </c>
      <c r="M136" s="50">
        <f t="shared" si="30"/>
        <v>1.5481814310161442E-2</v>
      </c>
    </row>
    <row r="137" spans="1:13" s="24" customFormat="1" ht="16.5" x14ac:dyDescent="0.25">
      <c r="A137" s="109"/>
      <c r="B137" s="106" t="str">
        <f>+Estado!A186</f>
        <v>E-60399</v>
      </c>
      <c r="C137" s="104" t="str">
        <f>IFERROR(VLOOKUP(B137,Estado!$A$9:$B$508,2,FALSE),0)</f>
        <v>OTRAS PRESTACIONES</v>
      </c>
      <c r="D137" s="16">
        <f>SUMIF(Estado!$A$9:$A$371,$B137,Estado!$C$9:$C$371)</f>
        <v>483229535</v>
      </c>
      <c r="E137" s="16">
        <f>SUMIF(Estado!$A$9:$A$371,$B137,Estado!$D$9:$D$371)</f>
        <v>483229535</v>
      </c>
      <c r="F137" s="16">
        <f>SUMIF(Estado!$A$9:$A$371,$B137,Estado!$E$9:$E$371)</f>
        <v>0</v>
      </c>
      <c r="G137" s="16">
        <f>SUMIF(Estado!$A$9:$A$371,$B137,Estado!$G$9:$G$371)</f>
        <v>0</v>
      </c>
      <c r="H137" s="16">
        <f>SUMIF(Estado!$A$9:$A$371,$B137,Estado!$I$9:$I$371)</f>
        <v>0</v>
      </c>
      <c r="I137" s="16">
        <f>SUMIF(Estado!$A$9:$A$371,$B137,Estado!$K$9:$K$371)</f>
        <v>461429124.49000001</v>
      </c>
      <c r="J137" s="16">
        <f t="shared" si="31"/>
        <v>461429124.49000001</v>
      </c>
      <c r="K137" s="16">
        <f>SUMIF(Estado!$A$9:$A$371,$B137,Estado!$O$9:$O$371)</f>
        <v>21800410.510000002</v>
      </c>
      <c r="L137" s="50">
        <f t="shared" si="29"/>
        <v>0.95488601393124695</v>
      </c>
      <c r="M137" s="50">
        <f t="shared" si="30"/>
        <v>4.5113986068753026E-2</v>
      </c>
    </row>
    <row r="138" spans="1:13" s="24" customFormat="1" ht="16.5" x14ac:dyDescent="0.25">
      <c r="A138" s="109"/>
      <c r="B138" s="106" t="str">
        <f>+Estado!A187</f>
        <v>E-606</v>
      </c>
      <c r="C138" s="104" t="str">
        <f>IFERROR(VLOOKUP(B138,Estado!$A$9:$B$508,2,FALSE),0)</f>
        <v>OTR.TRANSF.CTE SPRIV</v>
      </c>
      <c r="D138" s="16">
        <f>SUMIF(Estado!$A$9:$A$371,$B138,Estado!$C$9:$C$371)</f>
        <v>352952000</v>
      </c>
      <c r="E138" s="16">
        <f>SUMIF(Estado!$A$9:$A$371,$B138,Estado!$D$9:$D$371)</f>
        <v>352952000</v>
      </c>
      <c r="F138" s="16">
        <f>SUMIF(Estado!$A$9:$A$371,$B138,Estado!$E$9:$E$371)</f>
        <v>0</v>
      </c>
      <c r="G138" s="16">
        <f>SUMIF(Estado!$A$9:$A$371,$B138,Estado!$G$9:$G$371)</f>
        <v>0</v>
      </c>
      <c r="H138" s="16">
        <f>SUMIF(Estado!$A$9:$A$371,$B138,Estado!$I$9:$I$371)</f>
        <v>0</v>
      </c>
      <c r="I138" s="16">
        <f>SUMIF(Estado!$A$9:$A$371,$B138,Estado!$K$9:$K$371)</f>
        <v>267911716.84999996</v>
      </c>
      <c r="J138" s="16">
        <f t="shared" si="31"/>
        <v>267911716.84999996</v>
      </c>
      <c r="K138" s="16">
        <f>SUMIF(Estado!$A$9:$A$371,$B138,Estado!$O$9:$O$371)</f>
        <v>85040283.149999991</v>
      </c>
      <c r="L138" s="50">
        <f t="shared" si="29"/>
        <v>0.7590599199041228</v>
      </c>
      <c r="M138" s="50">
        <f t="shared" si="30"/>
        <v>0.24094008009587703</v>
      </c>
    </row>
    <row r="139" spans="1:13" s="24" customFormat="1" ht="16.5" x14ac:dyDescent="0.25">
      <c r="A139" s="109"/>
      <c r="B139" s="106" t="str">
        <f>+Estado!A188</f>
        <v>E-60601</v>
      </c>
      <c r="C139" s="104" t="str">
        <f>IFERROR(VLOOKUP(B139,Estado!$A$9:$B$508,2,FALSE),0)</f>
        <v>INDEMNIZACIONES</v>
      </c>
      <c r="D139" s="16">
        <f>SUMIF(Estado!$A$9:$A$371,$B139,Estado!$C$9:$C$371)</f>
        <v>236600000</v>
      </c>
      <c r="E139" s="16">
        <f>SUMIF(Estado!$A$9:$A$371,$B139,Estado!$D$9:$D$371)</f>
        <v>236600000</v>
      </c>
      <c r="F139" s="16">
        <f>SUMIF(Estado!$A$9:$A$371,$B139,Estado!$E$9:$E$371)</f>
        <v>0</v>
      </c>
      <c r="G139" s="16">
        <f>SUMIF(Estado!$A$9:$A$371,$B139,Estado!$G$9:$G$371)</f>
        <v>0</v>
      </c>
      <c r="H139" s="16">
        <f>SUMIF(Estado!$A$9:$A$371,$B139,Estado!$I$9:$I$371)</f>
        <v>0</v>
      </c>
      <c r="I139" s="16">
        <f>SUMIF(Estado!$A$9:$A$371,$B139,Estado!$K$9:$K$371)</f>
        <v>167030897.27000001</v>
      </c>
      <c r="J139" s="16">
        <f t="shared" si="31"/>
        <v>167030897.27000001</v>
      </c>
      <c r="K139" s="16">
        <f>SUMIF(Estado!$A$9:$A$371,$B139,Estado!$O$9:$O$371)</f>
        <v>69569102.729999989</v>
      </c>
      <c r="L139" s="50">
        <f t="shared" si="29"/>
        <v>0.70596321754015223</v>
      </c>
      <c r="M139" s="50">
        <f t="shared" si="30"/>
        <v>0.29403678245984782</v>
      </c>
    </row>
    <row r="140" spans="1:13" s="24" customFormat="1" ht="16.5" x14ac:dyDescent="0.25">
      <c r="A140" s="109"/>
      <c r="B140" s="106" t="str">
        <f>+Estado!A189</f>
        <v>E-60602</v>
      </c>
      <c r="C140" s="104" t="str">
        <f>IFERROR(VLOOKUP(B140,Estado!$A$9:$B$508,2,FALSE),0)</f>
        <v>REINTEGROS O DEVOL.</v>
      </c>
      <c r="D140" s="16">
        <f>SUMIF(Estado!$A$9:$A$371,$B140,Estado!$C$9:$C$371)</f>
        <v>116352000</v>
      </c>
      <c r="E140" s="16">
        <f>SUMIF(Estado!$A$9:$A$371,$B140,Estado!$D$9:$D$371)</f>
        <v>116352000</v>
      </c>
      <c r="F140" s="16">
        <f>SUMIF(Estado!$A$9:$A$371,$B140,Estado!$E$9:$E$371)</f>
        <v>0</v>
      </c>
      <c r="G140" s="16">
        <f>SUMIF(Estado!$A$9:$A$371,$B140,Estado!$G$9:$G$371)</f>
        <v>0</v>
      </c>
      <c r="H140" s="16">
        <f>SUMIF(Estado!$A$9:$A$371,$B140,Estado!$I$9:$I$371)</f>
        <v>0</v>
      </c>
      <c r="I140" s="16">
        <f>SUMIF(Estado!$A$9:$A$371,$B140,Estado!$K$9:$K$371)</f>
        <v>100880819.58</v>
      </c>
      <c r="J140" s="16">
        <f t="shared" si="31"/>
        <v>100880819.58</v>
      </c>
      <c r="K140" s="16">
        <f>SUMIF(Estado!$A$9:$A$371,$B140,Estado!$O$9:$O$371)</f>
        <v>15471180.42</v>
      </c>
      <c r="L140" s="50">
        <f t="shared" si="29"/>
        <v>0.86703124639026397</v>
      </c>
      <c r="M140" s="50">
        <f t="shared" si="30"/>
        <v>0.13296875360973598</v>
      </c>
    </row>
    <row r="141" spans="1:13" s="24" customFormat="1" ht="16.5" x14ac:dyDescent="0.25">
      <c r="A141" s="109"/>
      <c r="B141" s="106" t="str">
        <f>+Estado!A190</f>
        <v>E-607</v>
      </c>
      <c r="C141" s="104" t="str">
        <f>IFERROR(VLOOKUP(B141,Estado!$A$9:$B$508,2,FALSE),0)</f>
        <v>TRANSF CTES AL S.EXT</v>
      </c>
      <c r="D141" s="16">
        <f>SUMIF(Estado!$A$9:$A$371,$B141,Estado!$C$9:$C$371)</f>
        <v>423341000</v>
      </c>
      <c r="E141" s="16">
        <f>SUMIF(Estado!$A$9:$A$371,$B141,Estado!$D$9:$D$371)</f>
        <v>423341000</v>
      </c>
      <c r="F141" s="16">
        <f>SUMIF(Estado!$A$9:$A$371,$B141,Estado!$E$9:$E$371)</f>
        <v>0</v>
      </c>
      <c r="G141" s="16">
        <f>SUMIF(Estado!$A$9:$A$371,$B141,Estado!$G$9:$G$371)</f>
        <v>0</v>
      </c>
      <c r="H141" s="16">
        <f>SUMIF(Estado!$A$9:$A$371,$B141,Estado!$I$9:$I$371)</f>
        <v>0</v>
      </c>
      <c r="I141" s="16">
        <f>SUMIF(Estado!$A$9:$A$371,$B141,Estado!$K$9:$K$371)</f>
        <v>420719424.20999998</v>
      </c>
      <c r="J141" s="16">
        <f t="shared" si="31"/>
        <v>420719424.20999998</v>
      </c>
      <c r="K141" s="16">
        <f>SUMIF(Estado!$A$9:$A$371,$B141,Estado!$O$9:$O$371)</f>
        <v>2621575.79</v>
      </c>
      <c r="L141" s="50">
        <f t="shared" si="29"/>
        <v>0.99380741343267009</v>
      </c>
      <c r="M141" s="50">
        <f t="shared" si="30"/>
        <v>6.1925865673298835E-3</v>
      </c>
    </row>
    <row r="142" spans="1:13" s="24" customFormat="1" ht="16.5" x14ac:dyDescent="0.25">
      <c r="A142" s="109"/>
      <c r="B142" s="106" t="str">
        <f>+Estado!A191</f>
        <v>E-60701</v>
      </c>
      <c r="C142" s="104" t="str">
        <f>IFERROR(VLOOKUP(B142,Estado!$A$9:$B$508,2,FALSE),0)</f>
        <v>TRANSF.C.TE ORG.INT.</v>
      </c>
      <c r="D142" s="16">
        <f>SUMIF(Estado!$A$9:$A$371,$B142,Estado!$C$9:$C$371)</f>
        <v>423341000</v>
      </c>
      <c r="E142" s="16">
        <f>SUMIF(Estado!$A$9:$A$371,$B142,Estado!$D$9:$D$371)</f>
        <v>423341000</v>
      </c>
      <c r="F142" s="16">
        <f>SUMIF(Estado!$A$9:$A$371,$B142,Estado!$E$9:$E$371)</f>
        <v>0</v>
      </c>
      <c r="G142" s="16">
        <f>SUMIF(Estado!$A$9:$A$371,$B142,Estado!$G$9:$G$371)</f>
        <v>0</v>
      </c>
      <c r="H142" s="16">
        <f>SUMIF(Estado!$A$9:$A$371,$B142,Estado!$I$9:$I$371)</f>
        <v>0</v>
      </c>
      <c r="I142" s="16">
        <f>SUMIF(Estado!$A$9:$A$371,$B142,Estado!$K$9:$K$371)</f>
        <v>420719424.20999998</v>
      </c>
      <c r="J142" s="16">
        <f t="shared" si="31"/>
        <v>420719424.20999998</v>
      </c>
      <c r="K142" s="16">
        <f>SUMIF(Estado!$A$9:$A$371,$B142,Estado!$O$9:$O$371)</f>
        <v>2621575.79</v>
      </c>
      <c r="L142" s="50">
        <f t="shared" si="29"/>
        <v>0.99380741343267009</v>
      </c>
      <c r="M142" s="50">
        <f t="shared" si="30"/>
        <v>6.1925865673298835E-3</v>
      </c>
    </row>
    <row r="143" spans="1:13" s="23" customFormat="1" ht="17.25" x14ac:dyDescent="0.25">
      <c r="A143" s="107"/>
      <c r="B143" s="108" t="str">
        <f>+Estado!A195</f>
        <v>E-7</v>
      </c>
      <c r="C143" s="105" t="str">
        <f>IFERROR(VLOOKUP(B143,Estado!$A$9:$B$508,2,FALSE),0)</f>
        <v>TRANSF. DE CAPITAL</v>
      </c>
      <c r="D143" s="22">
        <f>SUM(D144)</f>
        <v>1938815591.4200001</v>
      </c>
      <c r="E143" s="22">
        <f t="shared" ref="E143:K143" si="32">SUM(E144)</f>
        <v>1938815591.4200001</v>
      </c>
      <c r="F143" s="22">
        <f t="shared" si="32"/>
        <v>0</v>
      </c>
      <c r="G143" s="22">
        <f t="shared" si="32"/>
        <v>93466512.689999998</v>
      </c>
      <c r="H143" s="22">
        <f t="shared" si="32"/>
        <v>0</v>
      </c>
      <c r="I143" s="22">
        <f t="shared" si="32"/>
        <v>1845349074</v>
      </c>
      <c r="J143" s="22">
        <f t="shared" si="32"/>
        <v>1938815586.6900001</v>
      </c>
      <c r="K143" s="22">
        <f t="shared" si="32"/>
        <v>4.7300000000000004</v>
      </c>
      <c r="L143" s="67">
        <f t="shared" si="29"/>
        <v>0.99999999756036617</v>
      </c>
      <c r="M143" s="67">
        <f t="shared" si="30"/>
        <v>2.4396337748324584E-9</v>
      </c>
    </row>
    <row r="144" spans="1:13" s="24" customFormat="1" ht="16.5" x14ac:dyDescent="0.25">
      <c r="A144" s="109"/>
      <c r="B144" s="106" t="str">
        <f>+Estado!A196</f>
        <v>E-701</v>
      </c>
      <c r="C144" s="104" t="str">
        <f>IFERROR(VLOOKUP(B144,Estado!$A$9:$B$508,2,FALSE),0)</f>
        <v>TRANSF DE CTAL S PUB</v>
      </c>
      <c r="D144" s="16">
        <f>SUMIF(Estado!$A$9:$A$371,$B144,Estado!$C$9:$C$371)</f>
        <v>1938815591.4200001</v>
      </c>
      <c r="E144" s="16">
        <f>SUMIF(Estado!$A$9:$A$371,$B144,Estado!$D$9:$D$371)</f>
        <v>1938815591.4200001</v>
      </c>
      <c r="F144" s="16">
        <f>SUMIF(Estado!$A$9:$A$371,$B144,Estado!$E$9:$E$371)</f>
        <v>0</v>
      </c>
      <c r="G144" s="16">
        <f>SUMIF(Estado!$A$9:$A$371,$B144,Estado!$G$9:$G$371)</f>
        <v>93466512.689999998</v>
      </c>
      <c r="H144" s="16">
        <f>SUMIF(Estado!$A$9:$A$371,$B144,Estado!$I$9:$I$371)</f>
        <v>0</v>
      </c>
      <c r="I144" s="16">
        <f>SUMIF(Estado!$A$9:$A$371,$B144,Estado!$K$9:$K$371)</f>
        <v>1845349074</v>
      </c>
      <c r="J144" s="16">
        <f t="shared" si="31"/>
        <v>1938815586.6900001</v>
      </c>
      <c r="K144" s="16">
        <f>SUMIF(Estado!$A$9:$A$371,$B144,Estado!$O$9:$O$371)</f>
        <v>4.7300000000000004</v>
      </c>
      <c r="L144" s="50">
        <f t="shared" si="29"/>
        <v>0.99999999756036617</v>
      </c>
      <c r="M144" s="50">
        <f t="shared" si="30"/>
        <v>2.4396337748324584E-9</v>
      </c>
    </row>
    <row r="145" spans="1:13" s="24" customFormat="1" ht="16.5" x14ac:dyDescent="0.25">
      <c r="A145" s="109"/>
      <c r="B145" s="106" t="str">
        <f>+Estado!A197</f>
        <v>E-70102</v>
      </c>
      <c r="C145" s="104" t="str">
        <f>IFERROR(VLOOKUP(B145,Estado!$A$9:$B$508,2,FALSE),0)</f>
        <v>TRANSF.CTAL ORG.DESC</v>
      </c>
      <c r="D145" s="16">
        <f>SUMIF(Estado!$A$9:$A$371,$B145,Estado!$C$9:$C$371)</f>
        <v>1938815591.4200001</v>
      </c>
      <c r="E145" s="16">
        <f>SUMIF(Estado!$A$9:$A$371,$B145,Estado!$D$9:$D$371)</f>
        <v>1938815591.4200001</v>
      </c>
      <c r="F145" s="16">
        <f>SUMIF(Estado!$A$9:$A$371,$B145,Estado!$E$9:$E$371)</f>
        <v>0</v>
      </c>
      <c r="G145" s="16">
        <f>SUMIF(Estado!$A$9:$A$371,$B145,Estado!$G$9:$G$371)</f>
        <v>93466512.689999998</v>
      </c>
      <c r="H145" s="16">
        <f>SUMIF(Estado!$A$9:$A$371,$B145,Estado!$I$9:$I$371)</f>
        <v>0</v>
      </c>
      <c r="I145" s="16">
        <f>SUMIF(Estado!$A$9:$A$371,$B145,Estado!$K$9:$K$371)</f>
        <v>1845349074</v>
      </c>
      <c r="J145" s="16">
        <f t="shared" si="31"/>
        <v>1938815586.6900001</v>
      </c>
      <c r="K145" s="16">
        <f>SUMIF(Estado!$A$9:$A$371,$B145,Estado!$O$9:$O$371)</f>
        <v>4.7300000000000004</v>
      </c>
      <c r="L145" s="50">
        <f t="shared" si="29"/>
        <v>0.99999999756036617</v>
      </c>
      <c r="M145" s="50">
        <f t="shared" si="30"/>
        <v>2.4396337748324584E-9</v>
      </c>
    </row>
    <row r="146" spans="1:13" s="23" customFormat="1" ht="17.25" x14ac:dyDescent="0.25">
      <c r="A146" s="107"/>
      <c r="B146" s="108" t="s">
        <v>576</v>
      </c>
      <c r="C146" s="105" t="s">
        <v>577</v>
      </c>
      <c r="D146" s="22">
        <f>SUM(D147)</f>
        <v>0</v>
      </c>
      <c r="E146" s="22">
        <f t="shared" ref="E146:K146" si="33">SUM(E147)</f>
        <v>0</v>
      </c>
      <c r="F146" s="22">
        <f t="shared" si="33"/>
        <v>0</v>
      </c>
      <c r="G146" s="22">
        <f t="shared" si="33"/>
        <v>0</v>
      </c>
      <c r="H146" s="22">
        <f t="shared" si="33"/>
        <v>0</v>
      </c>
      <c r="I146" s="22">
        <f t="shared" si="33"/>
        <v>0</v>
      </c>
      <c r="J146" s="22">
        <f t="shared" si="33"/>
        <v>0</v>
      </c>
      <c r="K146" s="22">
        <f t="shared" si="33"/>
        <v>0</v>
      </c>
      <c r="L146" s="50">
        <f t="shared" ref="L146" si="34">+IFERROR(SUM(G146:I146)/D146,0)</f>
        <v>0</v>
      </c>
      <c r="M146" s="50">
        <f t="shared" ref="M146" si="35">+IFERROR(+K146/D146,0)</f>
        <v>0</v>
      </c>
    </row>
    <row r="147" spans="1:13" s="24" customFormat="1" ht="25.5" x14ac:dyDescent="0.25">
      <c r="A147" s="109"/>
      <c r="B147" s="106" t="s">
        <v>574</v>
      </c>
      <c r="C147" s="104" t="s">
        <v>575</v>
      </c>
      <c r="D147" s="16">
        <f>+D148</f>
        <v>0</v>
      </c>
      <c r="E147" s="16">
        <f t="shared" ref="E147:K147" si="36">+E148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6">
        <f t="shared" si="36"/>
        <v>0</v>
      </c>
      <c r="K147" s="16">
        <f t="shared" si="36"/>
        <v>0</v>
      </c>
      <c r="L147" s="50">
        <f t="shared" ref="L147" si="37">+IFERROR(SUM(G147:I147)/D147,0)</f>
        <v>0</v>
      </c>
      <c r="M147" s="50">
        <f t="shared" ref="M147" si="38">+IFERROR(+K147/D147,0)</f>
        <v>0</v>
      </c>
    </row>
    <row r="148" spans="1:13" s="24" customFormat="1" ht="25.5" x14ac:dyDescent="0.25">
      <c r="A148" s="109"/>
      <c r="B148" s="106" t="s">
        <v>572</v>
      </c>
      <c r="C148" s="104" t="s">
        <v>573</v>
      </c>
      <c r="D148" s="16">
        <f>SUMIF(Estado!$A$9:$A$371,$B148,Estado!$C$9:$C$371)</f>
        <v>0</v>
      </c>
      <c r="E148" s="16">
        <f>SUMIF(Estado!$A$9:$A$371,$B148,Estado!$D$9:$D$371)</f>
        <v>0</v>
      </c>
      <c r="F148" s="16">
        <f>SUMIF(Estado!$A$9:$A$371,$B148,Estado!$E$9:$E$371)</f>
        <v>0</v>
      </c>
      <c r="G148" s="16">
        <f>SUMIF(Estado!$A$9:$A$371,$B148,Estado!$G$9:$G$371)</f>
        <v>0</v>
      </c>
      <c r="H148" s="16">
        <f>SUMIF(Estado!$A$9:$A$371,$B148,Estado!$I$9:$I$371)</f>
        <v>0</v>
      </c>
      <c r="I148" s="16">
        <f>SUMIF(Estado!$A$9:$A$371,$B148,Estado!$K$9:$K$371)</f>
        <v>0</v>
      </c>
      <c r="J148" s="16">
        <f t="shared" ref="J148" si="39">SUM(G148:I148)</f>
        <v>0</v>
      </c>
      <c r="K148" s="16">
        <f>SUMIF(Estado!$A$9:$A$371,$B148,Estado!$O$9:$O$371)</f>
        <v>0</v>
      </c>
      <c r="L148" s="50">
        <f t="shared" ref="L148" si="40">+IFERROR(SUM(G148:I148)/D148,0)</f>
        <v>0</v>
      </c>
      <c r="M148" s="50">
        <f t="shared" ref="M148" si="41">+IFERROR(+K148/D148,0)</f>
        <v>0</v>
      </c>
    </row>
    <row r="149" spans="1:13" ht="18" thickBot="1" x14ac:dyDescent="0.3">
      <c r="A149" s="110"/>
      <c r="B149" s="111"/>
      <c r="C149" s="9" t="s">
        <v>15</v>
      </c>
      <c r="D149" s="15">
        <f>+D3+D28+D82+D114+D129+D143+D146</f>
        <v>143111405132.42001</v>
      </c>
      <c r="E149" s="15">
        <f>+E3+E28+E82+E114+E129+E143+E146</f>
        <v>143098560293.42001</v>
      </c>
      <c r="F149" s="15">
        <f>+F3+F28+F82+F114+F129+F143+F146</f>
        <v>0</v>
      </c>
      <c r="G149" s="15">
        <f>+G3+G28+G82+G114+G129+G143+G146</f>
        <v>93466512.689999998</v>
      </c>
      <c r="H149" s="15">
        <f>+H3+H28+H82+H114+H129+H143</f>
        <v>0</v>
      </c>
      <c r="I149" s="15">
        <f>+I3+I28+I82+I114+I129+I143+I146</f>
        <v>133752594481.5</v>
      </c>
      <c r="J149" s="15">
        <f>+J3+J28+J82+J114+J129+J143+J146</f>
        <v>133846060994.19</v>
      </c>
      <c r="K149" s="15">
        <f>+K3+K28+K82+K114+K129+K143+K146</f>
        <v>9265344138.2299995</v>
      </c>
      <c r="L149" s="68">
        <f t="shared" ref="L149" si="42">SUM(G149:I149)/D149</f>
        <v>0.93525782148769454</v>
      </c>
      <c r="M149" s="68">
        <f t="shared" ref="M149" si="43">+K149/D149</f>
        <v>6.4742178512305432E-2</v>
      </c>
    </row>
    <row r="150" spans="1:13" x14ac:dyDescent="0.25">
      <c r="A150" s="110"/>
      <c r="B150" s="110"/>
      <c r="D150" s="34">
        <f>+D149-Estado!C10</f>
        <v>0</v>
      </c>
      <c r="E150" s="34">
        <f>+E149-Estado!D10</f>
        <v>0</v>
      </c>
      <c r="F150" s="34">
        <f>+F149-Estado!E10</f>
        <v>0</v>
      </c>
      <c r="G150" s="34">
        <f>+G149-Estado!G10</f>
        <v>0</v>
      </c>
      <c r="H150" s="34"/>
      <c r="I150" s="34">
        <f>+I149-Estado!K10</f>
        <v>0</v>
      </c>
      <c r="J150" s="34"/>
      <c r="K150" s="34">
        <f>+K149-Estado!O10</f>
        <v>0</v>
      </c>
      <c r="L150" s="34"/>
    </row>
  </sheetData>
  <mergeCells count="9">
    <mergeCell ref="L1:L2"/>
    <mergeCell ref="M1:M2"/>
    <mergeCell ref="C1:C2"/>
    <mergeCell ref="D1:D2"/>
    <mergeCell ref="E1:E2"/>
    <mergeCell ref="F1:F2"/>
    <mergeCell ref="G1:I1"/>
    <mergeCell ref="K1:K2"/>
    <mergeCell ref="J1:J2"/>
  </mergeCells>
  <pageMargins left="0.7" right="0.7" top="0.75" bottom="0.75" header="0.3" footer="0.3"/>
  <pageSetup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1"/>
  <sheetViews>
    <sheetView topLeftCell="A409" zoomScale="80" zoomScaleNormal="80" workbookViewId="0">
      <selection activeCell="A440" sqref="A440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62.7109375" customWidth="1"/>
    <col min="4" max="4" width="6.5703125" bestFit="1" customWidth="1"/>
    <col min="5" max="5" width="18.7109375" bestFit="1" customWidth="1"/>
    <col min="6" max="6" width="23.7109375" customWidth="1"/>
    <col min="7" max="7" width="18.5703125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57" t="s">
        <v>549</v>
      </c>
      <c r="B1" s="157" t="s">
        <v>550</v>
      </c>
      <c r="C1" s="157" t="s">
        <v>91</v>
      </c>
      <c r="D1" s="157" t="s">
        <v>90</v>
      </c>
      <c r="E1" s="157" t="s">
        <v>551</v>
      </c>
      <c r="F1" s="157" t="s">
        <v>391</v>
      </c>
      <c r="G1" s="157" t="s">
        <v>539</v>
      </c>
      <c r="H1" s="157" t="s">
        <v>27</v>
      </c>
      <c r="I1" s="157" t="s">
        <v>29</v>
      </c>
      <c r="J1" s="157" t="s">
        <v>553</v>
      </c>
      <c r="K1" s="157" t="s">
        <v>33</v>
      </c>
      <c r="L1" s="157" t="s">
        <v>35</v>
      </c>
      <c r="M1" s="157" t="s">
        <v>538</v>
      </c>
      <c r="N1" s="157" t="s">
        <v>552</v>
      </c>
    </row>
    <row r="2" spans="1:14" s="156" customFormat="1" x14ac:dyDescent="0.25">
      <c r="A2" s="262" t="s">
        <v>540</v>
      </c>
      <c r="B2" s="262" t="s">
        <v>587</v>
      </c>
      <c r="C2" s="262" t="s">
        <v>587</v>
      </c>
      <c r="D2" s="262" t="s">
        <v>541</v>
      </c>
      <c r="E2" s="263">
        <v>135087133000</v>
      </c>
      <c r="F2" s="263">
        <v>143111405132.42001</v>
      </c>
      <c r="G2" s="263">
        <v>143098560293.42001</v>
      </c>
      <c r="H2" s="263">
        <v>0</v>
      </c>
      <c r="I2" s="263">
        <v>93466512.689999998</v>
      </c>
      <c r="J2" s="263">
        <v>0</v>
      </c>
      <c r="K2" s="263">
        <v>133752594481.5</v>
      </c>
      <c r="L2" s="263">
        <v>131401421073.57001</v>
      </c>
      <c r="M2" s="263">
        <v>9265344138.2299995</v>
      </c>
      <c r="N2" s="263">
        <v>9252499299.2299995</v>
      </c>
    </row>
    <row r="3" spans="1:14" s="156" customFormat="1" x14ac:dyDescent="0.25">
      <c r="A3" s="262">
        <v>214779</v>
      </c>
      <c r="B3" s="262" t="s">
        <v>587</v>
      </c>
      <c r="C3" s="262" t="s">
        <v>587</v>
      </c>
      <c r="D3" s="262" t="s">
        <v>541</v>
      </c>
      <c r="E3" s="263">
        <v>2519449227</v>
      </c>
      <c r="F3" s="263">
        <v>2405642232</v>
      </c>
      <c r="G3" s="263">
        <v>2401122032</v>
      </c>
      <c r="H3" s="263">
        <v>0</v>
      </c>
      <c r="I3" s="263">
        <v>0</v>
      </c>
      <c r="J3" s="263">
        <v>0</v>
      </c>
      <c r="K3" s="263">
        <v>2147263176.1900001</v>
      </c>
      <c r="L3" s="263">
        <v>2097320712.46</v>
      </c>
      <c r="M3" s="263">
        <v>258379055.81</v>
      </c>
      <c r="N3" s="263">
        <v>253858855.81</v>
      </c>
    </row>
    <row r="4" spans="1:14" s="156" customFormat="1" x14ac:dyDescent="0.25">
      <c r="A4" s="262" t="s">
        <v>542</v>
      </c>
      <c r="B4" s="262" t="s">
        <v>92</v>
      </c>
      <c r="C4" s="262" t="s">
        <v>93</v>
      </c>
      <c r="D4" s="262" t="s">
        <v>541</v>
      </c>
      <c r="E4" s="263">
        <v>1386097000</v>
      </c>
      <c r="F4" s="263">
        <v>1275541445</v>
      </c>
      <c r="G4" s="263">
        <v>1271321245</v>
      </c>
      <c r="H4" s="263">
        <v>0</v>
      </c>
      <c r="I4" s="263">
        <v>0</v>
      </c>
      <c r="J4" s="263">
        <v>0</v>
      </c>
      <c r="K4" s="263">
        <v>1115599761.96</v>
      </c>
      <c r="L4" s="263">
        <v>1115599761.96</v>
      </c>
      <c r="M4" s="263">
        <v>159941683.03999999</v>
      </c>
      <c r="N4" s="263">
        <v>155721483.03999999</v>
      </c>
    </row>
    <row r="5" spans="1:14" s="156" customFormat="1" x14ac:dyDescent="0.25">
      <c r="A5" s="262" t="s">
        <v>542</v>
      </c>
      <c r="B5" s="262" t="s">
        <v>94</v>
      </c>
      <c r="C5" s="262" t="s">
        <v>95</v>
      </c>
      <c r="D5" s="262" t="s">
        <v>541</v>
      </c>
      <c r="E5" s="263">
        <v>526394000</v>
      </c>
      <c r="F5" s="263">
        <v>500514700</v>
      </c>
      <c r="G5" s="263">
        <v>496494500</v>
      </c>
      <c r="H5" s="263">
        <v>0</v>
      </c>
      <c r="I5" s="263">
        <v>0</v>
      </c>
      <c r="J5" s="263">
        <v>0</v>
      </c>
      <c r="K5" s="263">
        <v>450224322.44</v>
      </c>
      <c r="L5" s="263">
        <v>450224322.44</v>
      </c>
      <c r="M5" s="263">
        <v>50290377.560000002</v>
      </c>
      <c r="N5" s="263">
        <v>46270177.560000002</v>
      </c>
    </row>
    <row r="6" spans="1:14" s="156" customFormat="1" x14ac:dyDescent="0.25">
      <c r="A6" s="262" t="s">
        <v>542</v>
      </c>
      <c r="B6" s="262" t="s">
        <v>96</v>
      </c>
      <c r="C6" s="262" t="s">
        <v>97</v>
      </c>
      <c r="D6" s="262" t="s">
        <v>541</v>
      </c>
      <c r="E6" s="263">
        <v>526394000</v>
      </c>
      <c r="F6" s="263">
        <v>500514700</v>
      </c>
      <c r="G6" s="263">
        <v>496494500</v>
      </c>
      <c r="H6" s="263">
        <v>0</v>
      </c>
      <c r="I6" s="263">
        <v>0</v>
      </c>
      <c r="J6" s="263">
        <v>0</v>
      </c>
      <c r="K6" s="263">
        <v>450224322.44</v>
      </c>
      <c r="L6" s="263">
        <v>450224322.44</v>
      </c>
      <c r="M6" s="263">
        <v>50290377.560000002</v>
      </c>
      <c r="N6" s="263">
        <v>46270177.560000002</v>
      </c>
    </row>
    <row r="7" spans="1:14" s="156" customFormat="1" x14ac:dyDescent="0.25">
      <c r="A7" s="262" t="s">
        <v>542</v>
      </c>
      <c r="B7" s="262" t="s">
        <v>102</v>
      </c>
      <c r="C7" s="262" t="s">
        <v>103</v>
      </c>
      <c r="D7" s="262" t="s">
        <v>541</v>
      </c>
      <c r="E7" s="263">
        <v>649722000</v>
      </c>
      <c r="F7" s="263">
        <v>580941535</v>
      </c>
      <c r="G7" s="263">
        <v>580741535</v>
      </c>
      <c r="H7" s="263">
        <v>0</v>
      </c>
      <c r="I7" s="263">
        <v>0</v>
      </c>
      <c r="J7" s="263">
        <v>0</v>
      </c>
      <c r="K7" s="263">
        <v>495551364.51999998</v>
      </c>
      <c r="L7" s="263">
        <v>495551364.51999998</v>
      </c>
      <c r="M7" s="263">
        <v>85390170.480000004</v>
      </c>
      <c r="N7" s="263">
        <v>85190170.480000004</v>
      </c>
    </row>
    <row r="8" spans="1:14" s="156" customFormat="1" x14ac:dyDescent="0.25">
      <c r="A8" s="262" t="s">
        <v>542</v>
      </c>
      <c r="B8" s="262" t="s">
        <v>104</v>
      </c>
      <c r="C8" s="262" t="s">
        <v>105</v>
      </c>
      <c r="D8" s="262" t="s">
        <v>541</v>
      </c>
      <c r="E8" s="263">
        <v>138872000</v>
      </c>
      <c r="F8" s="263">
        <v>112710900</v>
      </c>
      <c r="G8" s="263">
        <v>112710900</v>
      </c>
      <c r="H8" s="263">
        <v>0</v>
      </c>
      <c r="I8" s="263">
        <v>0</v>
      </c>
      <c r="J8" s="263">
        <v>0</v>
      </c>
      <c r="K8" s="263">
        <v>101153572.19</v>
      </c>
      <c r="L8" s="263">
        <v>101153572.19</v>
      </c>
      <c r="M8" s="263">
        <v>11557327.810000001</v>
      </c>
      <c r="N8" s="263">
        <v>11557327.810000001</v>
      </c>
    </row>
    <row r="9" spans="1:14" s="156" customFormat="1" x14ac:dyDescent="0.25">
      <c r="A9" s="262" t="s">
        <v>542</v>
      </c>
      <c r="B9" s="262" t="s">
        <v>106</v>
      </c>
      <c r="C9" s="262" t="s">
        <v>107</v>
      </c>
      <c r="D9" s="262" t="s">
        <v>541</v>
      </c>
      <c r="E9" s="263">
        <v>289755000</v>
      </c>
      <c r="F9" s="263">
        <v>252135635</v>
      </c>
      <c r="G9" s="263">
        <v>252135635</v>
      </c>
      <c r="H9" s="263">
        <v>0</v>
      </c>
      <c r="I9" s="263">
        <v>0</v>
      </c>
      <c r="J9" s="263">
        <v>0</v>
      </c>
      <c r="K9" s="263">
        <v>208220177.87</v>
      </c>
      <c r="L9" s="263">
        <v>208220177.87</v>
      </c>
      <c r="M9" s="263">
        <v>43915457.130000003</v>
      </c>
      <c r="N9" s="263">
        <v>43915457.130000003</v>
      </c>
    </row>
    <row r="10" spans="1:14" s="156" customFormat="1" x14ac:dyDescent="0.25">
      <c r="A10" s="262" t="s">
        <v>542</v>
      </c>
      <c r="B10" s="262" t="s">
        <v>112</v>
      </c>
      <c r="C10" s="262" t="s">
        <v>113</v>
      </c>
      <c r="D10" s="262" t="s">
        <v>543</v>
      </c>
      <c r="E10" s="263">
        <v>89807000</v>
      </c>
      <c r="F10" s="263">
        <v>36779.85</v>
      </c>
      <c r="G10" s="263">
        <v>36779.85</v>
      </c>
      <c r="H10" s="263">
        <v>0</v>
      </c>
      <c r="I10" s="263">
        <v>0</v>
      </c>
      <c r="J10" s="263">
        <v>0</v>
      </c>
      <c r="K10" s="263">
        <v>36779.85</v>
      </c>
      <c r="L10" s="263">
        <v>36779.85</v>
      </c>
      <c r="M10" s="263">
        <v>0</v>
      </c>
      <c r="N10" s="263">
        <v>0</v>
      </c>
    </row>
    <row r="11" spans="1:14" s="156" customFormat="1" x14ac:dyDescent="0.25">
      <c r="A11" s="262" t="s">
        <v>542</v>
      </c>
      <c r="B11" s="262" t="s">
        <v>112</v>
      </c>
      <c r="C11" s="262" t="s">
        <v>113</v>
      </c>
      <c r="D11" s="262" t="s">
        <v>655</v>
      </c>
      <c r="E11" s="263">
        <v>0</v>
      </c>
      <c r="F11" s="263">
        <v>89770220.150000006</v>
      </c>
      <c r="G11" s="263">
        <v>89770220.150000006</v>
      </c>
      <c r="H11" s="263">
        <v>0</v>
      </c>
      <c r="I11" s="263">
        <v>0</v>
      </c>
      <c r="J11" s="263">
        <v>0</v>
      </c>
      <c r="K11" s="263">
        <v>74476754.840000004</v>
      </c>
      <c r="L11" s="263">
        <v>74476754.840000004</v>
      </c>
      <c r="M11" s="263">
        <v>15293465.310000001</v>
      </c>
      <c r="N11" s="263">
        <v>15293465.310000001</v>
      </c>
    </row>
    <row r="12" spans="1:14" s="156" customFormat="1" x14ac:dyDescent="0.25">
      <c r="A12" s="262" t="s">
        <v>542</v>
      </c>
      <c r="B12" s="262" t="s">
        <v>108</v>
      </c>
      <c r="C12" s="262" t="s">
        <v>109</v>
      </c>
      <c r="D12" s="262" t="s">
        <v>541</v>
      </c>
      <c r="E12" s="263">
        <v>83881000</v>
      </c>
      <c r="F12" s="263">
        <v>83881000</v>
      </c>
      <c r="G12" s="263">
        <v>83881000</v>
      </c>
      <c r="H12" s="263">
        <v>0</v>
      </c>
      <c r="I12" s="263">
        <v>0</v>
      </c>
      <c r="J12" s="263">
        <v>0</v>
      </c>
      <c r="K12" s="263">
        <v>74716261.200000003</v>
      </c>
      <c r="L12" s="263">
        <v>74716261.200000003</v>
      </c>
      <c r="M12" s="263">
        <v>9164738.8000000007</v>
      </c>
      <c r="N12" s="263">
        <v>9164738.8000000007</v>
      </c>
    </row>
    <row r="13" spans="1:14" s="156" customFormat="1" x14ac:dyDescent="0.25">
      <c r="A13" s="262" t="s">
        <v>542</v>
      </c>
      <c r="B13" s="262" t="s">
        <v>110</v>
      </c>
      <c r="C13" s="262" t="s">
        <v>111</v>
      </c>
      <c r="D13" s="262" t="s">
        <v>541</v>
      </c>
      <c r="E13" s="263">
        <v>47407000</v>
      </c>
      <c r="F13" s="263">
        <v>42407000</v>
      </c>
      <c r="G13" s="263">
        <v>42207000</v>
      </c>
      <c r="H13" s="263">
        <v>0</v>
      </c>
      <c r="I13" s="263">
        <v>0</v>
      </c>
      <c r="J13" s="263">
        <v>0</v>
      </c>
      <c r="K13" s="263">
        <v>36947818.57</v>
      </c>
      <c r="L13" s="263">
        <v>36947818.57</v>
      </c>
      <c r="M13" s="263">
        <v>5459181.4299999997</v>
      </c>
      <c r="N13" s="263">
        <v>5259181.43</v>
      </c>
    </row>
    <row r="14" spans="1:14" s="156" customFormat="1" x14ac:dyDescent="0.25">
      <c r="A14" s="262" t="s">
        <v>542</v>
      </c>
      <c r="B14" s="262" t="s">
        <v>114</v>
      </c>
      <c r="C14" s="262" t="s">
        <v>115</v>
      </c>
      <c r="D14" s="262" t="s">
        <v>541</v>
      </c>
      <c r="E14" s="263">
        <v>105914000</v>
      </c>
      <c r="F14" s="263">
        <v>97400595</v>
      </c>
      <c r="G14" s="263">
        <v>97400595</v>
      </c>
      <c r="H14" s="263">
        <v>0</v>
      </c>
      <c r="I14" s="263">
        <v>0</v>
      </c>
      <c r="J14" s="263">
        <v>0</v>
      </c>
      <c r="K14" s="263">
        <v>85661576</v>
      </c>
      <c r="L14" s="263">
        <v>85661576</v>
      </c>
      <c r="M14" s="263">
        <v>11739019</v>
      </c>
      <c r="N14" s="263">
        <v>11739019</v>
      </c>
    </row>
    <row r="15" spans="1:14" s="156" customFormat="1" x14ac:dyDescent="0.25">
      <c r="A15" s="262" t="s">
        <v>542</v>
      </c>
      <c r="B15" s="262" t="s">
        <v>116</v>
      </c>
      <c r="C15" s="262" t="s">
        <v>597</v>
      </c>
      <c r="D15" s="262" t="s">
        <v>541</v>
      </c>
      <c r="E15" s="263">
        <v>100483000</v>
      </c>
      <c r="F15" s="263">
        <v>92354895</v>
      </c>
      <c r="G15" s="263">
        <v>92354895</v>
      </c>
      <c r="H15" s="263">
        <v>0</v>
      </c>
      <c r="I15" s="263">
        <v>0</v>
      </c>
      <c r="J15" s="263">
        <v>0</v>
      </c>
      <c r="K15" s="263">
        <v>81269201</v>
      </c>
      <c r="L15" s="263">
        <v>81269201</v>
      </c>
      <c r="M15" s="263">
        <v>11085694</v>
      </c>
      <c r="N15" s="263">
        <v>11085694</v>
      </c>
    </row>
    <row r="16" spans="1:14" s="156" customFormat="1" x14ac:dyDescent="0.25">
      <c r="A16" s="262" t="s">
        <v>542</v>
      </c>
      <c r="B16" s="262" t="s">
        <v>117</v>
      </c>
      <c r="C16" s="262" t="s">
        <v>583</v>
      </c>
      <c r="D16" s="262" t="s">
        <v>541</v>
      </c>
      <c r="E16" s="263">
        <v>5431000</v>
      </c>
      <c r="F16" s="263">
        <v>5045700</v>
      </c>
      <c r="G16" s="263">
        <v>5045700</v>
      </c>
      <c r="H16" s="263">
        <v>0</v>
      </c>
      <c r="I16" s="263">
        <v>0</v>
      </c>
      <c r="J16" s="263">
        <v>0</v>
      </c>
      <c r="K16" s="263">
        <v>4392375</v>
      </c>
      <c r="L16" s="263">
        <v>4392375</v>
      </c>
      <c r="M16" s="263">
        <v>653325</v>
      </c>
      <c r="N16" s="263">
        <v>653325</v>
      </c>
    </row>
    <row r="17" spans="1:14" s="156" customFormat="1" x14ac:dyDescent="0.25">
      <c r="A17" s="262" t="s">
        <v>542</v>
      </c>
      <c r="B17" s="262" t="s">
        <v>118</v>
      </c>
      <c r="C17" s="262" t="s">
        <v>119</v>
      </c>
      <c r="D17" s="262" t="s">
        <v>541</v>
      </c>
      <c r="E17" s="263">
        <v>104067000</v>
      </c>
      <c r="F17" s="263">
        <v>96684615</v>
      </c>
      <c r="G17" s="263">
        <v>96684615</v>
      </c>
      <c r="H17" s="263">
        <v>0</v>
      </c>
      <c r="I17" s="263">
        <v>0</v>
      </c>
      <c r="J17" s="263">
        <v>0</v>
      </c>
      <c r="K17" s="263">
        <v>84162499</v>
      </c>
      <c r="L17" s="263">
        <v>84162499</v>
      </c>
      <c r="M17" s="263">
        <v>12522116</v>
      </c>
      <c r="N17" s="263">
        <v>12522116</v>
      </c>
    </row>
    <row r="18" spans="1:14" s="156" customFormat="1" x14ac:dyDescent="0.25">
      <c r="A18" s="262" t="s">
        <v>542</v>
      </c>
      <c r="B18" s="262" t="s">
        <v>120</v>
      </c>
      <c r="C18" s="262" t="s">
        <v>598</v>
      </c>
      <c r="D18" s="262" t="s">
        <v>541</v>
      </c>
      <c r="E18" s="263">
        <v>55184000</v>
      </c>
      <c r="F18" s="263">
        <v>51269325</v>
      </c>
      <c r="G18" s="263">
        <v>51269325</v>
      </c>
      <c r="H18" s="263">
        <v>0</v>
      </c>
      <c r="I18" s="263">
        <v>0</v>
      </c>
      <c r="J18" s="263">
        <v>0</v>
      </c>
      <c r="K18" s="263">
        <v>44631232</v>
      </c>
      <c r="L18" s="263">
        <v>44631232</v>
      </c>
      <c r="M18" s="263">
        <v>6638093</v>
      </c>
      <c r="N18" s="263">
        <v>6638093</v>
      </c>
    </row>
    <row r="19" spans="1:14" s="156" customFormat="1" x14ac:dyDescent="0.25">
      <c r="A19" s="262" t="s">
        <v>542</v>
      </c>
      <c r="B19" s="262" t="s">
        <v>121</v>
      </c>
      <c r="C19" s="262" t="s">
        <v>599</v>
      </c>
      <c r="D19" s="262" t="s">
        <v>541</v>
      </c>
      <c r="E19" s="263">
        <v>16294000</v>
      </c>
      <c r="F19" s="263">
        <v>15138100</v>
      </c>
      <c r="G19" s="263">
        <v>15138100</v>
      </c>
      <c r="H19" s="263">
        <v>0</v>
      </c>
      <c r="I19" s="263">
        <v>0</v>
      </c>
      <c r="J19" s="263">
        <v>0</v>
      </c>
      <c r="K19" s="263">
        <v>13177091</v>
      </c>
      <c r="L19" s="263">
        <v>13177091</v>
      </c>
      <c r="M19" s="263">
        <v>1961009</v>
      </c>
      <c r="N19" s="263">
        <v>1961009</v>
      </c>
    </row>
    <row r="20" spans="1:14" s="156" customFormat="1" x14ac:dyDescent="0.25">
      <c r="A20" s="262" t="s">
        <v>542</v>
      </c>
      <c r="B20" s="262" t="s">
        <v>122</v>
      </c>
      <c r="C20" s="262" t="s">
        <v>600</v>
      </c>
      <c r="D20" s="262" t="s">
        <v>541</v>
      </c>
      <c r="E20" s="263">
        <v>32589000</v>
      </c>
      <c r="F20" s="263">
        <v>30277190</v>
      </c>
      <c r="G20" s="263">
        <v>30277190</v>
      </c>
      <c r="H20" s="263">
        <v>0</v>
      </c>
      <c r="I20" s="263">
        <v>0</v>
      </c>
      <c r="J20" s="263">
        <v>0</v>
      </c>
      <c r="K20" s="263">
        <v>26354176</v>
      </c>
      <c r="L20" s="263">
        <v>26354176</v>
      </c>
      <c r="M20" s="263">
        <v>3923014</v>
      </c>
      <c r="N20" s="263">
        <v>3923014</v>
      </c>
    </row>
    <row r="21" spans="1:14" s="156" customFormat="1" x14ac:dyDescent="0.25">
      <c r="A21" s="262" t="s">
        <v>542</v>
      </c>
      <c r="B21" s="262" t="s">
        <v>123</v>
      </c>
      <c r="C21" s="262" t="s">
        <v>124</v>
      </c>
      <c r="D21" s="262" t="s">
        <v>541</v>
      </c>
      <c r="E21" s="263">
        <v>342741579</v>
      </c>
      <c r="F21" s="263">
        <v>319393844</v>
      </c>
      <c r="G21" s="263">
        <v>319093844</v>
      </c>
      <c r="H21" s="263">
        <v>0</v>
      </c>
      <c r="I21" s="263">
        <v>0</v>
      </c>
      <c r="J21" s="263">
        <v>0</v>
      </c>
      <c r="K21" s="263">
        <v>242904075.81</v>
      </c>
      <c r="L21" s="263">
        <v>206487851.61000001</v>
      </c>
      <c r="M21" s="263">
        <v>76489768.189999998</v>
      </c>
      <c r="N21" s="263">
        <v>76189768.189999998</v>
      </c>
    </row>
    <row r="22" spans="1:14" s="156" customFormat="1" x14ac:dyDescent="0.25">
      <c r="A22" s="262" t="s">
        <v>542</v>
      </c>
      <c r="B22" s="262" t="s">
        <v>125</v>
      </c>
      <c r="C22" s="262" t="s">
        <v>126</v>
      </c>
      <c r="D22" s="262" t="s">
        <v>541</v>
      </c>
      <c r="E22" s="263">
        <v>125845446</v>
      </c>
      <c r="F22" s="263">
        <v>127845446</v>
      </c>
      <c r="G22" s="263">
        <v>127845446</v>
      </c>
      <c r="H22" s="263">
        <v>0</v>
      </c>
      <c r="I22" s="263">
        <v>0</v>
      </c>
      <c r="J22" s="263">
        <v>0</v>
      </c>
      <c r="K22" s="263">
        <v>95760018.680000007</v>
      </c>
      <c r="L22" s="263">
        <v>67426449.480000004</v>
      </c>
      <c r="M22" s="263">
        <v>32085427.32</v>
      </c>
      <c r="N22" s="263">
        <v>32085427.32</v>
      </c>
    </row>
    <row r="23" spans="1:14" s="156" customFormat="1" x14ac:dyDescent="0.25">
      <c r="A23" s="262" t="s">
        <v>542</v>
      </c>
      <c r="B23" s="262" t="s">
        <v>127</v>
      </c>
      <c r="C23" s="262" t="s">
        <v>128</v>
      </c>
      <c r="D23" s="262" t="s">
        <v>541</v>
      </c>
      <c r="E23" s="263">
        <v>125765446</v>
      </c>
      <c r="F23" s="263">
        <v>127765446</v>
      </c>
      <c r="G23" s="263">
        <v>127765446</v>
      </c>
      <c r="H23" s="263">
        <v>0</v>
      </c>
      <c r="I23" s="263">
        <v>0</v>
      </c>
      <c r="J23" s="263">
        <v>0</v>
      </c>
      <c r="K23" s="263">
        <v>95685268.680000007</v>
      </c>
      <c r="L23" s="263">
        <v>67351699.480000004</v>
      </c>
      <c r="M23" s="263">
        <v>32080177.32</v>
      </c>
      <c r="N23" s="263">
        <v>32080177.32</v>
      </c>
    </row>
    <row r="24" spans="1:14" s="156" customFormat="1" x14ac:dyDescent="0.25">
      <c r="A24" s="262" t="s">
        <v>542</v>
      </c>
      <c r="B24" s="262" t="s">
        <v>129</v>
      </c>
      <c r="C24" s="262" t="s">
        <v>130</v>
      </c>
      <c r="D24" s="262" t="s">
        <v>541</v>
      </c>
      <c r="E24" s="263">
        <v>80000</v>
      </c>
      <c r="F24" s="263">
        <v>80000</v>
      </c>
      <c r="G24" s="263">
        <v>80000</v>
      </c>
      <c r="H24" s="263">
        <v>0</v>
      </c>
      <c r="I24" s="263">
        <v>0</v>
      </c>
      <c r="J24" s="263">
        <v>0</v>
      </c>
      <c r="K24" s="263">
        <v>74750</v>
      </c>
      <c r="L24" s="263">
        <v>74750</v>
      </c>
      <c r="M24" s="263">
        <v>5250</v>
      </c>
      <c r="N24" s="263">
        <v>5250</v>
      </c>
    </row>
    <row r="25" spans="1:14" s="156" customFormat="1" x14ac:dyDescent="0.25">
      <c r="A25" s="262" t="s">
        <v>542</v>
      </c>
      <c r="B25" s="262" t="s">
        <v>131</v>
      </c>
      <c r="C25" s="262" t="s">
        <v>132</v>
      </c>
      <c r="D25" s="262" t="s">
        <v>541</v>
      </c>
      <c r="E25" s="263">
        <v>131428353</v>
      </c>
      <c r="F25" s="263">
        <v>109241753</v>
      </c>
      <c r="G25" s="263">
        <v>109241753</v>
      </c>
      <c r="H25" s="263">
        <v>0</v>
      </c>
      <c r="I25" s="263">
        <v>0</v>
      </c>
      <c r="J25" s="263">
        <v>0</v>
      </c>
      <c r="K25" s="263">
        <v>86942503.560000002</v>
      </c>
      <c r="L25" s="263">
        <v>86942503.560000002</v>
      </c>
      <c r="M25" s="263">
        <v>22299249.440000001</v>
      </c>
      <c r="N25" s="263">
        <v>22299249.440000001</v>
      </c>
    </row>
    <row r="26" spans="1:14" s="156" customFormat="1" x14ac:dyDescent="0.25">
      <c r="A26" s="262" t="s">
        <v>542</v>
      </c>
      <c r="B26" s="262" t="s">
        <v>133</v>
      </c>
      <c r="C26" s="262" t="s">
        <v>134</v>
      </c>
      <c r="D26" s="262" t="s">
        <v>541</v>
      </c>
      <c r="E26" s="263">
        <v>4971429</v>
      </c>
      <c r="F26" s="263">
        <v>8971429</v>
      </c>
      <c r="G26" s="263">
        <v>8971429</v>
      </c>
      <c r="H26" s="263">
        <v>0</v>
      </c>
      <c r="I26" s="263">
        <v>0</v>
      </c>
      <c r="J26" s="263">
        <v>0</v>
      </c>
      <c r="K26" s="263">
        <v>5229200</v>
      </c>
      <c r="L26" s="263">
        <v>5229200</v>
      </c>
      <c r="M26" s="263">
        <v>3742229</v>
      </c>
      <c r="N26" s="263">
        <v>3742229</v>
      </c>
    </row>
    <row r="27" spans="1:14" s="156" customFormat="1" x14ac:dyDescent="0.25">
      <c r="A27" s="262" t="s">
        <v>542</v>
      </c>
      <c r="B27" s="262" t="s">
        <v>135</v>
      </c>
      <c r="C27" s="262" t="s">
        <v>136</v>
      </c>
      <c r="D27" s="262" t="s">
        <v>541</v>
      </c>
      <c r="E27" s="263">
        <v>56000000</v>
      </c>
      <c r="F27" s="263">
        <v>56000000</v>
      </c>
      <c r="G27" s="263">
        <v>56000000</v>
      </c>
      <c r="H27" s="263">
        <v>0</v>
      </c>
      <c r="I27" s="263">
        <v>0</v>
      </c>
      <c r="J27" s="263">
        <v>0</v>
      </c>
      <c r="K27" s="263">
        <v>47872045</v>
      </c>
      <c r="L27" s="263">
        <v>47872045</v>
      </c>
      <c r="M27" s="263">
        <v>8127955</v>
      </c>
      <c r="N27" s="263">
        <v>8127955</v>
      </c>
    </row>
    <row r="28" spans="1:14" s="156" customFormat="1" x14ac:dyDescent="0.25">
      <c r="A28" s="262" t="s">
        <v>542</v>
      </c>
      <c r="B28" s="262" t="s">
        <v>137</v>
      </c>
      <c r="C28" s="262" t="s">
        <v>138</v>
      </c>
      <c r="D28" s="262" t="s">
        <v>541</v>
      </c>
      <c r="E28" s="263">
        <v>20000</v>
      </c>
      <c r="F28" s="263">
        <v>20000</v>
      </c>
      <c r="G28" s="263">
        <v>20000</v>
      </c>
      <c r="H28" s="263">
        <v>0</v>
      </c>
      <c r="I28" s="263">
        <v>0</v>
      </c>
      <c r="J28" s="263">
        <v>0</v>
      </c>
      <c r="K28" s="263">
        <v>16400</v>
      </c>
      <c r="L28" s="263">
        <v>16400</v>
      </c>
      <c r="M28" s="263">
        <v>3600</v>
      </c>
      <c r="N28" s="263">
        <v>3600</v>
      </c>
    </row>
    <row r="29" spans="1:14" s="156" customFormat="1" x14ac:dyDescent="0.25">
      <c r="A29" s="262" t="s">
        <v>542</v>
      </c>
      <c r="B29" s="262" t="s">
        <v>139</v>
      </c>
      <c r="C29" s="262" t="s">
        <v>140</v>
      </c>
      <c r="D29" s="262" t="s">
        <v>541</v>
      </c>
      <c r="E29" s="263">
        <v>70076924</v>
      </c>
      <c r="F29" s="263">
        <v>44076924</v>
      </c>
      <c r="G29" s="263">
        <v>44076924</v>
      </c>
      <c r="H29" s="263">
        <v>0</v>
      </c>
      <c r="I29" s="263">
        <v>0</v>
      </c>
      <c r="J29" s="263">
        <v>0</v>
      </c>
      <c r="K29" s="263">
        <v>33741458.560000002</v>
      </c>
      <c r="L29" s="263">
        <v>33741458.560000002</v>
      </c>
      <c r="M29" s="263">
        <v>10335465.439999999</v>
      </c>
      <c r="N29" s="263">
        <v>10335465.439999999</v>
      </c>
    </row>
    <row r="30" spans="1:14" s="156" customFormat="1" x14ac:dyDescent="0.25">
      <c r="A30" s="262" t="s">
        <v>542</v>
      </c>
      <c r="B30" s="262" t="s">
        <v>141</v>
      </c>
      <c r="C30" s="262" t="s">
        <v>142</v>
      </c>
      <c r="D30" s="262" t="s">
        <v>541</v>
      </c>
      <c r="E30" s="263">
        <v>360000</v>
      </c>
      <c r="F30" s="263">
        <v>173400</v>
      </c>
      <c r="G30" s="263">
        <v>173400</v>
      </c>
      <c r="H30" s="263">
        <v>0</v>
      </c>
      <c r="I30" s="263">
        <v>0</v>
      </c>
      <c r="J30" s="263">
        <v>0</v>
      </c>
      <c r="K30" s="263">
        <v>83400</v>
      </c>
      <c r="L30" s="263">
        <v>83400</v>
      </c>
      <c r="M30" s="263">
        <v>90000</v>
      </c>
      <c r="N30" s="263">
        <v>90000</v>
      </c>
    </row>
    <row r="31" spans="1:14" s="156" customFormat="1" x14ac:dyDescent="0.25">
      <c r="A31" s="262" t="s">
        <v>542</v>
      </c>
      <c r="B31" s="262" t="s">
        <v>143</v>
      </c>
      <c r="C31" s="262" t="s">
        <v>144</v>
      </c>
      <c r="D31" s="262" t="s">
        <v>541</v>
      </c>
      <c r="E31" s="263">
        <v>8700000</v>
      </c>
      <c r="F31" s="263">
        <v>11200000</v>
      </c>
      <c r="G31" s="263">
        <v>11200000</v>
      </c>
      <c r="H31" s="263">
        <v>0</v>
      </c>
      <c r="I31" s="263">
        <v>0</v>
      </c>
      <c r="J31" s="263">
        <v>0</v>
      </c>
      <c r="K31" s="263">
        <v>9239250</v>
      </c>
      <c r="L31" s="263">
        <v>7139530</v>
      </c>
      <c r="M31" s="263">
        <v>1960750</v>
      </c>
      <c r="N31" s="263">
        <v>1960750</v>
      </c>
    </row>
    <row r="32" spans="1:14" s="156" customFormat="1" x14ac:dyDescent="0.25">
      <c r="A32" s="262" t="s">
        <v>542</v>
      </c>
      <c r="B32" s="262" t="s">
        <v>145</v>
      </c>
      <c r="C32" s="262" t="s">
        <v>146</v>
      </c>
      <c r="D32" s="262" t="s">
        <v>541</v>
      </c>
      <c r="E32" s="263">
        <v>7000000</v>
      </c>
      <c r="F32" s="263">
        <v>9000000</v>
      </c>
      <c r="G32" s="263">
        <v>9000000</v>
      </c>
      <c r="H32" s="263">
        <v>0</v>
      </c>
      <c r="I32" s="263">
        <v>0</v>
      </c>
      <c r="J32" s="263">
        <v>0</v>
      </c>
      <c r="K32" s="263">
        <v>8864250</v>
      </c>
      <c r="L32" s="263">
        <v>6764530</v>
      </c>
      <c r="M32" s="263">
        <v>135750</v>
      </c>
      <c r="N32" s="263">
        <v>135750</v>
      </c>
    </row>
    <row r="33" spans="1:14" s="156" customFormat="1" x14ac:dyDescent="0.25">
      <c r="A33" s="262" t="s">
        <v>542</v>
      </c>
      <c r="B33" s="262" t="s">
        <v>147</v>
      </c>
      <c r="C33" s="262" t="s">
        <v>148</v>
      </c>
      <c r="D33" s="262" t="s">
        <v>541</v>
      </c>
      <c r="E33" s="263">
        <v>1650000</v>
      </c>
      <c r="F33" s="263">
        <v>1650000</v>
      </c>
      <c r="G33" s="263">
        <v>1650000</v>
      </c>
      <c r="H33" s="263">
        <v>0</v>
      </c>
      <c r="I33" s="263">
        <v>0</v>
      </c>
      <c r="J33" s="263">
        <v>0</v>
      </c>
      <c r="K33" s="263">
        <v>375000</v>
      </c>
      <c r="L33" s="263">
        <v>375000</v>
      </c>
      <c r="M33" s="263">
        <v>1275000</v>
      </c>
      <c r="N33" s="263">
        <v>1275000</v>
      </c>
    </row>
    <row r="34" spans="1:14" s="156" customFormat="1" x14ac:dyDescent="0.25">
      <c r="A34" s="262" t="s">
        <v>542</v>
      </c>
      <c r="B34" s="262" t="s">
        <v>149</v>
      </c>
      <c r="C34" s="262" t="s">
        <v>150</v>
      </c>
      <c r="D34" s="262" t="s">
        <v>541</v>
      </c>
      <c r="E34" s="263">
        <v>50000</v>
      </c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0</v>
      </c>
      <c r="N34" s="263">
        <v>0</v>
      </c>
    </row>
    <row r="35" spans="1:14" s="156" customFormat="1" x14ac:dyDescent="0.25">
      <c r="A35" s="262" t="s">
        <v>542</v>
      </c>
      <c r="B35" s="262" t="s">
        <v>326</v>
      </c>
      <c r="C35" s="262" t="s">
        <v>327</v>
      </c>
      <c r="D35" s="262" t="s">
        <v>541</v>
      </c>
      <c r="E35" s="263">
        <v>0</v>
      </c>
      <c r="F35" s="263">
        <v>550000</v>
      </c>
      <c r="G35" s="263">
        <v>550000</v>
      </c>
      <c r="H35" s="263">
        <v>0</v>
      </c>
      <c r="I35" s="263">
        <v>0</v>
      </c>
      <c r="J35" s="263">
        <v>0</v>
      </c>
      <c r="K35" s="263">
        <v>0</v>
      </c>
      <c r="L35" s="263">
        <v>0</v>
      </c>
      <c r="M35" s="263">
        <v>550000</v>
      </c>
      <c r="N35" s="263">
        <v>550000</v>
      </c>
    </row>
    <row r="36" spans="1:14" s="156" customFormat="1" x14ac:dyDescent="0.25">
      <c r="A36" s="262" t="s">
        <v>542</v>
      </c>
      <c r="B36" s="262" t="s">
        <v>151</v>
      </c>
      <c r="C36" s="262" t="s">
        <v>152</v>
      </c>
      <c r="D36" s="262" t="s">
        <v>541</v>
      </c>
      <c r="E36" s="263">
        <v>5851429</v>
      </c>
      <c r="F36" s="263">
        <v>1771429</v>
      </c>
      <c r="G36" s="263">
        <v>1771429</v>
      </c>
      <c r="H36" s="263">
        <v>0</v>
      </c>
      <c r="I36" s="263">
        <v>0</v>
      </c>
      <c r="J36" s="263">
        <v>0</v>
      </c>
      <c r="K36" s="263">
        <v>1288281</v>
      </c>
      <c r="L36" s="263">
        <v>1288281</v>
      </c>
      <c r="M36" s="263">
        <v>483148</v>
      </c>
      <c r="N36" s="263">
        <v>483148</v>
      </c>
    </row>
    <row r="37" spans="1:14" s="156" customFormat="1" x14ac:dyDescent="0.25">
      <c r="A37" s="262" t="s">
        <v>542</v>
      </c>
      <c r="B37" s="262" t="s">
        <v>154</v>
      </c>
      <c r="C37" s="262" t="s">
        <v>155</v>
      </c>
      <c r="D37" s="262" t="s">
        <v>541</v>
      </c>
      <c r="E37" s="263">
        <v>3080000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263">
        <v>0</v>
      </c>
      <c r="L37" s="263">
        <v>0</v>
      </c>
      <c r="M37" s="263">
        <v>0</v>
      </c>
      <c r="N37" s="263">
        <v>0</v>
      </c>
    </row>
    <row r="38" spans="1:14" s="156" customFormat="1" x14ac:dyDescent="0.25">
      <c r="A38" s="262" t="s">
        <v>542</v>
      </c>
      <c r="B38" s="262" t="s">
        <v>156</v>
      </c>
      <c r="C38" s="262" t="s">
        <v>157</v>
      </c>
      <c r="D38" s="262" t="s">
        <v>541</v>
      </c>
      <c r="E38" s="263">
        <v>2771429</v>
      </c>
      <c r="F38" s="263">
        <v>1771429</v>
      </c>
      <c r="G38" s="263">
        <v>1771429</v>
      </c>
      <c r="H38" s="263">
        <v>0</v>
      </c>
      <c r="I38" s="263">
        <v>0</v>
      </c>
      <c r="J38" s="263">
        <v>0</v>
      </c>
      <c r="K38" s="263">
        <v>1288281</v>
      </c>
      <c r="L38" s="263">
        <v>1288281</v>
      </c>
      <c r="M38" s="263">
        <v>483148</v>
      </c>
      <c r="N38" s="263">
        <v>483148</v>
      </c>
    </row>
    <row r="39" spans="1:14" s="156" customFormat="1" x14ac:dyDescent="0.25">
      <c r="A39" s="262" t="s">
        <v>542</v>
      </c>
      <c r="B39" s="262" t="s">
        <v>158</v>
      </c>
      <c r="C39" s="262" t="s">
        <v>159</v>
      </c>
      <c r="D39" s="262" t="s">
        <v>541</v>
      </c>
      <c r="E39" s="263">
        <v>17774865</v>
      </c>
      <c r="F39" s="263">
        <v>18774865</v>
      </c>
      <c r="G39" s="263">
        <v>18774865</v>
      </c>
      <c r="H39" s="263">
        <v>0</v>
      </c>
      <c r="I39" s="263">
        <v>0</v>
      </c>
      <c r="J39" s="263">
        <v>0</v>
      </c>
      <c r="K39" s="263">
        <v>13703035.4</v>
      </c>
      <c r="L39" s="263">
        <v>13703035.4</v>
      </c>
      <c r="M39" s="263">
        <v>5071829.5999999996</v>
      </c>
      <c r="N39" s="263">
        <v>5071829.5999999996</v>
      </c>
    </row>
    <row r="40" spans="1:14" s="156" customFormat="1" x14ac:dyDescent="0.25">
      <c r="A40" s="262" t="s">
        <v>542</v>
      </c>
      <c r="B40" s="262" t="s">
        <v>160</v>
      </c>
      <c r="C40" s="262" t="s">
        <v>161</v>
      </c>
      <c r="D40" s="262" t="s">
        <v>541</v>
      </c>
      <c r="E40" s="263">
        <v>100000</v>
      </c>
      <c r="F40" s="263">
        <v>100000</v>
      </c>
      <c r="G40" s="263">
        <v>100000</v>
      </c>
      <c r="H40" s="263">
        <v>0</v>
      </c>
      <c r="I40" s="263">
        <v>0</v>
      </c>
      <c r="J40" s="263">
        <v>0</v>
      </c>
      <c r="K40" s="263">
        <v>0</v>
      </c>
      <c r="L40" s="263">
        <v>0</v>
      </c>
      <c r="M40" s="263">
        <v>100000</v>
      </c>
      <c r="N40" s="263">
        <v>100000</v>
      </c>
    </row>
    <row r="41" spans="1:14" s="156" customFormat="1" x14ac:dyDescent="0.25">
      <c r="A41" s="262" t="s">
        <v>542</v>
      </c>
      <c r="B41" s="262" t="s">
        <v>162</v>
      </c>
      <c r="C41" s="262" t="s">
        <v>163</v>
      </c>
      <c r="D41" s="262" t="s">
        <v>541</v>
      </c>
      <c r="E41" s="263">
        <v>6685715</v>
      </c>
      <c r="F41" s="263">
        <v>7685715</v>
      </c>
      <c r="G41" s="263">
        <v>7685715</v>
      </c>
      <c r="H41" s="263">
        <v>0</v>
      </c>
      <c r="I41" s="263">
        <v>0</v>
      </c>
      <c r="J41" s="263">
        <v>0</v>
      </c>
      <c r="K41" s="263">
        <v>6687900</v>
      </c>
      <c r="L41" s="263">
        <v>6687900</v>
      </c>
      <c r="M41" s="263">
        <v>997815</v>
      </c>
      <c r="N41" s="263">
        <v>997815</v>
      </c>
    </row>
    <row r="42" spans="1:14" s="156" customFormat="1" x14ac:dyDescent="0.25">
      <c r="A42" s="262" t="s">
        <v>542</v>
      </c>
      <c r="B42" s="262" t="s">
        <v>164</v>
      </c>
      <c r="C42" s="262" t="s">
        <v>165</v>
      </c>
      <c r="D42" s="262" t="s">
        <v>541</v>
      </c>
      <c r="E42" s="263">
        <v>5170968</v>
      </c>
      <c r="F42" s="263">
        <v>5170968</v>
      </c>
      <c r="G42" s="263">
        <v>5170968</v>
      </c>
      <c r="H42" s="263">
        <v>0</v>
      </c>
      <c r="I42" s="263">
        <v>0</v>
      </c>
      <c r="J42" s="263">
        <v>0</v>
      </c>
      <c r="K42" s="263">
        <v>3655782.48</v>
      </c>
      <c r="L42" s="263">
        <v>3655782.48</v>
      </c>
      <c r="M42" s="263">
        <v>1515185.52</v>
      </c>
      <c r="N42" s="263">
        <v>1515185.52</v>
      </c>
    </row>
    <row r="43" spans="1:14" s="156" customFormat="1" x14ac:dyDescent="0.25">
      <c r="A43" s="262" t="s">
        <v>542</v>
      </c>
      <c r="B43" s="262" t="s">
        <v>166</v>
      </c>
      <c r="C43" s="262" t="s">
        <v>167</v>
      </c>
      <c r="D43" s="262" t="s">
        <v>541</v>
      </c>
      <c r="E43" s="263">
        <v>5818182</v>
      </c>
      <c r="F43" s="263">
        <v>5818182</v>
      </c>
      <c r="G43" s="263">
        <v>5818182</v>
      </c>
      <c r="H43" s="263">
        <v>0</v>
      </c>
      <c r="I43" s="263">
        <v>0</v>
      </c>
      <c r="J43" s="263">
        <v>0</v>
      </c>
      <c r="K43" s="263">
        <v>3359352.92</v>
      </c>
      <c r="L43" s="263">
        <v>3359352.92</v>
      </c>
      <c r="M43" s="263">
        <v>2458829.08</v>
      </c>
      <c r="N43" s="263">
        <v>2458829.08</v>
      </c>
    </row>
    <row r="44" spans="1:14" s="156" customFormat="1" x14ac:dyDescent="0.25">
      <c r="A44" s="262" t="s">
        <v>542</v>
      </c>
      <c r="B44" s="262" t="s">
        <v>168</v>
      </c>
      <c r="C44" s="262" t="s">
        <v>169</v>
      </c>
      <c r="D44" s="262" t="s">
        <v>541</v>
      </c>
      <c r="E44" s="263">
        <v>32290000</v>
      </c>
      <c r="F44" s="263">
        <v>32290000</v>
      </c>
      <c r="G44" s="263">
        <v>32290000</v>
      </c>
      <c r="H44" s="263">
        <v>0</v>
      </c>
      <c r="I44" s="263">
        <v>0</v>
      </c>
      <c r="J44" s="263">
        <v>0</v>
      </c>
      <c r="K44" s="263">
        <v>22130025</v>
      </c>
      <c r="L44" s="263">
        <v>22130025</v>
      </c>
      <c r="M44" s="263">
        <v>10159975</v>
      </c>
      <c r="N44" s="263">
        <v>10159975</v>
      </c>
    </row>
    <row r="45" spans="1:14" s="156" customFormat="1" x14ac:dyDescent="0.25">
      <c r="A45" s="262" t="s">
        <v>542</v>
      </c>
      <c r="B45" s="262" t="s">
        <v>170</v>
      </c>
      <c r="C45" s="262" t="s">
        <v>171</v>
      </c>
      <c r="D45" s="262" t="s">
        <v>541</v>
      </c>
      <c r="E45" s="263">
        <v>32290000</v>
      </c>
      <c r="F45" s="263">
        <v>32290000</v>
      </c>
      <c r="G45" s="263">
        <v>32290000</v>
      </c>
      <c r="H45" s="263">
        <v>0</v>
      </c>
      <c r="I45" s="263">
        <v>0</v>
      </c>
      <c r="J45" s="263">
        <v>0</v>
      </c>
      <c r="K45" s="263">
        <v>22130025</v>
      </c>
      <c r="L45" s="263">
        <v>22130025</v>
      </c>
      <c r="M45" s="263">
        <v>10159975</v>
      </c>
      <c r="N45" s="263">
        <v>10159975</v>
      </c>
    </row>
    <row r="46" spans="1:14" s="156" customFormat="1" x14ac:dyDescent="0.25">
      <c r="A46" s="262" t="s">
        <v>542</v>
      </c>
      <c r="B46" s="262" t="s">
        <v>172</v>
      </c>
      <c r="C46" s="262" t="s">
        <v>173</v>
      </c>
      <c r="D46" s="262" t="s">
        <v>541</v>
      </c>
      <c r="E46" s="263">
        <v>2150000</v>
      </c>
      <c r="F46" s="263">
        <v>300000</v>
      </c>
      <c r="G46" s="263">
        <v>0</v>
      </c>
      <c r="H46" s="263">
        <v>0</v>
      </c>
      <c r="I46" s="263">
        <v>0</v>
      </c>
      <c r="J46" s="263">
        <v>0</v>
      </c>
      <c r="K46" s="263">
        <v>0</v>
      </c>
      <c r="L46" s="263">
        <v>0</v>
      </c>
      <c r="M46" s="263">
        <v>300000</v>
      </c>
      <c r="N46" s="263">
        <v>0</v>
      </c>
    </row>
    <row r="47" spans="1:14" s="156" customFormat="1" x14ac:dyDescent="0.25">
      <c r="A47" s="262" t="s">
        <v>542</v>
      </c>
      <c r="B47" s="262" t="s">
        <v>309</v>
      </c>
      <c r="C47" s="262" t="s">
        <v>310</v>
      </c>
      <c r="D47" s="262" t="s">
        <v>541</v>
      </c>
      <c r="E47" s="263">
        <v>0</v>
      </c>
      <c r="F47" s="263">
        <v>0</v>
      </c>
      <c r="G47" s="263">
        <v>0</v>
      </c>
      <c r="H47" s="263">
        <v>0</v>
      </c>
      <c r="I47" s="263">
        <v>0</v>
      </c>
      <c r="J47" s="263">
        <v>0</v>
      </c>
      <c r="K47" s="263">
        <v>0</v>
      </c>
      <c r="L47" s="263">
        <v>0</v>
      </c>
      <c r="M47" s="263">
        <v>0</v>
      </c>
      <c r="N47" s="263">
        <v>0</v>
      </c>
    </row>
    <row r="48" spans="1:14" s="156" customFormat="1" x14ac:dyDescent="0.25">
      <c r="A48" s="262" t="s">
        <v>542</v>
      </c>
      <c r="B48" s="262" t="s">
        <v>174</v>
      </c>
      <c r="C48" s="262" t="s">
        <v>175</v>
      </c>
      <c r="D48" s="262" t="s">
        <v>541</v>
      </c>
      <c r="E48" s="263">
        <v>1550000</v>
      </c>
      <c r="F48" s="263">
        <v>0</v>
      </c>
      <c r="G48" s="263">
        <v>0</v>
      </c>
      <c r="H48" s="263">
        <v>0</v>
      </c>
      <c r="I48" s="263">
        <v>0</v>
      </c>
      <c r="J48" s="263">
        <v>0</v>
      </c>
      <c r="K48" s="263">
        <v>0</v>
      </c>
      <c r="L48" s="263">
        <v>0</v>
      </c>
      <c r="M48" s="263">
        <v>0</v>
      </c>
      <c r="N48" s="263">
        <v>0</v>
      </c>
    </row>
    <row r="49" spans="1:14" s="156" customFormat="1" x14ac:dyDescent="0.25">
      <c r="A49" s="262" t="s">
        <v>542</v>
      </c>
      <c r="B49" s="262" t="s">
        <v>176</v>
      </c>
      <c r="C49" s="262" t="s">
        <v>177</v>
      </c>
      <c r="D49" s="262" t="s">
        <v>541</v>
      </c>
      <c r="E49" s="263">
        <v>600000</v>
      </c>
      <c r="F49" s="263">
        <v>300000</v>
      </c>
      <c r="G49" s="263">
        <v>0</v>
      </c>
      <c r="H49" s="263">
        <v>0</v>
      </c>
      <c r="I49" s="263">
        <v>0</v>
      </c>
      <c r="J49" s="263">
        <v>0</v>
      </c>
      <c r="K49" s="263">
        <v>0</v>
      </c>
      <c r="L49" s="263">
        <v>0</v>
      </c>
      <c r="M49" s="263">
        <v>300000</v>
      </c>
      <c r="N49" s="263">
        <v>0</v>
      </c>
    </row>
    <row r="50" spans="1:14" s="156" customFormat="1" x14ac:dyDescent="0.25">
      <c r="A50" s="262" t="s">
        <v>542</v>
      </c>
      <c r="B50" s="262" t="s">
        <v>178</v>
      </c>
      <c r="C50" s="262" t="s">
        <v>179</v>
      </c>
      <c r="D50" s="262" t="s">
        <v>541</v>
      </c>
      <c r="E50" s="263">
        <v>17019667</v>
      </c>
      <c r="F50" s="263">
        <v>14719667</v>
      </c>
      <c r="G50" s="263">
        <v>14719667</v>
      </c>
      <c r="H50" s="263">
        <v>0</v>
      </c>
      <c r="I50" s="263">
        <v>0</v>
      </c>
      <c r="J50" s="263">
        <v>0</v>
      </c>
      <c r="K50" s="263">
        <v>12722431.17</v>
      </c>
      <c r="L50" s="263">
        <v>7503556.1699999999</v>
      </c>
      <c r="M50" s="263">
        <v>1997235.83</v>
      </c>
      <c r="N50" s="263">
        <v>1997235.83</v>
      </c>
    </row>
    <row r="51" spans="1:14" s="156" customFormat="1" x14ac:dyDescent="0.25">
      <c r="A51" s="262" t="s">
        <v>542</v>
      </c>
      <c r="B51" s="262" t="s">
        <v>332</v>
      </c>
      <c r="C51" s="262" t="s">
        <v>333</v>
      </c>
      <c r="D51" s="262" t="s">
        <v>541</v>
      </c>
      <c r="E51" s="263">
        <v>300000</v>
      </c>
      <c r="F51" s="263">
        <v>0</v>
      </c>
      <c r="G51" s="263">
        <v>0</v>
      </c>
      <c r="H51" s="263">
        <v>0</v>
      </c>
      <c r="I51" s="263">
        <v>0</v>
      </c>
      <c r="J51" s="263">
        <v>0</v>
      </c>
      <c r="K51" s="263">
        <v>0</v>
      </c>
      <c r="L51" s="263">
        <v>0</v>
      </c>
      <c r="M51" s="263">
        <v>0</v>
      </c>
      <c r="N51" s="263">
        <v>0</v>
      </c>
    </row>
    <row r="52" spans="1:14" s="156" customFormat="1" x14ac:dyDescent="0.25">
      <c r="A52" s="262" t="s">
        <v>542</v>
      </c>
      <c r="B52" s="262" t="s">
        <v>182</v>
      </c>
      <c r="C52" s="262" t="s">
        <v>183</v>
      </c>
      <c r="D52" s="262" t="s">
        <v>541</v>
      </c>
      <c r="E52" s="263">
        <v>9066667</v>
      </c>
      <c r="F52" s="263">
        <v>9066667</v>
      </c>
      <c r="G52" s="263">
        <v>9066667</v>
      </c>
      <c r="H52" s="263">
        <v>0</v>
      </c>
      <c r="I52" s="263">
        <v>0</v>
      </c>
      <c r="J52" s="263">
        <v>0</v>
      </c>
      <c r="K52" s="263">
        <v>9009321</v>
      </c>
      <c r="L52" s="263">
        <v>4263921</v>
      </c>
      <c r="M52" s="263">
        <v>57346</v>
      </c>
      <c r="N52" s="263">
        <v>57346</v>
      </c>
    </row>
    <row r="53" spans="1:14" s="156" customFormat="1" x14ac:dyDescent="0.25">
      <c r="A53" s="262" t="s">
        <v>542</v>
      </c>
      <c r="B53" s="262" t="s">
        <v>186</v>
      </c>
      <c r="C53" s="262" t="s">
        <v>187</v>
      </c>
      <c r="D53" s="262" t="s">
        <v>541</v>
      </c>
      <c r="E53" s="263">
        <v>2900000</v>
      </c>
      <c r="F53" s="263">
        <v>2900000</v>
      </c>
      <c r="G53" s="263">
        <v>2900000</v>
      </c>
      <c r="H53" s="263">
        <v>0</v>
      </c>
      <c r="I53" s="263">
        <v>0</v>
      </c>
      <c r="J53" s="263">
        <v>0</v>
      </c>
      <c r="K53" s="263">
        <v>2543900</v>
      </c>
      <c r="L53" s="263">
        <v>2393000</v>
      </c>
      <c r="M53" s="263">
        <v>356100</v>
      </c>
      <c r="N53" s="263">
        <v>356100</v>
      </c>
    </row>
    <row r="54" spans="1:14" s="156" customFormat="1" x14ac:dyDescent="0.25">
      <c r="A54" s="262" t="s">
        <v>542</v>
      </c>
      <c r="B54" s="262" t="s">
        <v>188</v>
      </c>
      <c r="C54" s="262" t="s">
        <v>189</v>
      </c>
      <c r="D54" s="262" t="s">
        <v>541</v>
      </c>
      <c r="E54" s="263">
        <v>393000</v>
      </c>
      <c r="F54" s="263">
        <v>393000</v>
      </c>
      <c r="G54" s="263">
        <v>393000</v>
      </c>
      <c r="H54" s="263">
        <v>0</v>
      </c>
      <c r="I54" s="263">
        <v>0</v>
      </c>
      <c r="J54" s="263">
        <v>0</v>
      </c>
      <c r="K54" s="263">
        <v>322575</v>
      </c>
      <c r="L54" s="263">
        <v>0</v>
      </c>
      <c r="M54" s="263">
        <v>70425</v>
      </c>
      <c r="N54" s="263">
        <v>70425</v>
      </c>
    </row>
    <row r="55" spans="1:14" s="156" customFormat="1" x14ac:dyDescent="0.25">
      <c r="A55" s="262" t="s">
        <v>542</v>
      </c>
      <c r="B55" s="262" t="s">
        <v>190</v>
      </c>
      <c r="C55" s="262" t="s">
        <v>191</v>
      </c>
      <c r="D55" s="262" t="s">
        <v>541</v>
      </c>
      <c r="E55" s="263">
        <v>4360000</v>
      </c>
      <c r="F55" s="263">
        <v>2360000</v>
      </c>
      <c r="G55" s="263">
        <v>2360000</v>
      </c>
      <c r="H55" s="263">
        <v>0</v>
      </c>
      <c r="I55" s="263">
        <v>0</v>
      </c>
      <c r="J55" s="263">
        <v>0</v>
      </c>
      <c r="K55" s="263">
        <v>846635.17</v>
      </c>
      <c r="L55" s="263">
        <v>846635.17</v>
      </c>
      <c r="M55" s="263">
        <v>1513364.83</v>
      </c>
      <c r="N55" s="263">
        <v>1513364.83</v>
      </c>
    </row>
    <row r="56" spans="1:14" s="156" customFormat="1" x14ac:dyDescent="0.25">
      <c r="A56" s="262" t="s">
        <v>542</v>
      </c>
      <c r="B56" s="262" t="s">
        <v>192</v>
      </c>
      <c r="C56" s="262" t="s">
        <v>193</v>
      </c>
      <c r="D56" s="262" t="s">
        <v>541</v>
      </c>
      <c r="E56" s="263">
        <v>681819</v>
      </c>
      <c r="F56" s="263">
        <v>1250684</v>
      </c>
      <c r="G56" s="263">
        <v>1250684</v>
      </c>
      <c r="H56" s="263">
        <v>0</v>
      </c>
      <c r="I56" s="263">
        <v>0</v>
      </c>
      <c r="J56" s="263">
        <v>0</v>
      </c>
      <c r="K56" s="263">
        <v>918531</v>
      </c>
      <c r="L56" s="263">
        <v>354471</v>
      </c>
      <c r="M56" s="263">
        <v>332153</v>
      </c>
      <c r="N56" s="263">
        <v>332153</v>
      </c>
    </row>
    <row r="57" spans="1:14" s="156" customFormat="1" x14ac:dyDescent="0.25">
      <c r="A57" s="262" t="s">
        <v>542</v>
      </c>
      <c r="B57" s="262" t="s">
        <v>194</v>
      </c>
      <c r="C57" s="262" t="s">
        <v>195</v>
      </c>
      <c r="D57" s="262" t="s">
        <v>541</v>
      </c>
      <c r="E57" s="263">
        <v>681819</v>
      </c>
      <c r="F57" s="263">
        <v>1250684</v>
      </c>
      <c r="G57" s="263">
        <v>1250684</v>
      </c>
      <c r="H57" s="263">
        <v>0</v>
      </c>
      <c r="I57" s="263">
        <v>0</v>
      </c>
      <c r="J57" s="263">
        <v>0</v>
      </c>
      <c r="K57" s="263">
        <v>918531</v>
      </c>
      <c r="L57" s="263">
        <v>354471</v>
      </c>
      <c r="M57" s="263">
        <v>332153</v>
      </c>
      <c r="N57" s="263">
        <v>332153</v>
      </c>
    </row>
    <row r="58" spans="1:14" s="156" customFormat="1" x14ac:dyDescent="0.25">
      <c r="A58" s="262" t="s">
        <v>542</v>
      </c>
      <c r="B58" s="262" t="s">
        <v>196</v>
      </c>
      <c r="C58" s="262" t="s">
        <v>197</v>
      </c>
      <c r="D58" s="262" t="s">
        <v>541</v>
      </c>
      <c r="E58" s="263">
        <v>1000000</v>
      </c>
      <c r="F58" s="263">
        <v>2000000</v>
      </c>
      <c r="G58" s="263">
        <v>2000000</v>
      </c>
      <c r="H58" s="263">
        <v>0</v>
      </c>
      <c r="I58" s="263">
        <v>0</v>
      </c>
      <c r="J58" s="263">
        <v>0</v>
      </c>
      <c r="K58" s="263">
        <v>200000</v>
      </c>
      <c r="L58" s="263">
        <v>0</v>
      </c>
      <c r="M58" s="263">
        <v>1800000</v>
      </c>
      <c r="N58" s="263">
        <v>1800000</v>
      </c>
    </row>
    <row r="59" spans="1:14" s="156" customFormat="1" x14ac:dyDescent="0.25">
      <c r="A59" s="262" t="s">
        <v>542</v>
      </c>
      <c r="B59" s="262" t="s">
        <v>334</v>
      </c>
      <c r="C59" s="262" t="s">
        <v>335</v>
      </c>
      <c r="D59" s="262" t="s">
        <v>541</v>
      </c>
      <c r="E59" s="263">
        <v>0</v>
      </c>
      <c r="F59" s="263">
        <v>1000000</v>
      </c>
      <c r="G59" s="263">
        <v>1000000</v>
      </c>
      <c r="H59" s="263">
        <v>0</v>
      </c>
      <c r="I59" s="263">
        <v>0</v>
      </c>
      <c r="J59" s="263">
        <v>0</v>
      </c>
      <c r="K59" s="263">
        <v>0</v>
      </c>
      <c r="L59" s="263">
        <v>0</v>
      </c>
      <c r="M59" s="263">
        <v>1000000</v>
      </c>
      <c r="N59" s="263">
        <v>1000000</v>
      </c>
    </row>
    <row r="60" spans="1:14" s="156" customFormat="1" x14ac:dyDescent="0.25">
      <c r="A60" s="262" t="s">
        <v>542</v>
      </c>
      <c r="B60" s="262" t="s">
        <v>198</v>
      </c>
      <c r="C60" s="262" t="s">
        <v>199</v>
      </c>
      <c r="D60" s="262" t="s">
        <v>541</v>
      </c>
      <c r="E60" s="263">
        <v>1000000</v>
      </c>
      <c r="F60" s="263">
        <v>1000000</v>
      </c>
      <c r="G60" s="263">
        <v>1000000</v>
      </c>
      <c r="H60" s="263">
        <v>0</v>
      </c>
      <c r="I60" s="263">
        <v>0</v>
      </c>
      <c r="J60" s="263">
        <v>0</v>
      </c>
      <c r="K60" s="263">
        <v>200000</v>
      </c>
      <c r="L60" s="263">
        <v>0</v>
      </c>
      <c r="M60" s="263">
        <v>800000</v>
      </c>
      <c r="N60" s="263">
        <v>800000</v>
      </c>
    </row>
    <row r="61" spans="1:14" s="156" customFormat="1" x14ac:dyDescent="0.25">
      <c r="A61" s="262" t="s">
        <v>542</v>
      </c>
      <c r="B61" s="262" t="s">
        <v>200</v>
      </c>
      <c r="C61" s="262" t="s">
        <v>201</v>
      </c>
      <c r="D61" s="262" t="s">
        <v>541</v>
      </c>
      <c r="E61" s="263">
        <v>42229000</v>
      </c>
      <c r="F61" s="263">
        <v>40854130</v>
      </c>
      <c r="G61" s="263">
        <v>40854130</v>
      </c>
      <c r="H61" s="263">
        <v>0</v>
      </c>
      <c r="I61" s="263">
        <v>0</v>
      </c>
      <c r="J61" s="263">
        <v>0</v>
      </c>
      <c r="K61" s="263">
        <v>37835526.719999999</v>
      </c>
      <c r="L61" s="263">
        <v>28440186.82</v>
      </c>
      <c r="M61" s="263">
        <v>3018603.28</v>
      </c>
      <c r="N61" s="263">
        <v>3018603.28</v>
      </c>
    </row>
    <row r="62" spans="1:14" s="156" customFormat="1" x14ac:dyDescent="0.25">
      <c r="A62" s="262" t="s">
        <v>542</v>
      </c>
      <c r="B62" s="262" t="s">
        <v>202</v>
      </c>
      <c r="C62" s="262" t="s">
        <v>203</v>
      </c>
      <c r="D62" s="262" t="s">
        <v>541</v>
      </c>
      <c r="E62" s="263">
        <v>17137000</v>
      </c>
      <c r="F62" s="263">
        <v>16174905</v>
      </c>
      <c r="G62" s="263">
        <v>16174905</v>
      </c>
      <c r="H62" s="263">
        <v>0</v>
      </c>
      <c r="I62" s="263">
        <v>0</v>
      </c>
      <c r="J62" s="263">
        <v>0</v>
      </c>
      <c r="K62" s="263">
        <v>14369750</v>
      </c>
      <c r="L62" s="263">
        <v>14369750</v>
      </c>
      <c r="M62" s="263">
        <v>1805155</v>
      </c>
      <c r="N62" s="263">
        <v>1805155</v>
      </c>
    </row>
    <row r="63" spans="1:14" s="156" customFormat="1" x14ac:dyDescent="0.25">
      <c r="A63" s="262" t="s">
        <v>542</v>
      </c>
      <c r="B63" s="262" t="s">
        <v>204</v>
      </c>
      <c r="C63" s="262" t="s">
        <v>205</v>
      </c>
      <c r="D63" s="262" t="s">
        <v>541</v>
      </c>
      <c r="E63" s="263">
        <v>11100000</v>
      </c>
      <c r="F63" s="263">
        <v>11100000</v>
      </c>
      <c r="G63" s="263">
        <v>11100000</v>
      </c>
      <c r="H63" s="263">
        <v>0</v>
      </c>
      <c r="I63" s="263">
        <v>0</v>
      </c>
      <c r="J63" s="263">
        <v>0</v>
      </c>
      <c r="K63" s="263">
        <v>9318065</v>
      </c>
      <c r="L63" s="263">
        <v>9318065</v>
      </c>
      <c r="M63" s="263">
        <v>1781935</v>
      </c>
      <c r="N63" s="263">
        <v>1781935</v>
      </c>
    </row>
    <row r="64" spans="1:14" s="156" customFormat="1" x14ac:dyDescent="0.25">
      <c r="A64" s="262" t="s">
        <v>542</v>
      </c>
      <c r="B64" s="262" t="s">
        <v>206</v>
      </c>
      <c r="C64" s="262" t="s">
        <v>207</v>
      </c>
      <c r="D64" s="262" t="s">
        <v>541</v>
      </c>
      <c r="E64" s="263">
        <v>5000000</v>
      </c>
      <c r="F64" s="263">
        <v>4948905</v>
      </c>
      <c r="G64" s="263">
        <v>4948905</v>
      </c>
      <c r="H64" s="263">
        <v>0</v>
      </c>
      <c r="I64" s="263">
        <v>0</v>
      </c>
      <c r="J64" s="263">
        <v>0</v>
      </c>
      <c r="K64" s="263">
        <v>4948905</v>
      </c>
      <c r="L64" s="263">
        <v>4948905</v>
      </c>
      <c r="M64" s="263">
        <v>0</v>
      </c>
      <c r="N64" s="263">
        <v>0</v>
      </c>
    </row>
    <row r="65" spans="1:14" s="156" customFormat="1" x14ac:dyDescent="0.25">
      <c r="A65" s="262" t="s">
        <v>542</v>
      </c>
      <c r="B65" s="262" t="s">
        <v>208</v>
      </c>
      <c r="C65" s="262" t="s">
        <v>209</v>
      </c>
      <c r="D65" s="262" t="s">
        <v>541</v>
      </c>
      <c r="E65" s="263">
        <v>126000</v>
      </c>
      <c r="F65" s="263">
        <v>126000</v>
      </c>
      <c r="G65" s="263">
        <v>126000</v>
      </c>
      <c r="H65" s="263">
        <v>0</v>
      </c>
      <c r="I65" s="263">
        <v>0</v>
      </c>
      <c r="J65" s="263">
        <v>0</v>
      </c>
      <c r="K65" s="263">
        <v>102780</v>
      </c>
      <c r="L65" s="263">
        <v>102780</v>
      </c>
      <c r="M65" s="263">
        <v>23220</v>
      </c>
      <c r="N65" s="263">
        <v>23220</v>
      </c>
    </row>
    <row r="66" spans="1:14" s="156" customFormat="1" x14ac:dyDescent="0.25">
      <c r="A66" s="262" t="s">
        <v>542</v>
      </c>
      <c r="B66" s="262" t="s">
        <v>210</v>
      </c>
      <c r="C66" s="262" t="s">
        <v>211</v>
      </c>
      <c r="D66" s="262" t="s">
        <v>541</v>
      </c>
      <c r="E66" s="263">
        <v>911000</v>
      </c>
      <c r="F66" s="263">
        <v>0</v>
      </c>
      <c r="G66" s="263">
        <v>0</v>
      </c>
      <c r="H66" s="263">
        <v>0</v>
      </c>
      <c r="I66" s="263">
        <v>0</v>
      </c>
      <c r="J66" s="263">
        <v>0</v>
      </c>
      <c r="K66" s="263">
        <v>0</v>
      </c>
      <c r="L66" s="263">
        <v>0</v>
      </c>
      <c r="M66" s="263">
        <v>0</v>
      </c>
      <c r="N66" s="263">
        <v>0</v>
      </c>
    </row>
    <row r="67" spans="1:14" s="156" customFormat="1" x14ac:dyDescent="0.25">
      <c r="A67" s="262" t="s">
        <v>542</v>
      </c>
      <c r="B67" s="262" t="s">
        <v>212</v>
      </c>
      <c r="C67" s="262" t="s">
        <v>213</v>
      </c>
      <c r="D67" s="262" t="s">
        <v>541</v>
      </c>
      <c r="E67" s="263">
        <v>3000000</v>
      </c>
      <c r="F67" s="263">
        <v>3000000</v>
      </c>
      <c r="G67" s="263">
        <v>3000000</v>
      </c>
      <c r="H67" s="263">
        <v>0</v>
      </c>
      <c r="I67" s="263">
        <v>0</v>
      </c>
      <c r="J67" s="263">
        <v>0</v>
      </c>
      <c r="K67" s="263">
        <v>2948599</v>
      </c>
      <c r="L67" s="263">
        <v>2948599</v>
      </c>
      <c r="M67" s="263">
        <v>51401</v>
      </c>
      <c r="N67" s="263">
        <v>51401</v>
      </c>
    </row>
    <row r="68" spans="1:14" s="156" customFormat="1" x14ac:dyDescent="0.25">
      <c r="A68" s="262" t="s">
        <v>542</v>
      </c>
      <c r="B68" s="262" t="s">
        <v>214</v>
      </c>
      <c r="C68" s="262" t="s">
        <v>215</v>
      </c>
      <c r="D68" s="262" t="s">
        <v>541</v>
      </c>
      <c r="E68" s="263">
        <v>3000000</v>
      </c>
      <c r="F68" s="263">
        <v>3000000</v>
      </c>
      <c r="G68" s="263">
        <v>3000000</v>
      </c>
      <c r="H68" s="263">
        <v>0</v>
      </c>
      <c r="I68" s="263">
        <v>0</v>
      </c>
      <c r="J68" s="263">
        <v>0</v>
      </c>
      <c r="K68" s="263">
        <v>2948599</v>
      </c>
      <c r="L68" s="263">
        <v>2948599</v>
      </c>
      <c r="M68" s="263">
        <v>51401</v>
      </c>
      <c r="N68" s="263">
        <v>51401</v>
      </c>
    </row>
    <row r="69" spans="1:14" s="156" customFormat="1" x14ac:dyDescent="0.25">
      <c r="A69" s="262" t="s">
        <v>542</v>
      </c>
      <c r="B69" s="262" t="s">
        <v>216</v>
      </c>
      <c r="C69" s="262" t="s">
        <v>217</v>
      </c>
      <c r="D69" s="262" t="s">
        <v>541</v>
      </c>
      <c r="E69" s="263">
        <v>936000</v>
      </c>
      <c r="F69" s="263">
        <v>753225</v>
      </c>
      <c r="G69" s="263">
        <v>753225</v>
      </c>
      <c r="H69" s="263">
        <v>0</v>
      </c>
      <c r="I69" s="263">
        <v>0</v>
      </c>
      <c r="J69" s="263">
        <v>0</v>
      </c>
      <c r="K69" s="263">
        <v>739656.5</v>
      </c>
      <c r="L69" s="263">
        <v>739656.5</v>
      </c>
      <c r="M69" s="263">
        <v>13568.5</v>
      </c>
      <c r="N69" s="263">
        <v>13568.5</v>
      </c>
    </row>
    <row r="70" spans="1:14" s="156" customFormat="1" x14ac:dyDescent="0.25">
      <c r="A70" s="262" t="s">
        <v>542</v>
      </c>
      <c r="B70" s="262" t="s">
        <v>220</v>
      </c>
      <c r="C70" s="262" t="s">
        <v>221</v>
      </c>
      <c r="D70" s="262" t="s">
        <v>541</v>
      </c>
      <c r="E70" s="263">
        <v>771000</v>
      </c>
      <c r="F70" s="263">
        <v>588225</v>
      </c>
      <c r="G70" s="263">
        <v>588225</v>
      </c>
      <c r="H70" s="263">
        <v>0</v>
      </c>
      <c r="I70" s="263">
        <v>0</v>
      </c>
      <c r="J70" s="263">
        <v>0</v>
      </c>
      <c r="K70" s="263">
        <v>577109.30000000005</v>
      </c>
      <c r="L70" s="263">
        <v>577109.30000000005</v>
      </c>
      <c r="M70" s="263">
        <v>11115.7</v>
      </c>
      <c r="N70" s="263">
        <v>11115.7</v>
      </c>
    </row>
    <row r="71" spans="1:14" s="156" customFormat="1" x14ac:dyDescent="0.25">
      <c r="A71" s="262" t="s">
        <v>542</v>
      </c>
      <c r="B71" s="262" t="s">
        <v>224</v>
      </c>
      <c r="C71" s="262" t="s">
        <v>225</v>
      </c>
      <c r="D71" s="262" t="s">
        <v>541</v>
      </c>
      <c r="E71" s="263">
        <v>165000</v>
      </c>
      <c r="F71" s="263">
        <v>165000</v>
      </c>
      <c r="G71" s="263">
        <v>165000</v>
      </c>
      <c r="H71" s="263">
        <v>0</v>
      </c>
      <c r="I71" s="263">
        <v>0</v>
      </c>
      <c r="J71" s="263">
        <v>0</v>
      </c>
      <c r="K71" s="263">
        <v>162547.20000000001</v>
      </c>
      <c r="L71" s="263">
        <v>162547.20000000001</v>
      </c>
      <c r="M71" s="263">
        <v>2452.8000000000002</v>
      </c>
      <c r="N71" s="263">
        <v>2452.8000000000002</v>
      </c>
    </row>
    <row r="72" spans="1:14" s="156" customFormat="1" x14ac:dyDescent="0.25">
      <c r="A72" s="262" t="s">
        <v>542</v>
      </c>
      <c r="B72" s="262" t="s">
        <v>228</v>
      </c>
      <c r="C72" s="262" t="s">
        <v>229</v>
      </c>
      <c r="D72" s="262" t="s">
        <v>541</v>
      </c>
      <c r="E72" s="263">
        <v>312000</v>
      </c>
      <c r="F72" s="263">
        <v>312000</v>
      </c>
      <c r="G72" s="263">
        <v>312000</v>
      </c>
      <c r="H72" s="263">
        <v>0</v>
      </c>
      <c r="I72" s="263">
        <v>0</v>
      </c>
      <c r="J72" s="263">
        <v>0</v>
      </c>
      <c r="K72" s="263">
        <v>244075</v>
      </c>
      <c r="L72" s="263">
        <v>154825</v>
      </c>
      <c r="M72" s="263">
        <v>67925</v>
      </c>
      <c r="N72" s="263">
        <v>67925</v>
      </c>
    </row>
    <row r="73" spans="1:14" s="156" customFormat="1" x14ac:dyDescent="0.25">
      <c r="A73" s="262" t="s">
        <v>542</v>
      </c>
      <c r="B73" s="262" t="s">
        <v>230</v>
      </c>
      <c r="C73" s="262" t="s">
        <v>231</v>
      </c>
      <c r="D73" s="262" t="s">
        <v>541</v>
      </c>
      <c r="E73" s="263">
        <v>206000</v>
      </c>
      <c r="F73" s="263">
        <v>206000</v>
      </c>
      <c r="G73" s="263">
        <v>206000</v>
      </c>
      <c r="H73" s="263">
        <v>0</v>
      </c>
      <c r="I73" s="263">
        <v>0</v>
      </c>
      <c r="J73" s="263">
        <v>0</v>
      </c>
      <c r="K73" s="263">
        <v>154825</v>
      </c>
      <c r="L73" s="263">
        <v>154825</v>
      </c>
      <c r="M73" s="263">
        <v>51175</v>
      </c>
      <c r="N73" s="263">
        <v>51175</v>
      </c>
    </row>
    <row r="74" spans="1:14" s="156" customFormat="1" x14ac:dyDescent="0.25">
      <c r="A74" s="262" t="s">
        <v>542</v>
      </c>
      <c r="B74" s="262" t="s">
        <v>232</v>
      </c>
      <c r="C74" s="262" t="s">
        <v>233</v>
      </c>
      <c r="D74" s="262" t="s">
        <v>541</v>
      </c>
      <c r="E74" s="263">
        <v>106000</v>
      </c>
      <c r="F74" s="263">
        <v>106000</v>
      </c>
      <c r="G74" s="263">
        <v>106000</v>
      </c>
      <c r="H74" s="263">
        <v>0</v>
      </c>
      <c r="I74" s="263">
        <v>0</v>
      </c>
      <c r="J74" s="263">
        <v>0</v>
      </c>
      <c r="K74" s="263">
        <v>89250</v>
      </c>
      <c r="L74" s="263">
        <v>0</v>
      </c>
      <c r="M74" s="263">
        <v>16750</v>
      </c>
      <c r="N74" s="263">
        <v>16750</v>
      </c>
    </row>
    <row r="75" spans="1:14" s="156" customFormat="1" x14ac:dyDescent="0.25">
      <c r="A75" s="262" t="s">
        <v>542</v>
      </c>
      <c r="B75" s="262" t="s">
        <v>234</v>
      </c>
      <c r="C75" s="262" t="s">
        <v>601</v>
      </c>
      <c r="D75" s="262" t="s">
        <v>541</v>
      </c>
      <c r="E75" s="263">
        <v>20844000</v>
      </c>
      <c r="F75" s="263">
        <v>20614000</v>
      </c>
      <c r="G75" s="263">
        <v>20614000</v>
      </c>
      <c r="H75" s="263">
        <v>0</v>
      </c>
      <c r="I75" s="263">
        <v>0</v>
      </c>
      <c r="J75" s="263">
        <v>0</v>
      </c>
      <c r="K75" s="263">
        <v>19533446.219999999</v>
      </c>
      <c r="L75" s="263">
        <v>10227356.32</v>
      </c>
      <c r="M75" s="263">
        <v>1080553.78</v>
      </c>
      <c r="N75" s="263">
        <v>1080553.78</v>
      </c>
    </row>
    <row r="76" spans="1:14" s="156" customFormat="1" x14ac:dyDescent="0.25">
      <c r="A76" s="262" t="s">
        <v>542</v>
      </c>
      <c r="B76" s="262" t="s">
        <v>235</v>
      </c>
      <c r="C76" s="262" t="s">
        <v>236</v>
      </c>
      <c r="D76" s="262" t="s">
        <v>541</v>
      </c>
      <c r="E76" s="263">
        <v>3000000</v>
      </c>
      <c r="F76" s="263">
        <v>3000000</v>
      </c>
      <c r="G76" s="263">
        <v>3000000</v>
      </c>
      <c r="H76" s="263">
        <v>0</v>
      </c>
      <c r="I76" s="263">
        <v>0</v>
      </c>
      <c r="J76" s="263">
        <v>0</v>
      </c>
      <c r="K76" s="263">
        <v>2811534.96</v>
      </c>
      <c r="L76" s="263">
        <v>2811534.96</v>
      </c>
      <c r="M76" s="263">
        <v>188465.04</v>
      </c>
      <c r="N76" s="263">
        <v>188465.04</v>
      </c>
    </row>
    <row r="77" spans="1:14" s="156" customFormat="1" x14ac:dyDescent="0.25">
      <c r="A77" s="262" t="s">
        <v>542</v>
      </c>
      <c r="B77" s="262" t="s">
        <v>237</v>
      </c>
      <c r="C77" s="262" t="s">
        <v>238</v>
      </c>
      <c r="D77" s="262" t="s">
        <v>541</v>
      </c>
      <c r="E77" s="263">
        <v>271000</v>
      </c>
      <c r="F77" s="263">
        <v>271000</v>
      </c>
      <c r="G77" s="263">
        <v>271000</v>
      </c>
      <c r="H77" s="263">
        <v>0</v>
      </c>
      <c r="I77" s="263">
        <v>0</v>
      </c>
      <c r="J77" s="263">
        <v>0</v>
      </c>
      <c r="K77" s="263">
        <v>264500</v>
      </c>
      <c r="L77" s="263">
        <v>264500</v>
      </c>
      <c r="M77" s="263">
        <v>6500</v>
      </c>
      <c r="N77" s="263">
        <v>6500</v>
      </c>
    </row>
    <row r="78" spans="1:14" s="156" customFormat="1" x14ac:dyDescent="0.25">
      <c r="A78" s="262" t="s">
        <v>542</v>
      </c>
      <c r="B78" s="262" t="s">
        <v>239</v>
      </c>
      <c r="C78" s="262" t="s">
        <v>240</v>
      </c>
      <c r="D78" s="262" t="s">
        <v>541</v>
      </c>
      <c r="E78" s="263">
        <v>12000000</v>
      </c>
      <c r="F78" s="263">
        <v>4000000</v>
      </c>
      <c r="G78" s="263">
        <v>4000000</v>
      </c>
      <c r="H78" s="263">
        <v>0</v>
      </c>
      <c r="I78" s="263">
        <v>0</v>
      </c>
      <c r="J78" s="263">
        <v>0</v>
      </c>
      <c r="K78" s="263">
        <v>3943186.42</v>
      </c>
      <c r="L78" s="263">
        <v>3943186.42</v>
      </c>
      <c r="M78" s="263">
        <v>56813.58</v>
      </c>
      <c r="N78" s="263">
        <v>56813.58</v>
      </c>
    </row>
    <row r="79" spans="1:14" s="156" customFormat="1" x14ac:dyDescent="0.25">
      <c r="A79" s="262" t="s">
        <v>542</v>
      </c>
      <c r="B79" s="262" t="s">
        <v>241</v>
      </c>
      <c r="C79" s="262" t="s">
        <v>242</v>
      </c>
      <c r="D79" s="262" t="s">
        <v>541</v>
      </c>
      <c r="E79" s="263">
        <v>1445000</v>
      </c>
      <c r="F79" s="263">
        <v>1445000</v>
      </c>
      <c r="G79" s="263">
        <v>1445000</v>
      </c>
      <c r="H79" s="263">
        <v>0</v>
      </c>
      <c r="I79" s="263">
        <v>0</v>
      </c>
      <c r="J79" s="263">
        <v>0</v>
      </c>
      <c r="K79" s="263">
        <v>1433100</v>
      </c>
      <c r="L79" s="263">
        <v>0</v>
      </c>
      <c r="M79" s="263">
        <v>11900</v>
      </c>
      <c r="N79" s="263">
        <v>11900</v>
      </c>
    </row>
    <row r="80" spans="1:14" s="156" customFormat="1" x14ac:dyDescent="0.25">
      <c r="A80" s="262" t="s">
        <v>542</v>
      </c>
      <c r="B80" s="262" t="s">
        <v>243</v>
      </c>
      <c r="C80" s="262" t="s">
        <v>244</v>
      </c>
      <c r="D80" s="262" t="s">
        <v>541</v>
      </c>
      <c r="E80" s="263">
        <v>2500000</v>
      </c>
      <c r="F80" s="263">
        <v>10500000</v>
      </c>
      <c r="G80" s="263">
        <v>10500000</v>
      </c>
      <c r="H80" s="263">
        <v>0</v>
      </c>
      <c r="I80" s="263">
        <v>0</v>
      </c>
      <c r="J80" s="263">
        <v>0</v>
      </c>
      <c r="K80" s="263">
        <v>9696095.3399999999</v>
      </c>
      <c r="L80" s="263">
        <v>1823105.44</v>
      </c>
      <c r="M80" s="263">
        <v>803904.66</v>
      </c>
      <c r="N80" s="263">
        <v>803904.66</v>
      </c>
    </row>
    <row r="81" spans="1:14" s="156" customFormat="1" x14ac:dyDescent="0.25">
      <c r="A81" s="262" t="s">
        <v>542</v>
      </c>
      <c r="B81" s="262" t="s">
        <v>245</v>
      </c>
      <c r="C81" s="262" t="s">
        <v>246</v>
      </c>
      <c r="D81" s="262" t="s">
        <v>541</v>
      </c>
      <c r="E81" s="263">
        <v>66000</v>
      </c>
      <c r="F81" s="263">
        <v>66000</v>
      </c>
      <c r="G81" s="263">
        <v>66000</v>
      </c>
      <c r="H81" s="263">
        <v>0</v>
      </c>
      <c r="I81" s="263">
        <v>0</v>
      </c>
      <c r="J81" s="263">
        <v>0</v>
      </c>
      <c r="K81" s="263">
        <v>63800</v>
      </c>
      <c r="L81" s="263">
        <v>63800</v>
      </c>
      <c r="M81" s="263">
        <v>2200</v>
      </c>
      <c r="N81" s="263">
        <v>2200</v>
      </c>
    </row>
    <row r="82" spans="1:14" s="156" customFormat="1" x14ac:dyDescent="0.25">
      <c r="A82" s="262" t="s">
        <v>542</v>
      </c>
      <c r="B82" s="262" t="s">
        <v>247</v>
      </c>
      <c r="C82" s="262" t="s">
        <v>248</v>
      </c>
      <c r="D82" s="262" t="s">
        <v>541</v>
      </c>
      <c r="E82" s="263">
        <v>562000</v>
      </c>
      <c r="F82" s="263">
        <v>332000</v>
      </c>
      <c r="G82" s="263">
        <v>332000</v>
      </c>
      <c r="H82" s="263">
        <v>0</v>
      </c>
      <c r="I82" s="263">
        <v>0</v>
      </c>
      <c r="J82" s="263">
        <v>0</v>
      </c>
      <c r="K82" s="263">
        <v>328670</v>
      </c>
      <c r="L82" s="263">
        <v>328670</v>
      </c>
      <c r="M82" s="263">
        <v>3330</v>
      </c>
      <c r="N82" s="263">
        <v>3330</v>
      </c>
    </row>
    <row r="83" spans="1:14" s="156" customFormat="1" x14ac:dyDescent="0.25">
      <c r="A83" s="262" t="s">
        <v>542</v>
      </c>
      <c r="B83" s="262" t="s">
        <v>249</v>
      </c>
      <c r="C83" s="262" t="s">
        <v>250</v>
      </c>
      <c r="D83" s="262" t="s">
        <v>541</v>
      </c>
      <c r="E83" s="263">
        <v>1000000</v>
      </c>
      <c r="F83" s="263">
        <v>1000000</v>
      </c>
      <c r="G83" s="263">
        <v>1000000</v>
      </c>
      <c r="H83" s="263">
        <v>0</v>
      </c>
      <c r="I83" s="263">
        <v>0</v>
      </c>
      <c r="J83" s="263">
        <v>0</v>
      </c>
      <c r="K83" s="263">
        <v>992559.5</v>
      </c>
      <c r="L83" s="263">
        <v>992559.5</v>
      </c>
      <c r="M83" s="263">
        <v>7440.5</v>
      </c>
      <c r="N83" s="263">
        <v>7440.5</v>
      </c>
    </row>
    <row r="84" spans="1:14" s="156" customFormat="1" x14ac:dyDescent="0.25">
      <c r="A84" s="262" t="s">
        <v>542</v>
      </c>
      <c r="B84" s="262" t="s">
        <v>279</v>
      </c>
      <c r="C84" s="262" t="s">
        <v>280</v>
      </c>
      <c r="D84" s="262" t="s">
        <v>543</v>
      </c>
      <c r="E84" s="263">
        <v>17098648</v>
      </c>
      <c r="F84" s="263">
        <v>17098648</v>
      </c>
      <c r="G84" s="263">
        <v>17098648</v>
      </c>
      <c r="H84" s="263">
        <v>0</v>
      </c>
      <c r="I84" s="263">
        <v>0</v>
      </c>
      <c r="J84" s="263">
        <v>0</v>
      </c>
      <c r="K84" s="263">
        <v>11309078.720000001</v>
      </c>
      <c r="L84" s="263">
        <v>7178179.0899999999</v>
      </c>
      <c r="M84" s="263">
        <v>5789569.2800000003</v>
      </c>
      <c r="N84" s="263">
        <v>5789569.2800000003</v>
      </c>
    </row>
    <row r="85" spans="1:14" s="156" customFormat="1" x14ac:dyDescent="0.25">
      <c r="A85" s="262" t="s">
        <v>542</v>
      </c>
      <c r="B85" s="262" t="s">
        <v>281</v>
      </c>
      <c r="C85" s="262" t="s">
        <v>282</v>
      </c>
      <c r="D85" s="262" t="s">
        <v>543</v>
      </c>
      <c r="E85" s="263">
        <v>16598648</v>
      </c>
      <c r="F85" s="263">
        <v>16598648</v>
      </c>
      <c r="G85" s="263">
        <v>16598648</v>
      </c>
      <c r="H85" s="263">
        <v>0</v>
      </c>
      <c r="I85" s="263">
        <v>0</v>
      </c>
      <c r="J85" s="263">
        <v>0</v>
      </c>
      <c r="K85" s="263">
        <v>11082592.390000001</v>
      </c>
      <c r="L85" s="263">
        <v>7178179.0899999999</v>
      </c>
      <c r="M85" s="263">
        <v>5516055.6100000003</v>
      </c>
      <c r="N85" s="263">
        <v>5516055.6100000003</v>
      </c>
    </row>
    <row r="86" spans="1:14" s="156" customFormat="1" x14ac:dyDescent="0.25">
      <c r="A86" s="262" t="s">
        <v>542</v>
      </c>
      <c r="B86" s="262" t="s">
        <v>283</v>
      </c>
      <c r="C86" s="262" t="s">
        <v>284</v>
      </c>
      <c r="D86" s="262" t="s">
        <v>543</v>
      </c>
      <c r="E86" s="263">
        <v>3000000</v>
      </c>
      <c r="F86" s="263">
        <v>3000000</v>
      </c>
      <c r="G86" s="263">
        <v>3000000</v>
      </c>
      <c r="H86" s="263">
        <v>0</v>
      </c>
      <c r="I86" s="263">
        <v>0</v>
      </c>
      <c r="J86" s="263">
        <v>0</v>
      </c>
      <c r="K86" s="263">
        <v>0</v>
      </c>
      <c r="L86" s="263">
        <v>0</v>
      </c>
      <c r="M86" s="263">
        <v>3000000</v>
      </c>
      <c r="N86" s="263">
        <v>3000000</v>
      </c>
    </row>
    <row r="87" spans="1:14" s="156" customFormat="1" x14ac:dyDescent="0.25">
      <c r="A87" s="262" t="s">
        <v>542</v>
      </c>
      <c r="B87" s="262" t="s">
        <v>285</v>
      </c>
      <c r="C87" s="262" t="s">
        <v>286</v>
      </c>
      <c r="D87" s="262" t="s">
        <v>543</v>
      </c>
      <c r="E87" s="263">
        <v>4000000</v>
      </c>
      <c r="F87" s="263">
        <v>4000000</v>
      </c>
      <c r="G87" s="263">
        <v>4000000</v>
      </c>
      <c r="H87" s="263">
        <v>0</v>
      </c>
      <c r="I87" s="263">
        <v>0</v>
      </c>
      <c r="J87" s="263">
        <v>0</v>
      </c>
      <c r="K87" s="263">
        <v>3284436.44</v>
      </c>
      <c r="L87" s="263">
        <v>0</v>
      </c>
      <c r="M87" s="263">
        <v>715563.56</v>
      </c>
      <c r="N87" s="263">
        <v>715563.56</v>
      </c>
    </row>
    <row r="88" spans="1:14" s="156" customFormat="1" x14ac:dyDescent="0.25">
      <c r="A88" s="262" t="s">
        <v>542</v>
      </c>
      <c r="B88" s="262" t="s">
        <v>287</v>
      </c>
      <c r="C88" s="262" t="s">
        <v>288</v>
      </c>
      <c r="D88" s="262" t="s">
        <v>543</v>
      </c>
      <c r="E88" s="263">
        <v>6337648</v>
      </c>
      <c r="F88" s="263">
        <v>6337648</v>
      </c>
      <c r="G88" s="263">
        <v>6337648</v>
      </c>
      <c r="H88" s="263">
        <v>0</v>
      </c>
      <c r="I88" s="263">
        <v>0</v>
      </c>
      <c r="J88" s="263">
        <v>0</v>
      </c>
      <c r="K88" s="263">
        <v>5668699.0899999999</v>
      </c>
      <c r="L88" s="263">
        <v>5404779.0899999999</v>
      </c>
      <c r="M88" s="263">
        <v>668948.91</v>
      </c>
      <c r="N88" s="263">
        <v>668948.91</v>
      </c>
    </row>
    <row r="89" spans="1:14" s="156" customFormat="1" x14ac:dyDescent="0.25">
      <c r="A89" s="262" t="s">
        <v>542</v>
      </c>
      <c r="B89" s="262" t="s">
        <v>293</v>
      </c>
      <c r="C89" s="262" t="s">
        <v>294</v>
      </c>
      <c r="D89" s="262" t="s">
        <v>543</v>
      </c>
      <c r="E89" s="263">
        <v>2261000</v>
      </c>
      <c r="F89" s="263">
        <v>2261000</v>
      </c>
      <c r="G89" s="263">
        <v>2261000</v>
      </c>
      <c r="H89" s="263">
        <v>0</v>
      </c>
      <c r="I89" s="263">
        <v>0</v>
      </c>
      <c r="J89" s="263">
        <v>0</v>
      </c>
      <c r="K89" s="263">
        <v>1773400</v>
      </c>
      <c r="L89" s="263">
        <v>1773400</v>
      </c>
      <c r="M89" s="263">
        <v>487600</v>
      </c>
      <c r="N89" s="263">
        <v>487600</v>
      </c>
    </row>
    <row r="90" spans="1:14" s="156" customFormat="1" x14ac:dyDescent="0.25">
      <c r="A90" s="262" t="s">
        <v>542</v>
      </c>
      <c r="B90" s="262" t="s">
        <v>295</v>
      </c>
      <c r="C90" s="262" t="s">
        <v>296</v>
      </c>
      <c r="D90" s="262" t="s">
        <v>543</v>
      </c>
      <c r="E90" s="263">
        <v>1000000</v>
      </c>
      <c r="F90" s="263">
        <v>1000000</v>
      </c>
      <c r="G90" s="263">
        <v>1000000</v>
      </c>
      <c r="H90" s="263">
        <v>0</v>
      </c>
      <c r="I90" s="263">
        <v>0</v>
      </c>
      <c r="J90" s="263">
        <v>0</v>
      </c>
      <c r="K90" s="263">
        <v>356056.86</v>
      </c>
      <c r="L90" s="263">
        <v>0</v>
      </c>
      <c r="M90" s="263">
        <v>643943.14</v>
      </c>
      <c r="N90" s="263">
        <v>643943.14</v>
      </c>
    </row>
    <row r="91" spans="1:14" s="156" customFormat="1" x14ac:dyDescent="0.25">
      <c r="A91" s="262" t="s">
        <v>542</v>
      </c>
      <c r="B91" s="262" t="s">
        <v>340</v>
      </c>
      <c r="C91" s="262" t="s">
        <v>341</v>
      </c>
      <c r="D91" s="262" t="s">
        <v>543</v>
      </c>
      <c r="E91" s="263">
        <v>500000</v>
      </c>
      <c r="F91" s="263">
        <v>500000</v>
      </c>
      <c r="G91" s="263">
        <v>500000</v>
      </c>
      <c r="H91" s="263">
        <v>0</v>
      </c>
      <c r="I91" s="263">
        <v>0</v>
      </c>
      <c r="J91" s="263">
        <v>0</v>
      </c>
      <c r="K91" s="263">
        <v>226486.33</v>
      </c>
      <c r="L91" s="263">
        <v>0</v>
      </c>
      <c r="M91" s="263">
        <v>273513.67</v>
      </c>
      <c r="N91" s="263">
        <v>273513.67</v>
      </c>
    </row>
    <row r="92" spans="1:14" s="156" customFormat="1" x14ac:dyDescent="0.25">
      <c r="A92" s="262" t="s">
        <v>542</v>
      </c>
      <c r="B92" s="262" t="s">
        <v>342</v>
      </c>
      <c r="C92" s="262" t="s">
        <v>343</v>
      </c>
      <c r="D92" s="262" t="s">
        <v>543</v>
      </c>
      <c r="E92" s="263">
        <v>500000</v>
      </c>
      <c r="F92" s="263">
        <v>500000</v>
      </c>
      <c r="G92" s="263">
        <v>500000</v>
      </c>
      <c r="H92" s="263">
        <v>0</v>
      </c>
      <c r="I92" s="263">
        <v>0</v>
      </c>
      <c r="J92" s="263">
        <v>0</v>
      </c>
      <c r="K92" s="263">
        <v>226486.33</v>
      </c>
      <c r="L92" s="263">
        <v>0</v>
      </c>
      <c r="M92" s="263">
        <v>273513.67</v>
      </c>
      <c r="N92" s="263">
        <v>273513.67</v>
      </c>
    </row>
    <row r="93" spans="1:14" s="156" customFormat="1" x14ac:dyDescent="0.25">
      <c r="A93" s="262" t="s">
        <v>542</v>
      </c>
      <c r="B93" s="262" t="s">
        <v>251</v>
      </c>
      <c r="C93" s="262" t="s">
        <v>252</v>
      </c>
      <c r="D93" s="262" t="s">
        <v>541</v>
      </c>
      <c r="E93" s="263">
        <v>731283000</v>
      </c>
      <c r="F93" s="263">
        <v>752754165</v>
      </c>
      <c r="G93" s="263">
        <v>752754165</v>
      </c>
      <c r="H93" s="263">
        <v>0</v>
      </c>
      <c r="I93" s="263">
        <v>0</v>
      </c>
      <c r="J93" s="263">
        <v>0</v>
      </c>
      <c r="K93" s="263">
        <v>739614732.98000002</v>
      </c>
      <c r="L93" s="263">
        <v>739614732.98000002</v>
      </c>
      <c r="M93" s="263">
        <v>13139432.02</v>
      </c>
      <c r="N93" s="263">
        <v>13139432.02</v>
      </c>
    </row>
    <row r="94" spans="1:14" s="156" customFormat="1" x14ac:dyDescent="0.25">
      <c r="A94" s="262" t="s">
        <v>542</v>
      </c>
      <c r="B94" s="262" t="s">
        <v>253</v>
      </c>
      <c r="C94" s="262" t="s">
        <v>254</v>
      </c>
      <c r="D94" s="262" t="s">
        <v>541</v>
      </c>
      <c r="E94" s="263">
        <v>268185000</v>
      </c>
      <c r="F94" s="263">
        <v>267036800</v>
      </c>
      <c r="G94" s="263">
        <v>267036800</v>
      </c>
      <c r="H94" s="263">
        <v>0</v>
      </c>
      <c r="I94" s="263">
        <v>0</v>
      </c>
      <c r="J94" s="263">
        <v>0</v>
      </c>
      <c r="K94" s="263">
        <v>257546189.97999999</v>
      </c>
      <c r="L94" s="263">
        <v>257546189.97999999</v>
      </c>
      <c r="M94" s="263">
        <v>9490610.0199999996</v>
      </c>
      <c r="N94" s="263">
        <v>9490610.0199999996</v>
      </c>
    </row>
    <row r="95" spans="1:14" s="156" customFormat="1" x14ac:dyDescent="0.25">
      <c r="A95" s="262" t="s">
        <v>542</v>
      </c>
      <c r="B95" s="262" t="s">
        <v>255</v>
      </c>
      <c r="C95" s="262" t="s">
        <v>256</v>
      </c>
      <c r="D95" s="262" t="s">
        <v>541</v>
      </c>
      <c r="E95" s="263">
        <v>2000000</v>
      </c>
      <c r="F95" s="263">
        <v>2000000</v>
      </c>
      <c r="G95" s="263">
        <v>2000000</v>
      </c>
      <c r="H95" s="263">
        <v>0</v>
      </c>
      <c r="I95" s="263">
        <v>0</v>
      </c>
      <c r="J95" s="263">
        <v>0</v>
      </c>
      <c r="K95" s="263">
        <v>2000000</v>
      </c>
      <c r="L95" s="263">
        <v>2000000</v>
      </c>
      <c r="M95" s="263">
        <v>0</v>
      </c>
      <c r="N95" s="263">
        <v>0</v>
      </c>
    </row>
    <row r="96" spans="1:14" s="156" customFormat="1" x14ac:dyDescent="0.25">
      <c r="A96" s="262" t="s">
        <v>542</v>
      </c>
      <c r="B96" s="262" t="s">
        <v>257</v>
      </c>
      <c r="C96" s="262" t="s">
        <v>258</v>
      </c>
      <c r="D96" s="262" t="s">
        <v>541</v>
      </c>
      <c r="E96" s="263">
        <v>250000000</v>
      </c>
      <c r="F96" s="263">
        <v>250000000</v>
      </c>
      <c r="G96" s="263">
        <v>250000000</v>
      </c>
      <c r="H96" s="263">
        <v>0</v>
      </c>
      <c r="I96" s="263">
        <v>0</v>
      </c>
      <c r="J96" s="263">
        <v>0</v>
      </c>
      <c r="K96" s="263">
        <v>242456955.97999999</v>
      </c>
      <c r="L96" s="263">
        <v>242456955.97999999</v>
      </c>
      <c r="M96" s="263">
        <v>7543044.0199999996</v>
      </c>
      <c r="N96" s="263">
        <v>7543044.0199999996</v>
      </c>
    </row>
    <row r="97" spans="1:14" s="156" customFormat="1" x14ac:dyDescent="0.25">
      <c r="A97" s="262" t="s">
        <v>542</v>
      </c>
      <c r="B97" s="262" t="s">
        <v>259</v>
      </c>
      <c r="C97" s="262" t="s">
        <v>602</v>
      </c>
      <c r="D97" s="262" t="s">
        <v>541</v>
      </c>
      <c r="E97" s="263">
        <v>13470000</v>
      </c>
      <c r="F97" s="263">
        <v>12514450</v>
      </c>
      <c r="G97" s="263">
        <v>12514450</v>
      </c>
      <c r="H97" s="263">
        <v>0</v>
      </c>
      <c r="I97" s="263">
        <v>0</v>
      </c>
      <c r="J97" s="263">
        <v>0</v>
      </c>
      <c r="K97" s="263">
        <v>10893053</v>
      </c>
      <c r="L97" s="263">
        <v>10893053</v>
      </c>
      <c r="M97" s="263">
        <v>1621397</v>
      </c>
      <c r="N97" s="263">
        <v>1621397</v>
      </c>
    </row>
    <row r="98" spans="1:14" s="156" customFormat="1" x14ac:dyDescent="0.25">
      <c r="A98" s="262" t="s">
        <v>542</v>
      </c>
      <c r="B98" s="262" t="s">
        <v>260</v>
      </c>
      <c r="C98" s="262" t="s">
        <v>603</v>
      </c>
      <c r="D98" s="262" t="s">
        <v>541</v>
      </c>
      <c r="E98" s="263">
        <v>2715000</v>
      </c>
      <c r="F98" s="263">
        <v>2522350</v>
      </c>
      <c r="G98" s="263">
        <v>2522350</v>
      </c>
      <c r="H98" s="263">
        <v>0</v>
      </c>
      <c r="I98" s="263">
        <v>0</v>
      </c>
      <c r="J98" s="263">
        <v>0</v>
      </c>
      <c r="K98" s="263">
        <v>2196181</v>
      </c>
      <c r="L98" s="263">
        <v>2196181</v>
      </c>
      <c r="M98" s="263">
        <v>326169</v>
      </c>
      <c r="N98" s="263">
        <v>326169</v>
      </c>
    </row>
    <row r="99" spans="1:14" s="156" customFormat="1" x14ac:dyDescent="0.25">
      <c r="A99" s="262" t="s">
        <v>542</v>
      </c>
      <c r="B99" s="262" t="s">
        <v>261</v>
      </c>
      <c r="C99" s="262" t="s">
        <v>262</v>
      </c>
      <c r="D99" s="262" t="s">
        <v>541</v>
      </c>
      <c r="E99" s="263">
        <v>39757000</v>
      </c>
      <c r="F99" s="263">
        <v>62376365</v>
      </c>
      <c r="G99" s="263">
        <v>62376365</v>
      </c>
      <c r="H99" s="263">
        <v>0</v>
      </c>
      <c r="I99" s="263">
        <v>0</v>
      </c>
      <c r="J99" s="263">
        <v>0</v>
      </c>
      <c r="K99" s="263">
        <v>61349118.789999999</v>
      </c>
      <c r="L99" s="263">
        <v>61349118.789999999</v>
      </c>
      <c r="M99" s="263">
        <v>1027246.21</v>
      </c>
      <c r="N99" s="263">
        <v>1027246.21</v>
      </c>
    </row>
    <row r="100" spans="1:14" s="156" customFormat="1" x14ac:dyDescent="0.25">
      <c r="A100" s="262" t="s">
        <v>542</v>
      </c>
      <c r="B100" s="262" t="s">
        <v>263</v>
      </c>
      <c r="C100" s="262" t="s">
        <v>264</v>
      </c>
      <c r="D100" s="262" t="s">
        <v>541</v>
      </c>
      <c r="E100" s="263">
        <v>30000000</v>
      </c>
      <c r="F100" s="263">
        <v>51619365</v>
      </c>
      <c r="G100" s="263">
        <v>51619365</v>
      </c>
      <c r="H100" s="263">
        <v>0</v>
      </c>
      <c r="I100" s="263">
        <v>0</v>
      </c>
      <c r="J100" s="263">
        <v>0</v>
      </c>
      <c r="K100" s="263">
        <v>50595291.789999999</v>
      </c>
      <c r="L100" s="263">
        <v>50595291.789999999</v>
      </c>
      <c r="M100" s="263">
        <v>1024073.21</v>
      </c>
      <c r="N100" s="263">
        <v>1024073.21</v>
      </c>
    </row>
    <row r="101" spans="1:14" s="156" customFormat="1" x14ac:dyDescent="0.25">
      <c r="A101" s="262" t="s">
        <v>542</v>
      </c>
      <c r="B101" s="262" t="s">
        <v>265</v>
      </c>
      <c r="C101" s="262" t="s">
        <v>266</v>
      </c>
      <c r="D101" s="262" t="s">
        <v>541</v>
      </c>
      <c r="E101" s="263">
        <v>9757000</v>
      </c>
      <c r="F101" s="263">
        <v>10757000</v>
      </c>
      <c r="G101" s="263">
        <v>10757000</v>
      </c>
      <c r="H101" s="263">
        <v>0</v>
      </c>
      <c r="I101" s="263">
        <v>0</v>
      </c>
      <c r="J101" s="263">
        <v>0</v>
      </c>
      <c r="K101" s="263">
        <v>10753827</v>
      </c>
      <c r="L101" s="263">
        <v>10753827</v>
      </c>
      <c r="M101" s="263">
        <v>3173</v>
      </c>
      <c r="N101" s="263">
        <v>3173</v>
      </c>
    </row>
    <row r="102" spans="1:14" s="156" customFormat="1" x14ac:dyDescent="0.25">
      <c r="A102" s="262" t="s">
        <v>542</v>
      </c>
      <c r="B102" s="262" t="s">
        <v>273</v>
      </c>
      <c r="C102" s="262" t="s">
        <v>274</v>
      </c>
      <c r="D102" s="262" t="s">
        <v>541</v>
      </c>
      <c r="E102" s="263">
        <v>423341000</v>
      </c>
      <c r="F102" s="263">
        <v>423341000</v>
      </c>
      <c r="G102" s="263">
        <v>423341000</v>
      </c>
      <c r="H102" s="263">
        <v>0</v>
      </c>
      <c r="I102" s="263">
        <v>0</v>
      </c>
      <c r="J102" s="263">
        <v>0</v>
      </c>
      <c r="K102" s="263">
        <v>420719424.20999998</v>
      </c>
      <c r="L102" s="263">
        <v>420719424.20999998</v>
      </c>
      <c r="M102" s="263">
        <v>2621575.79</v>
      </c>
      <c r="N102" s="263">
        <v>2621575.79</v>
      </c>
    </row>
    <row r="103" spans="1:14" s="156" customFormat="1" x14ac:dyDescent="0.25">
      <c r="A103" s="262" t="s">
        <v>542</v>
      </c>
      <c r="B103" s="262" t="s">
        <v>275</v>
      </c>
      <c r="C103" s="262" t="s">
        <v>276</v>
      </c>
      <c r="D103" s="262" t="s">
        <v>541</v>
      </c>
      <c r="E103" s="263">
        <v>406300000</v>
      </c>
      <c r="F103" s="263">
        <v>406300000</v>
      </c>
      <c r="G103" s="263">
        <v>406300000</v>
      </c>
      <c r="H103" s="263">
        <v>0</v>
      </c>
      <c r="I103" s="263">
        <v>0</v>
      </c>
      <c r="J103" s="263">
        <v>0</v>
      </c>
      <c r="K103" s="263">
        <v>406300000</v>
      </c>
      <c r="L103" s="263">
        <v>406300000</v>
      </c>
      <c r="M103" s="263">
        <v>0</v>
      </c>
      <c r="N103" s="263">
        <v>0</v>
      </c>
    </row>
    <row r="104" spans="1:14" s="156" customFormat="1" x14ac:dyDescent="0.25">
      <c r="A104" s="262" t="s">
        <v>542</v>
      </c>
      <c r="B104" s="262" t="s">
        <v>561</v>
      </c>
      <c r="C104" s="262" t="s">
        <v>584</v>
      </c>
      <c r="D104" s="262" t="s">
        <v>541</v>
      </c>
      <c r="E104" s="263">
        <v>13364000</v>
      </c>
      <c r="F104" s="263">
        <v>13364000</v>
      </c>
      <c r="G104" s="263">
        <v>13364000</v>
      </c>
      <c r="H104" s="263">
        <v>0</v>
      </c>
      <c r="I104" s="263">
        <v>0</v>
      </c>
      <c r="J104" s="263">
        <v>0</v>
      </c>
      <c r="K104" s="263">
        <v>10920143.710000001</v>
      </c>
      <c r="L104" s="263">
        <v>10920143.710000001</v>
      </c>
      <c r="M104" s="263">
        <v>2443856.29</v>
      </c>
      <c r="N104" s="263">
        <v>2443856.29</v>
      </c>
    </row>
    <row r="105" spans="1:14" s="156" customFormat="1" x14ac:dyDescent="0.25">
      <c r="A105" s="262" t="s">
        <v>542</v>
      </c>
      <c r="B105" s="262" t="s">
        <v>277</v>
      </c>
      <c r="C105" s="262" t="s">
        <v>278</v>
      </c>
      <c r="D105" s="262" t="s">
        <v>541</v>
      </c>
      <c r="E105" s="263">
        <v>3677000</v>
      </c>
      <c r="F105" s="263">
        <v>3677000</v>
      </c>
      <c r="G105" s="263">
        <v>3677000</v>
      </c>
      <c r="H105" s="263">
        <v>0</v>
      </c>
      <c r="I105" s="263">
        <v>0</v>
      </c>
      <c r="J105" s="263">
        <v>0</v>
      </c>
      <c r="K105" s="263">
        <v>3499280.5</v>
      </c>
      <c r="L105" s="263">
        <v>3499280.5</v>
      </c>
      <c r="M105" s="263">
        <v>177719.5</v>
      </c>
      <c r="N105" s="263">
        <v>177719.5</v>
      </c>
    </row>
    <row r="106" spans="1:14" s="156" customFormat="1" x14ac:dyDescent="0.25">
      <c r="A106" s="262">
        <v>214780</v>
      </c>
      <c r="B106" s="262" t="s">
        <v>587</v>
      </c>
      <c r="C106" s="262" t="s">
        <v>587</v>
      </c>
      <c r="D106" s="262" t="s">
        <v>541</v>
      </c>
      <c r="E106" s="263">
        <v>1241247489</v>
      </c>
      <c r="F106" s="263">
        <v>1182918224</v>
      </c>
      <c r="G106" s="263">
        <v>1181420174</v>
      </c>
      <c r="H106" s="263">
        <v>0</v>
      </c>
      <c r="I106" s="263">
        <v>0</v>
      </c>
      <c r="J106" s="263">
        <v>0</v>
      </c>
      <c r="K106" s="263">
        <v>1033142240.79</v>
      </c>
      <c r="L106" s="263">
        <v>996849855.02999997</v>
      </c>
      <c r="M106" s="263">
        <v>149775983.21000001</v>
      </c>
      <c r="N106" s="263">
        <v>148277933.21000001</v>
      </c>
    </row>
    <row r="107" spans="1:14" s="156" customFormat="1" x14ac:dyDescent="0.25">
      <c r="A107" s="262" t="s">
        <v>544</v>
      </c>
      <c r="B107" s="262" t="s">
        <v>92</v>
      </c>
      <c r="C107" s="262" t="s">
        <v>93</v>
      </c>
      <c r="D107" s="262" t="s">
        <v>541</v>
      </c>
      <c r="E107" s="263">
        <v>953910000</v>
      </c>
      <c r="F107" s="263">
        <v>911045950</v>
      </c>
      <c r="G107" s="263">
        <v>909547900</v>
      </c>
      <c r="H107" s="263">
        <v>0</v>
      </c>
      <c r="I107" s="263">
        <v>0</v>
      </c>
      <c r="J107" s="263">
        <v>0</v>
      </c>
      <c r="K107" s="263">
        <v>814993338.78999996</v>
      </c>
      <c r="L107" s="263">
        <v>814993338.78999996</v>
      </c>
      <c r="M107" s="263">
        <v>96052611.209999993</v>
      </c>
      <c r="N107" s="263">
        <v>94554561.209999993</v>
      </c>
    </row>
    <row r="108" spans="1:14" s="156" customFormat="1" x14ac:dyDescent="0.25">
      <c r="A108" s="262" t="s">
        <v>544</v>
      </c>
      <c r="B108" s="262" t="s">
        <v>94</v>
      </c>
      <c r="C108" s="262" t="s">
        <v>95</v>
      </c>
      <c r="D108" s="262" t="s">
        <v>541</v>
      </c>
      <c r="E108" s="263">
        <v>383841000</v>
      </c>
      <c r="F108" s="263">
        <v>375920250</v>
      </c>
      <c r="G108" s="263">
        <v>374422200</v>
      </c>
      <c r="H108" s="263">
        <v>0</v>
      </c>
      <c r="I108" s="263">
        <v>0</v>
      </c>
      <c r="J108" s="263">
        <v>0</v>
      </c>
      <c r="K108" s="263">
        <v>337628704.39999998</v>
      </c>
      <c r="L108" s="263">
        <v>337628704.39999998</v>
      </c>
      <c r="M108" s="263">
        <v>38291545.600000001</v>
      </c>
      <c r="N108" s="263">
        <v>36793495.600000001</v>
      </c>
    </row>
    <row r="109" spans="1:14" s="156" customFormat="1" x14ac:dyDescent="0.25">
      <c r="A109" s="262" t="s">
        <v>544</v>
      </c>
      <c r="B109" s="262" t="s">
        <v>96</v>
      </c>
      <c r="C109" s="262" t="s">
        <v>97</v>
      </c>
      <c r="D109" s="262" t="s">
        <v>541</v>
      </c>
      <c r="E109" s="263">
        <v>383841000</v>
      </c>
      <c r="F109" s="263">
        <v>375920250</v>
      </c>
      <c r="G109" s="263">
        <v>374422200</v>
      </c>
      <c r="H109" s="263">
        <v>0</v>
      </c>
      <c r="I109" s="263">
        <v>0</v>
      </c>
      <c r="J109" s="263">
        <v>0</v>
      </c>
      <c r="K109" s="263">
        <v>337628704.39999998</v>
      </c>
      <c r="L109" s="263">
        <v>337628704.39999998</v>
      </c>
      <c r="M109" s="263">
        <v>38291545.600000001</v>
      </c>
      <c r="N109" s="263">
        <v>36793495.600000001</v>
      </c>
    </row>
    <row r="110" spans="1:14" s="156" customFormat="1" x14ac:dyDescent="0.25">
      <c r="A110" s="262" t="s">
        <v>544</v>
      </c>
      <c r="B110" s="262" t="s">
        <v>102</v>
      </c>
      <c r="C110" s="262" t="s">
        <v>103</v>
      </c>
      <c r="D110" s="262" t="s">
        <v>541</v>
      </c>
      <c r="E110" s="263">
        <v>425514000</v>
      </c>
      <c r="F110" s="263">
        <v>397514000</v>
      </c>
      <c r="G110" s="263">
        <v>397514000</v>
      </c>
      <c r="H110" s="263">
        <v>0</v>
      </c>
      <c r="I110" s="263">
        <v>0</v>
      </c>
      <c r="J110" s="263">
        <v>0</v>
      </c>
      <c r="K110" s="263">
        <v>354222479.38999999</v>
      </c>
      <c r="L110" s="263">
        <v>354222479.38999999</v>
      </c>
      <c r="M110" s="263">
        <v>43291520.609999999</v>
      </c>
      <c r="N110" s="263">
        <v>43291520.609999999</v>
      </c>
    </row>
    <row r="111" spans="1:14" s="156" customFormat="1" x14ac:dyDescent="0.25">
      <c r="A111" s="262" t="s">
        <v>544</v>
      </c>
      <c r="B111" s="262" t="s">
        <v>104</v>
      </c>
      <c r="C111" s="262" t="s">
        <v>105</v>
      </c>
      <c r="D111" s="262" t="s">
        <v>541</v>
      </c>
      <c r="E111" s="263">
        <v>70660000</v>
      </c>
      <c r="F111" s="263">
        <v>66660000</v>
      </c>
      <c r="G111" s="263">
        <v>66660000</v>
      </c>
      <c r="H111" s="263">
        <v>0</v>
      </c>
      <c r="I111" s="263">
        <v>0</v>
      </c>
      <c r="J111" s="263">
        <v>0</v>
      </c>
      <c r="K111" s="263">
        <v>60487304.899999999</v>
      </c>
      <c r="L111" s="263">
        <v>60487304.899999999</v>
      </c>
      <c r="M111" s="263">
        <v>6172695.0999999996</v>
      </c>
      <c r="N111" s="263">
        <v>6172695.0999999996</v>
      </c>
    </row>
    <row r="112" spans="1:14" s="156" customFormat="1" x14ac:dyDescent="0.25">
      <c r="A112" s="262" t="s">
        <v>544</v>
      </c>
      <c r="B112" s="262" t="s">
        <v>106</v>
      </c>
      <c r="C112" s="262" t="s">
        <v>107</v>
      </c>
      <c r="D112" s="262" t="s">
        <v>541</v>
      </c>
      <c r="E112" s="263">
        <v>211191000</v>
      </c>
      <c r="F112" s="263">
        <v>187191000</v>
      </c>
      <c r="G112" s="263">
        <v>187191000</v>
      </c>
      <c r="H112" s="263">
        <v>0</v>
      </c>
      <c r="I112" s="263">
        <v>0</v>
      </c>
      <c r="J112" s="263">
        <v>0</v>
      </c>
      <c r="K112" s="263">
        <v>164183582.68000001</v>
      </c>
      <c r="L112" s="263">
        <v>164183582.68000001</v>
      </c>
      <c r="M112" s="263">
        <v>23007417.32</v>
      </c>
      <c r="N112" s="263">
        <v>23007417.32</v>
      </c>
    </row>
    <row r="113" spans="1:14" s="156" customFormat="1" x14ac:dyDescent="0.25">
      <c r="A113" s="262" t="s">
        <v>544</v>
      </c>
      <c r="B113" s="262" t="s">
        <v>112</v>
      </c>
      <c r="C113" s="262" t="s">
        <v>113</v>
      </c>
      <c r="D113" s="262" t="s">
        <v>543</v>
      </c>
      <c r="E113" s="263">
        <v>61518000</v>
      </c>
      <c r="F113" s="263">
        <v>0</v>
      </c>
      <c r="G113" s="263">
        <v>0</v>
      </c>
      <c r="H113" s="263">
        <v>0</v>
      </c>
      <c r="I113" s="263">
        <v>0</v>
      </c>
      <c r="J113" s="263">
        <v>0</v>
      </c>
      <c r="K113" s="263">
        <v>0</v>
      </c>
      <c r="L113" s="263">
        <v>0</v>
      </c>
      <c r="M113" s="263">
        <v>0</v>
      </c>
      <c r="N113" s="263">
        <v>0</v>
      </c>
    </row>
    <row r="114" spans="1:14" s="156" customFormat="1" x14ac:dyDescent="0.25">
      <c r="A114" s="262" t="s">
        <v>544</v>
      </c>
      <c r="B114" s="262" t="s">
        <v>112</v>
      </c>
      <c r="C114" s="262" t="s">
        <v>113</v>
      </c>
      <c r="D114" s="262" t="s">
        <v>655</v>
      </c>
      <c r="E114" s="263">
        <v>0</v>
      </c>
      <c r="F114" s="263">
        <v>61518000</v>
      </c>
      <c r="G114" s="263">
        <v>61518000</v>
      </c>
      <c r="H114" s="263">
        <v>0</v>
      </c>
      <c r="I114" s="263">
        <v>0</v>
      </c>
      <c r="J114" s="263">
        <v>0</v>
      </c>
      <c r="K114" s="263">
        <v>54311948.170000002</v>
      </c>
      <c r="L114" s="263">
        <v>54311948.170000002</v>
      </c>
      <c r="M114" s="263">
        <v>7206051.8300000001</v>
      </c>
      <c r="N114" s="263">
        <v>7206051.8300000001</v>
      </c>
    </row>
    <row r="115" spans="1:14" s="156" customFormat="1" x14ac:dyDescent="0.25">
      <c r="A115" s="262" t="s">
        <v>544</v>
      </c>
      <c r="B115" s="262" t="s">
        <v>108</v>
      </c>
      <c r="C115" s="262" t="s">
        <v>109</v>
      </c>
      <c r="D115" s="262" t="s">
        <v>541</v>
      </c>
      <c r="E115" s="263">
        <v>46480000</v>
      </c>
      <c r="F115" s="263">
        <v>46480000</v>
      </c>
      <c r="G115" s="263">
        <v>46480000</v>
      </c>
      <c r="H115" s="263">
        <v>0</v>
      </c>
      <c r="I115" s="263">
        <v>0</v>
      </c>
      <c r="J115" s="263">
        <v>0</v>
      </c>
      <c r="K115" s="263">
        <v>44449280.57</v>
      </c>
      <c r="L115" s="263">
        <v>44449280.57</v>
      </c>
      <c r="M115" s="263">
        <v>2030719.43</v>
      </c>
      <c r="N115" s="263">
        <v>2030719.43</v>
      </c>
    </row>
    <row r="116" spans="1:14" s="156" customFormat="1" x14ac:dyDescent="0.25">
      <c r="A116" s="262" t="s">
        <v>544</v>
      </c>
      <c r="B116" s="262" t="s">
        <v>110</v>
      </c>
      <c r="C116" s="262" t="s">
        <v>111</v>
      </c>
      <c r="D116" s="262" t="s">
        <v>541</v>
      </c>
      <c r="E116" s="263">
        <v>35665000</v>
      </c>
      <c r="F116" s="263">
        <v>35665000</v>
      </c>
      <c r="G116" s="263">
        <v>35665000</v>
      </c>
      <c r="H116" s="263">
        <v>0</v>
      </c>
      <c r="I116" s="263">
        <v>0</v>
      </c>
      <c r="J116" s="263">
        <v>0</v>
      </c>
      <c r="K116" s="263">
        <v>30790363.07</v>
      </c>
      <c r="L116" s="263">
        <v>30790363.07</v>
      </c>
      <c r="M116" s="263">
        <v>4874636.93</v>
      </c>
      <c r="N116" s="263">
        <v>4874636.93</v>
      </c>
    </row>
    <row r="117" spans="1:14" s="156" customFormat="1" x14ac:dyDescent="0.25">
      <c r="A117" s="262" t="s">
        <v>544</v>
      </c>
      <c r="B117" s="262" t="s">
        <v>114</v>
      </c>
      <c r="C117" s="262" t="s">
        <v>115</v>
      </c>
      <c r="D117" s="262" t="s">
        <v>541</v>
      </c>
      <c r="E117" s="263">
        <v>72913000</v>
      </c>
      <c r="F117" s="263">
        <v>69410800</v>
      </c>
      <c r="G117" s="263">
        <v>69410800</v>
      </c>
      <c r="H117" s="263">
        <v>0</v>
      </c>
      <c r="I117" s="263">
        <v>0</v>
      </c>
      <c r="J117" s="263">
        <v>0</v>
      </c>
      <c r="K117" s="263">
        <v>62115271</v>
      </c>
      <c r="L117" s="263">
        <v>62115271</v>
      </c>
      <c r="M117" s="263">
        <v>7295529</v>
      </c>
      <c r="N117" s="263">
        <v>7295529</v>
      </c>
    </row>
    <row r="118" spans="1:14" s="156" customFormat="1" x14ac:dyDescent="0.25">
      <c r="A118" s="262" t="s">
        <v>544</v>
      </c>
      <c r="B118" s="262" t="s">
        <v>301</v>
      </c>
      <c r="C118" s="262" t="s">
        <v>597</v>
      </c>
      <c r="D118" s="262" t="s">
        <v>541</v>
      </c>
      <c r="E118" s="263">
        <v>69174000</v>
      </c>
      <c r="F118" s="263">
        <v>65851400</v>
      </c>
      <c r="G118" s="263">
        <v>65851400</v>
      </c>
      <c r="H118" s="263">
        <v>0</v>
      </c>
      <c r="I118" s="263">
        <v>0</v>
      </c>
      <c r="J118" s="263">
        <v>0</v>
      </c>
      <c r="K118" s="263">
        <v>58930272</v>
      </c>
      <c r="L118" s="263">
        <v>58930272</v>
      </c>
      <c r="M118" s="263">
        <v>6921128</v>
      </c>
      <c r="N118" s="263">
        <v>6921128</v>
      </c>
    </row>
    <row r="119" spans="1:14" s="156" customFormat="1" x14ac:dyDescent="0.25">
      <c r="A119" s="262" t="s">
        <v>544</v>
      </c>
      <c r="B119" s="262" t="s">
        <v>302</v>
      </c>
      <c r="C119" s="262" t="s">
        <v>583</v>
      </c>
      <c r="D119" s="262" t="s">
        <v>541</v>
      </c>
      <c r="E119" s="263">
        <v>3739000</v>
      </c>
      <c r="F119" s="263">
        <v>3559400</v>
      </c>
      <c r="G119" s="263">
        <v>3559400</v>
      </c>
      <c r="H119" s="263">
        <v>0</v>
      </c>
      <c r="I119" s="263">
        <v>0</v>
      </c>
      <c r="J119" s="263">
        <v>0</v>
      </c>
      <c r="K119" s="263">
        <v>3184999</v>
      </c>
      <c r="L119" s="263">
        <v>3184999</v>
      </c>
      <c r="M119" s="263">
        <v>374401</v>
      </c>
      <c r="N119" s="263">
        <v>374401</v>
      </c>
    </row>
    <row r="120" spans="1:14" s="156" customFormat="1" x14ac:dyDescent="0.25">
      <c r="A120" s="262" t="s">
        <v>544</v>
      </c>
      <c r="B120" s="262" t="s">
        <v>118</v>
      </c>
      <c r="C120" s="262" t="s">
        <v>119</v>
      </c>
      <c r="D120" s="262" t="s">
        <v>541</v>
      </c>
      <c r="E120" s="263">
        <v>71642000</v>
      </c>
      <c r="F120" s="263">
        <v>68200900</v>
      </c>
      <c r="G120" s="263">
        <v>68200900</v>
      </c>
      <c r="H120" s="263">
        <v>0</v>
      </c>
      <c r="I120" s="263">
        <v>0</v>
      </c>
      <c r="J120" s="263">
        <v>0</v>
      </c>
      <c r="K120" s="263">
        <v>61026884</v>
      </c>
      <c r="L120" s="263">
        <v>61026884</v>
      </c>
      <c r="M120" s="263">
        <v>7174016</v>
      </c>
      <c r="N120" s="263">
        <v>7174016</v>
      </c>
    </row>
    <row r="121" spans="1:14" s="156" customFormat="1" x14ac:dyDescent="0.25">
      <c r="A121" s="262" t="s">
        <v>544</v>
      </c>
      <c r="B121" s="262" t="s">
        <v>303</v>
      </c>
      <c r="C121" s="262" t="s">
        <v>598</v>
      </c>
      <c r="D121" s="262" t="s">
        <v>541</v>
      </c>
      <c r="E121" s="263">
        <v>37990000</v>
      </c>
      <c r="F121" s="263">
        <v>36165300</v>
      </c>
      <c r="G121" s="263">
        <v>36165300</v>
      </c>
      <c r="H121" s="263">
        <v>0</v>
      </c>
      <c r="I121" s="263">
        <v>0</v>
      </c>
      <c r="J121" s="263">
        <v>0</v>
      </c>
      <c r="K121" s="263">
        <v>32361949</v>
      </c>
      <c r="L121" s="263">
        <v>32361949</v>
      </c>
      <c r="M121" s="263">
        <v>3803351</v>
      </c>
      <c r="N121" s="263">
        <v>3803351</v>
      </c>
    </row>
    <row r="122" spans="1:14" s="156" customFormat="1" x14ac:dyDescent="0.25">
      <c r="A122" s="262" t="s">
        <v>544</v>
      </c>
      <c r="B122" s="262" t="s">
        <v>304</v>
      </c>
      <c r="C122" s="262" t="s">
        <v>599</v>
      </c>
      <c r="D122" s="262" t="s">
        <v>541</v>
      </c>
      <c r="E122" s="263">
        <v>11217000</v>
      </c>
      <c r="F122" s="263">
        <v>10678200</v>
      </c>
      <c r="G122" s="263">
        <v>10678200</v>
      </c>
      <c r="H122" s="263">
        <v>0</v>
      </c>
      <c r="I122" s="263">
        <v>0</v>
      </c>
      <c r="J122" s="263">
        <v>0</v>
      </c>
      <c r="K122" s="263">
        <v>9554975</v>
      </c>
      <c r="L122" s="263">
        <v>9554975</v>
      </c>
      <c r="M122" s="263">
        <v>1123225</v>
      </c>
      <c r="N122" s="263">
        <v>1123225</v>
      </c>
    </row>
    <row r="123" spans="1:14" s="156" customFormat="1" x14ac:dyDescent="0.25">
      <c r="A123" s="262" t="s">
        <v>544</v>
      </c>
      <c r="B123" s="262" t="s">
        <v>305</v>
      </c>
      <c r="C123" s="262" t="s">
        <v>600</v>
      </c>
      <c r="D123" s="262" t="s">
        <v>541</v>
      </c>
      <c r="E123" s="263">
        <v>22435000</v>
      </c>
      <c r="F123" s="263">
        <v>21357400</v>
      </c>
      <c r="G123" s="263">
        <v>21357400</v>
      </c>
      <c r="H123" s="263">
        <v>0</v>
      </c>
      <c r="I123" s="263">
        <v>0</v>
      </c>
      <c r="J123" s="263">
        <v>0</v>
      </c>
      <c r="K123" s="263">
        <v>19109960</v>
      </c>
      <c r="L123" s="263">
        <v>19109960</v>
      </c>
      <c r="M123" s="263">
        <v>2247440</v>
      </c>
      <c r="N123" s="263">
        <v>2247440</v>
      </c>
    </row>
    <row r="124" spans="1:14" s="156" customFormat="1" x14ac:dyDescent="0.25">
      <c r="A124" s="262" t="s">
        <v>544</v>
      </c>
      <c r="B124" s="262" t="s">
        <v>123</v>
      </c>
      <c r="C124" s="262" t="s">
        <v>124</v>
      </c>
      <c r="D124" s="262" t="s">
        <v>541</v>
      </c>
      <c r="E124" s="263">
        <v>155922650</v>
      </c>
      <c r="F124" s="263">
        <v>153622650</v>
      </c>
      <c r="G124" s="263">
        <v>153622650</v>
      </c>
      <c r="H124" s="263">
        <v>0</v>
      </c>
      <c r="I124" s="263">
        <v>0</v>
      </c>
      <c r="J124" s="263">
        <v>0</v>
      </c>
      <c r="K124" s="263">
        <v>126703652.73</v>
      </c>
      <c r="L124" s="263">
        <v>114673155.91</v>
      </c>
      <c r="M124" s="263">
        <v>26918997.27</v>
      </c>
      <c r="N124" s="263">
        <v>26918997.27</v>
      </c>
    </row>
    <row r="125" spans="1:14" s="156" customFormat="1" x14ac:dyDescent="0.25">
      <c r="A125" s="262" t="s">
        <v>544</v>
      </c>
      <c r="B125" s="262" t="s">
        <v>125</v>
      </c>
      <c r="C125" s="262" t="s">
        <v>126</v>
      </c>
      <c r="D125" s="262" t="s">
        <v>541</v>
      </c>
      <c r="E125" s="263">
        <v>78966646</v>
      </c>
      <c r="F125" s="263">
        <v>82116646</v>
      </c>
      <c r="G125" s="263">
        <v>82116646</v>
      </c>
      <c r="H125" s="263">
        <v>0</v>
      </c>
      <c r="I125" s="263">
        <v>0</v>
      </c>
      <c r="J125" s="263">
        <v>0</v>
      </c>
      <c r="K125" s="263">
        <v>70901056.540000007</v>
      </c>
      <c r="L125" s="263">
        <v>70256706.819999993</v>
      </c>
      <c r="M125" s="263">
        <v>11215589.460000001</v>
      </c>
      <c r="N125" s="263">
        <v>11215589.460000001</v>
      </c>
    </row>
    <row r="126" spans="1:14" s="156" customFormat="1" x14ac:dyDescent="0.25">
      <c r="A126" s="262" t="s">
        <v>544</v>
      </c>
      <c r="B126" s="262" t="s">
        <v>306</v>
      </c>
      <c r="C126" s="262" t="s">
        <v>307</v>
      </c>
      <c r="D126" s="262" t="s">
        <v>541</v>
      </c>
      <c r="E126" s="263">
        <v>67899341</v>
      </c>
      <c r="F126" s="263">
        <v>62449341</v>
      </c>
      <c r="G126" s="263">
        <v>62449341</v>
      </c>
      <c r="H126" s="263">
        <v>0</v>
      </c>
      <c r="I126" s="263">
        <v>0</v>
      </c>
      <c r="J126" s="263">
        <v>0</v>
      </c>
      <c r="K126" s="263">
        <v>61310108.670000002</v>
      </c>
      <c r="L126" s="263">
        <v>61310108.670000002</v>
      </c>
      <c r="M126" s="263">
        <v>1139232.33</v>
      </c>
      <c r="N126" s="263">
        <v>1139232.33</v>
      </c>
    </row>
    <row r="127" spans="1:14" s="156" customFormat="1" x14ac:dyDescent="0.25">
      <c r="A127" s="262" t="s">
        <v>544</v>
      </c>
      <c r="B127" s="262" t="s">
        <v>127</v>
      </c>
      <c r="C127" s="262" t="s">
        <v>128</v>
      </c>
      <c r="D127" s="262" t="s">
        <v>541</v>
      </c>
      <c r="E127" s="263">
        <v>11067305</v>
      </c>
      <c r="F127" s="263">
        <v>19667305</v>
      </c>
      <c r="G127" s="263">
        <v>19667305</v>
      </c>
      <c r="H127" s="263">
        <v>0</v>
      </c>
      <c r="I127" s="263">
        <v>0</v>
      </c>
      <c r="J127" s="263">
        <v>0</v>
      </c>
      <c r="K127" s="263">
        <v>9590947.8699999992</v>
      </c>
      <c r="L127" s="263">
        <v>8946598.1500000004</v>
      </c>
      <c r="M127" s="263">
        <v>10076357.130000001</v>
      </c>
      <c r="N127" s="263">
        <v>10076357.130000001</v>
      </c>
    </row>
    <row r="128" spans="1:14" s="156" customFormat="1" x14ac:dyDescent="0.25">
      <c r="A128" s="262" t="s">
        <v>544</v>
      </c>
      <c r="B128" s="262" t="s">
        <v>131</v>
      </c>
      <c r="C128" s="262" t="s">
        <v>132</v>
      </c>
      <c r="D128" s="262" t="s">
        <v>541</v>
      </c>
      <c r="E128" s="263">
        <v>14518657</v>
      </c>
      <c r="F128" s="263">
        <v>18264767</v>
      </c>
      <c r="G128" s="263">
        <v>18264767</v>
      </c>
      <c r="H128" s="263">
        <v>0</v>
      </c>
      <c r="I128" s="263">
        <v>0</v>
      </c>
      <c r="J128" s="263">
        <v>0</v>
      </c>
      <c r="K128" s="263">
        <v>14887930.82</v>
      </c>
      <c r="L128" s="263">
        <v>14887930.82</v>
      </c>
      <c r="M128" s="263">
        <v>3376836.18</v>
      </c>
      <c r="N128" s="263">
        <v>3376836.18</v>
      </c>
    </row>
    <row r="129" spans="1:14" s="156" customFormat="1" x14ac:dyDescent="0.25">
      <c r="A129" s="262" t="s">
        <v>544</v>
      </c>
      <c r="B129" s="262" t="s">
        <v>133</v>
      </c>
      <c r="C129" s="262" t="s">
        <v>134</v>
      </c>
      <c r="D129" s="262" t="s">
        <v>541</v>
      </c>
      <c r="E129" s="263">
        <v>1280000</v>
      </c>
      <c r="F129" s="263">
        <v>1526110</v>
      </c>
      <c r="G129" s="263">
        <v>1526110</v>
      </c>
      <c r="H129" s="263">
        <v>0</v>
      </c>
      <c r="I129" s="263">
        <v>0</v>
      </c>
      <c r="J129" s="263">
        <v>0</v>
      </c>
      <c r="K129" s="263">
        <v>1033121</v>
      </c>
      <c r="L129" s="263">
        <v>1033121</v>
      </c>
      <c r="M129" s="263">
        <v>492989</v>
      </c>
      <c r="N129" s="263">
        <v>492989</v>
      </c>
    </row>
    <row r="130" spans="1:14" s="156" customFormat="1" x14ac:dyDescent="0.25">
      <c r="A130" s="262" t="s">
        <v>544</v>
      </c>
      <c r="B130" s="262" t="s">
        <v>135</v>
      </c>
      <c r="C130" s="262" t="s">
        <v>136</v>
      </c>
      <c r="D130" s="262" t="s">
        <v>541</v>
      </c>
      <c r="E130" s="263">
        <v>3685715</v>
      </c>
      <c r="F130" s="263">
        <v>3535715</v>
      </c>
      <c r="G130" s="263">
        <v>3535715</v>
      </c>
      <c r="H130" s="263">
        <v>0</v>
      </c>
      <c r="I130" s="263">
        <v>0</v>
      </c>
      <c r="J130" s="263">
        <v>0</v>
      </c>
      <c r="K130" s="263">
        <v>3185098</v>
      </c>
      <c r="L130" s="263">
        <v>3185098</v>
      </c>
      <c r="M130" s="263">
        <v>350617</v>
      </c>
      <c r="N130" s="263">
        <v>350617</v>
      </c>
    </row>
    <row r="131" spans="1:14" s="156" customFormat="1" x14ac:dyDescent="0.25">
      <c r="A131" s="262" t="s">
        <v>544</v>
      </c>
      <c r="B131" s="262" t="s">
        <v>139</v>
      </c>
      <c r="C131" s="262" t="s">
        <v>140</v>
      </c>
      <c r="D131" s="262" t="s">
        <v>541</v>
      </c>
      <c r="E131" s="263">
        <v>9552942</v>
      </c>
      <c r="F131" s="263">
        <v>13202942</v>
      </c>
      <c r="G131" s="263">
        <v>13202942</v>
      </c>
      <c r="H131" s="263">
        <v>0</v>
      </c>
      <c r="I131" s="263">
        <v>0</v>
      </c>
      <c r="J131" s="263">
        <v>0</v>
      </c>
      <c r="K131" s="263">
        <v>10669711.82</v>
      </c>
      <c r="L131" s="263">
        <v>10669711.82</v>
      </c>
      <c r="M131" s="263">
        <v>2533230.1800000002</v>
      </c>
      <c r="N131" s="263">
        <v>2533230.1800000002</v>
      </c>
    </row>
    <row r="132" spans="1:14" s="156" customFormat="1" x14ac:dyDescent="0.25">
      <c r="A132" s="262" t="s">
        <v>544</v>
      </c>
      <c r="B132" s="262" t="s">
        <v>143</v>
      </c>
      <c r="C132" s="262" t="s">
        <v>144</v>
      </c>
      <c r="D132" s="262" t="s">
        <v>541</v>
      </c>
      <c r="E132" s="263">
        <v>16719000</v>
      </c>
      <c r="F132" s="263">
        <v>13701000</v>
      </c>
      <c r="G132" s="263">
        <v>13701000</v>
      </c>
      <c r="H132" s="263">
        <v>0</v>
      </c>
      <c r="I132" s="263">
        <v>0</v>
      </c>
      <c r="J132" s="263">
        <v>0</v>
      </c>
      <c r="K132" s="263">
        <v>6519058.6699999999</v>
      </c>
      <c r="L132" s="263">
        <v>126180</v>
      </c>
      <c r="M132" s="263">
        <v>7181941.3300000001</v>
      </c>
      <c r="N132" s="263">
        <v>7181941.3300000001</v>
      </c>
    </row>
    <row r="133" spans="1:14" s="156" customFormat="1" x14ac:dyDescent="0.25">
      <c r="A133" s="262" t="s">
        <v>544</v>
      </c>
      <c r="B133" s="262" t="s">
        <v>145</v>
      </c>
      <c r="C133" s="262" t="s">
        <v>146</v>
      </c>
      <c r="D133" s="262" t="s">
        <v>541</v>
      </c>
      <c r="E133" s="263">
        <v>719000</v>
      </c>
      <c r="F133" s="263">
        <v>219000</v>
      </c>
      <c r="G133" s="263">
        <v>219000</v>
      </c>
      <c r="H133" s="263">
        <v>0</v>
      </c>
      <c r="I133" s="263">
        <v>0</v>
      </c>
      <c r="J133" s="263">
        <v>0</v>
      </c>
      <c r="K133" s="263">
        <v>121180</v>
      </c>
      <c r="L133" s="263">
        <v>121180</v>
      </c>
      <c r="M133" s="263">
        <v>97820</v>
      </c>
      <c r="N133" s="263">
        <v>97820</v>
      </c>
    </row>
    <row r="134" spans="1:14" s="156" customFormat="1" x14ac:dyDescent="0.25">
      <c r="A134" s="262" t="s">
        <v>544</v>
      </c>
      <c r="B134" s="262" t="s">
        <v>147</v>
      </c>
      <c r="C134" s="262" t="s">
        <v>148</v>
      </c>
      <c r="D134" s="262" t="s">
        <v>541</v>
      </c>
      <c r="E134" s="263">
        <v>16000000</v>
      </c>
      <c r="F134" s="263">
        <v>13482000</v>
      </c>
      <c r="G134" s="263">
        <v>13482000</v>
      </c>
      <c r="H134" s="263">
        <v>0</v>
      </c>
      <c r="I134" s="263">
        <v>0</v>
      </c>
      <c r="J134" s="263">
        <v>0</v>
      </c>
      <c r="K134" s="263">
        <v>6397878.6699999999</v>
      </c>
      <c r="L134" s="263">
        <v>5000</v>
      </c>
      <c r="M134" s="263">
        <v>7084121.3300000001</v>
      </c>
      <c r="N134" s="263">
        <v>7084121.3300000001</v>
      </c>
    </row>
    <row r="135" spans="1:14" s="156" customFormat="1" x14ac:dyDescent="0.25">
      <c r="A135" s="262" t="s">
        <v>544</v>
      </c>
      <c r="B135" s="262" t="s">
        <v>151</v>
      </c>
      <c r="C135" s="262" t="s">
        <v>152</v>
      </c>
      <c r="D135" s="262" t="s">
        <v>541</v>
      </c>
      <c r="E135" s="263">
        <v>2200000</v>
      </c>
      <c r="F135" s="263">
        <v>1618000</v>
      </c>
      <c r="G135" s="263">
        <v>1618000</v>
      </c>
      <c r="H135" s="263">
        <v>0</v>
      </c>
      <c r="I135" s="263">
        <v>0</v>
      </c>
      <c r="J135" s="263">
        <v>0</v>
      </c>
      <c r="K135" s="263">
        <v>1503785</v>
      </c>
      <c r="L135" s="263">
        <v>1453785</v>
      </c>
      <c r="M135" s="263">
        <v>114215</v>
      </c>
      <c r="N135" s="263">
        <v>114215</v>
      </c>
    </row>
    <row r="136" spans="1:14" s="156" customFormat="1" x14ac:dyDescent="0.25">
      <c r="A136" s="262" t="s">
        <v>544</v>
      </c>
      <c r="B136" s="262" t="s">
        <v>154</v>
      </c>
      <c r="C136" s="262" t="s">
        <v>155</v>
      </c>
      <c r="D136" s="262" t="s">
        <v>541</v>
      </c>
      <c r="E136" s="263">
        <v>1200000</v>
      </c>
      <c r="F136" s="263">
        <v>1018000</v>
      </c>
      <c r="G136" s="263">
        <v>1018000</v>
      </c>
      <c r="H136" s="263">
        <v>0</v>
      </c>
      <c r="I136" s="263">
        <v>0</v>
      </c>
      <c r="J136" s="263">
        <v>0</v>
      </c>
      <c r="K136" s="263">
        <v>1017240</v>
      </c>
      <c r="L136" s="263">
        <v>1017240</v>
      </c>
      <c r="M136" s="263">
        <v>760</v>
      </c>
      <c r="N136" s="263">
        <v>760</v>
      </c>
    </row>
    <row r="137" spans="1:14" s="156" customFormat="1" x14ac:dyDescent="0.25">
      <c r="A137" s="262" t="s">
        <v>544</v>
      </c>
      <c r="B137" s="262" t="s">
        <v>156</v>
      </c>
      <c r="C137" s="262" t="s">
        <v>157</v>
      </c>
      <c r="D137" s="262" t="s">
        <v>541</v>
      </c>
      <c r="E137" s="263">
        <v>1000000</v>
      </c>
      <c r="F137" s="263">
        <v>600000</v>
      </c>
      <c r="G137" s="263">
        <v>600000</v>
      </c>
      <c r="H137" s="263">
        <v>0</v>
      </c>
      <c r="I137" s="263">
        <v>0</v>
      </c>
      <c r="J137" s="263">
        <v>0</v>
      </c>
      <c r="K137" s="263">
        <v>486545</v>
      </c>
      <c r="L137" s="263">
        <v>436545</v>
      </c>
      <c r="M137" s="263">
        <v>113455</v>
      </c>
      <c r="N137" s="263">
        <v>113455</v>
      </c>
    </row>
    <row r="138" spans="1:14" s="156" customFormat="1" x14ac:dyDescent="0.25">
      <c r="A138" s="262" t="s">
        <v>544</v>
      </c>
      <c r="B138" s="262" t="s">
        <v>158</v>
      </c>
      <c r="C138" s="262" t="s">
        <v>159</v>
      </c>
      <c r="D138" s="262" t="s">
        <v>541</v>
      </c>
      <c r="E138" s="263">
        <v>6813730</v>
      </c>
      <c r="F138" s="263">
        <v>12156620</v>
      </c>
      <c r="G138" s="263">
        <v>12156620</v>
      </c>
      <c r="H138" s="263">
        <v>0</v>
      </c>
      <c r="I138" s="263">
        <v>0</v>
      </c>
      <c r="J138" s="263">
        <v>0</v>
      </c>
      <c r="K138" s="263">
        <v>10528440</v>
      </c>
      <c r="L138" s="263">
        <v>10528440</v>
      </c>
      <c r="M138" s="263">
        <v>1628180</v>
      </c>
      <c r="N138" s="263">
        <v>1628180</v>
      </c>
    </row>
    <row r="139" spans="1:14" s="156" customFormat="1" x14ac:dyDescent="0.25">
      <c r="A139" s="262" t="s">
        <v>544</v>
      </c>
      <c r="B139" s="262" t="s">
        <v>160</v>
      </c>
      <c r="C139" s="262" t="s">
        <v>161</v>
      </c>
      <c r="D139" s="262" t="s">
        <v>541</v>
      </c>
      <c r="E139" s="263">
        <v>250000</v>
      </c>
      <c r="F139" s="263">
        <v>902890</v>
      </c>
      <c r="G139" s="263">
        <v>902890</v>
      </c>
      <c r="H139" s="263">
        <v>0</v>
      </c>
      <c r="I139" s="263">
        <v>0</v>
      </c>
      <c r="J139" s="263">
        <v>0</v>
      </c>
      <c r="K139" s="263">
        <v>574140</v>
      </c>
      <c r="L139" s="263">
        <v>574140</v>
      </c>
      <c r="M139" s="263">
        <v>328750</v>
      </c>
      <c r="N139" s="263">
        <v>328750</v>
      </c>
    </row>
    <row r="140" spans="1:14" s="156" customFormat="1" x14ac:dyDescent="0.25">
      <c r="A140" s="262" t="s">
        <v>544</v>
      </c>
      <c r="B140" s="262" t="s">
        <v>162</v>
      </c>
      <c r="C140" s="262" t="s">
        <v>163</v>
      </c>
      <c r="D140" s="262" t="s">
        <v>541</v>
      </c>
      <c r="E140" s="263">
        <v>6563730</v>
      </c>
      <c r="F140" s="263">
        <v>11253730</v>
      </c>
      <c r="G140" s="263">
        <v>11253730</v>
      </c>
      <c r="H140" s="263">
        <v>0</v>
      </c>
      <c r="I140" s="263">
        <v>0</v>
      </c>
      <c r="J140" s="263">
        <v>0</v>
      </c>
      <c r="K140" s="263">
        <v>9954300</v>
      </c>
      <c r="L140" s="263">
        <v>9954300</v>
      </c>
      <c r="M140" s="263">
        <v>1299430</v>
      </c>
      <c r="N140" s="263">
        <v>1299430</v>
      </c>
    </row>
    <row r="141" spans="1:14" s="156" customFormat="1" x14ac:dyDescent="0.25">
      <c r="A141" s="262" t="s">
        <v>544</v>
      </c>
      <c r="B141" s="262" t="s">
        <v>168</v>
      </c>
      <c r="C141" s="262" t="s">
        <v>169</v>
      </c>
      <c r="D141" s="262" t="s">
        <v>541</v>
      </c>
      <c r="E141" s="263">
        <v>4277392</v>
      </c>
      <c r="F141" s="263">
        <v>3577392</v>
      </c>
      <c r="G141" s="263">
        <v>3577392</v>
      </c>
      <c r="H141" s="263">
        <v>0</v>
      </c>
      <c r="I141" s="263">
        <v>0</v>
      </c>
      <c r="J141" s="263">
        <v>0</v>
      </c>
      <c r="K141" s="263">
        <v>3187042</v>
      </c>
      <c r="L141" s="263">
        <v>2150240</v>
      </c>
      <c r="M141" s="263">
        <v>390350</v>
      </c>
      <c r="N141" s="263">
        <v>390350</v>
      </c>
    </row>
    <row r="142" spans="1:14" s="156" customFormat="1" x14ac:dyDescent="0.25">
      <c r="A142" s="262" t="s">
        <v>544</v>
      </c>
      <c r="B142" s="262" t="s">
        <v>170</v>
      </c>
      <c r="C142" s="262" t="s">
        <v>171</v>
      </c>
      <c r="D142" s="262" t="s">
        <v>541</v>
      </c>
      <c r="E142" s="263">
        <v>4277392</v>
      </c>
      <c r="F142" s="263">
        <v>3577392</v>
      </c>
      <c r="G142" s="263">
        <v>3577392</v>
      </c>
      <c r="H142" s="263">
        <v>0</v>
      </c>
      <c r="I142" s="263">
        <v>0</v>
      </c>
      <c r="J142" s="263">
        <v>0</v>
      </c>
      <c r="K142" s="263">
        <v>3187042</v>
      </c>
      <c r="L142" s="263">
        <v>2150240</v>
      </c>
      <c r="M142" s="263">
        <v>390350</v>
      </c>
      <c r="N142" s="263">
        <v>390350</v>
      </c>
    </row>
    <row r="143" spans="1:14" s="156" customFormat="1" x14ac:dyDescent="0.25">
      <c r="A143" s="262" t="s">
        <v>544</v>
      </c>
      <c r="B143" s="262" t="s">
        <v>172</v>
      </c>
      <c r="C143" s="262" t="s">
        <v>173</v>
      </c>
      <c r="D143" s="262" t="s">
        <v>541</v>
      </c>
      <c r="E143" s="263">
        <v>12267225</v>
      </c>
      <c r="F143" s="263">
        <v>14282225</v>
      </c>
      <c r="G143" s="263">
        <v>14282225</v>
      </c>
      <c r="H143" s="263">
        <v>0</v>
      </c>
      <c r="I143" s="263">
        <v>0</v>
      </c>
      <c r="J143" s="263">
        <v>0</v>
      </c>
      <c r="K143" s="263">
        <v>13840600</v>
      </c>
      <c r="L143" s="263">
        <v>11670300</v>
      </c>
      <c r="M143" s="263">
        <v>441625</v>
      </c>
      <c r="N143" s="263">
        <v>441625</v>
      </c>
    </row>
    <row r="144" spans="1:14" s="156" customFormat="1" x14ac:dyDescent="0.25">
      <c r="A144" s="262" t="s">
        <v>544</v>
      </c>
      <c r="B144" s="262" t="s">
        <v>309</v>
      </c>
      <c r="C144" s="262" t="s">
        <v>310</v>
      </c>
      <c r="D144" s="262" t="s">
        <v>541</v>
      </c>
      <c r="E144" s="263">
        <v>12267225</v>
      </c>
      <c r="F144" s="263">
        <v>14282225</v>
      </c>
      <c r="G144" s="263">
        <v>14282225</v>
      </c>
      <c r="H144" s="263">
        <v>0</v>
      </c>
      <c r="I144" s="263">
        <v>0</v>
      </c>
      <c r="J144" s="263">
        <v>0</v>
      </c>
      <c r="K144" s="263">
        <v>13840600</v>
      </c>
      <c r="L144" s="263">
        <v>11670300</v>
      </c>
      <c r="M144" s="263">
        <v>441625</v>
      </c>
      <c r="N144" s="263">
        <v>441625</v>
      </c>
    </row>
    <row r="145" spans="1:14" s="156" customFormat="1" x14ac:dyDescent="0.25">
      <c r="A145" s="262" t="s">
        <v>544</v>
      </c>
      <c r="B145" s="262" t="s">
        <v>178</v>
      </c>
      <c r="C145" s="262" t="s">
        <v>179</v>
      </c>
      <c r="D145" s="262" t="s">
        <v>541</v>
      </c>
      <c r="E145" s="263">
        <v>17894000</v>
      </c>
      <c r="F145" s="263">
        <v>7047000</v>
      </c>
      <c r="G145" s="263">
        <v>7047000</v>
      </c>
      <c r="H145" s="263">
        <v>0</v>
      </c>
      <c r="I145" s="263">
        <v>0</v>
      </c>
      <c r="J145" s="263">
        <v>0</v>
      </c>
      <c r="K145" s="263">
        <v>4596073.7</v>
      </c>
      <c r="L145" s="263">
        <v>2999573.27</v>
      </c>
      <c r="M145" s="263">
        <v>2450926.2999999998</v>
      </c>
      <c r="N145" s="263">
        <v>2450926.2999999998</v>
      </c>
    </row>
    <row r="146" spans="1:14" s="156" customFormat="1" x14ac:dyDescent="0.25">
      <c r="A146" s="262" t="s">
        <v>544</v>
      </c>
      <c r="B146" s="262" t="s">
        <v>182</v>
      </c>
      <c r="C146" s="262" t="s">
        <v>183</v>
      </c>
      <c r="D146" s="262" t="s">
        <v>541</v>
      </c>
      <c r="E146" s="263">
        <v>7000000</v>
      </c>
      <c r="F146" s="263">
        <v>2550000</v>
      </c>
      <c r="G146" s="263">
        <v>2550000</v>
      </c>
      <c r="H146" s="263">
        <v>0</v>
      </c>
      <c r="I146" s="263">
        <v>0</v>
      </c>
      <c r="J146" s="263">
        <v>0</v>
      </c>
      <c r="K146" s="263">
        <v>220000</v>
      </c>
      <c r="L146" s="263">
        <v>220000</v>
      </c>
      <c r="M146" s="263">
        <v>2330000</v>
      </c>
      <c r="N146" s="263">
        <v>2330000</v>
      </c>
    </row>
    <row r="147" spans="1:14" s="156" customFormat="1" x14ac:dyDescent="0.25">
      <c r="A147" s="262" t="s">
        <v>544</v>
      </c>
      <c r="B147" s="262" t="s">
        <v>186</v>
      </c>
      <c r="C147" s="262" t="s">
        <v>187</v>
      </c>
      <c r="D147" s="262" t="s">
        <v>541</v>
      </c>
      <c r="E147" s="263">
        <v>3000000</v>
      </c>
      <c r="F147" s="263">
        <v>3000</v>
      </c>
      <c r="G147" s="263">
        <v>3000</v>
      </c>
      <c r="H147" s="263">
        <v>0</v>
      </c>
      <c r="I147" s="263">
        <v>0</v>
      </c>
      <c r="J147" s="263">
        <v>0</v>
      </c>
      <c r="K147" s="263">
        <v>0</v>
      </c>
      <c r="L147" s="263">
        <v>0</v>
      </c>
      <c r="M147" s="263">
        <v>3000</v>
      </c>
      <c r="N147" s="263">
        <v>3000</v>
      </c>
    </row>
    <row r="148" spans="1:14" s="156" customFormat="1" x14ac:dyDescent="0.25">
      <c r="A148" s="262" t="s">
        <v>544</v>
      </c>
      <c r="B148" s="262" t="s">
        <v>188</v>
      </c>
      <c r="C148" s="262" t="s">
        <v>189</v>
      </c>
      <c r="D148" s="262" t="s">
        <v>541</v>
      </c>
      <c r="E148" s="263">
        <v>4494000</v>
      </c>
      <c r="F148" s="263">
        <v>4494000</v>
      </c>
      <c r="G148" s="263">
        <v>4494000</v>
      </c>
      <c r="H148" s="263">
        <v>0</v>
      </c>
      <c r="I148" s="263">
        <v>0</v>
      </c>
      <c r="J148" s="263">
        <v>0</v>
      </c>
      <c r="K148" s="263">
        <v>4376073.7</v>
      </c>
      <c r="L148" s="263">
        <v>2779573.27</v>
      </c>
      <c r="M148" s="263">
        <v>117926.3</v>
      </c>
      <c r="N148" s="263">
        <v>117926.3</v>
      </c>
    </row>
    <row r="149" spans="1:14" s="156" customFormat="1" x14ac:dyDescent="0.25">
      <c r="A149" s="262" t="s">
        <v>544</v>
      </c>
      <c r="B149" s="262" t="s">
        <v>190</v>
      </c>
      <c r="C149" s="262" t="s">
        <v>191</v>
      </c>
      <c r="D149" s="262" t="s">
        <v>541</v>
      </c>
      <c r="E149" s="263">
        <v>3400000</v>
      </c>
      <c r="F149" s="263">
        <v>0</v>
      </c>
      <c r="G149" s="263">
        <v>0</v>
      </c>
      <c r="H149" s="263">
        <v>0</v>
      </c>
      <c r="I149" s="263">
        <v>0</v>
      </c>
      <c r="J149" s="263">
        <v>0</v>
      </c>
      <c r="K149" s="263">
        <v>0</v>
      </c>
      <c r="L149" s="263">
        <v>0</v>
      </c>
      <c r="M149" s="263">
        <v>0</v>
      </c>
      <c r="N149" s="263">
        <v>0</v>
      </c>
    </row>
    <row r="150" spans="1:14" s="156" customFormat="1" x14ac:dyDescent="0.25">
      <c r="A150" s="262" t="s">
        <v>544</v>
      </c>
      <c r="B150" s="262" t="s">
        <v>192</v>
      </c>
      <c r="C150" s="262" t="s">
        <v>193</v>
      </c>
      <c r="D150" s="262" t="s">
        <v>541</v>
      </c>
      <c r="E150" s="263">
        <v>466000</v>
      </c>
      <c r="F150" s="263">
        <v>249000</v>
      </c>
      <c r="G150" s="263">
        <v>249000</v>
      </c>
      <c r="H150" s="263">
        <v>0</v>
      </c>
      <c r="I150" s="263">
        <v>0</v>
      </c>
      <c r="J150" s="263">
        <v>0</v>
      </c>
      <c r="K150" s="263">
        <v>139666</v>
      </c>
      <c r="L150" s="263">
        <v>0</v>
      </c>
      <c r="M150" s="263">
        <v>109334</v>
      </c>
      <c r="N150" s="263">
        <v>109334</v>
      </c>
    </row>
    <row r="151" spans="1:14" s="156" customFormat="1" x14ac:dyDescent="0.25">
      <c r="A151" s="262" t="s">
        <v>544</v>
      </c>
      <c r="B151" s="262" t="s">
        <v>194</v>
      </c>
      <c r="C151" s="262" t="s">
        <v>195</v>
      </c>
      <c r="D151" s="262" t="s">
        <v>541</v>
      </c>
      <c r="E151" s="263">
        <v>466000</v>
      </c>
      <c r="F151" s="263">
        <v>249000</v>
      </c>
      <c r="G151" s="263">
        <v>249000</v>
      </c>
      <c r="H151" s="263">
        <v>0</v>
      </c>
      <c r="I151" s="263">
        <v>0</v>
      </c>
      <c r="J151" s="263">
        <v>0</v>
      </c>
      <c r="K151" s="263">
        <v>139666</v>
      </c>
      <c r="L151" s="263">
        <v>0</v>
      </c>
      <c r="M151" s="263">
        <v>109334</v>
      </c>
      <c r="N151" s="263">
        <v>109334</v>
      </c>
    </row>
    <row r="152" spans="1:14" s="156" customFormat="1" x14ac:dyDescent="0.25">
      <c r="A152" s="262" t="s">
        <v>544</v>
      </c>
      <c r="B152" s="262" t="s">
        <v>196</v>
      </c>
      <c r="C152" s="262" t="s">
        <v>197</v>
      </c>
      <c r="D152" s="262" t="s">
        <v>541</v>
      </c>
      <c r="E152" s="263">
        <v>1800000</v>
      </c>
      <c r="F152" s="263">
        <v>610000</v>
      </c>
      <c r="G152" s="263">
        <v>610000</v>
      </c>
      <c r="H152" s="263">
        <v>0</v>
      </c>
      <c r="I152" s="263">
        <v>0</v>
      </c>
      <c r="J152" s="263">
        <v>0</v>
      </c>
      <c r="K152" s="263">
        <v>600000</v>
      </c>
      <c r="L152" s="263">
        <v>600000</v>
      </c>
      <c r="M152" s="263">
        <v>10000</v>
      </c>
      <c r="N152" s="263">
        <v>10000</v>
      </c>
    </row>
    <row r="153" spans="1:14" s="156" customFormat="1" x14ac:dyDescent="0.25">
      <c r="A153" s="262" t="s">
        <v>544</v>
      </c>
      <c r="B153" s="262" t="s">
        <v>198</v>
      </c>
      <c r="C153" s="262" t="s">
        <v>199</v>
      </c>
      <c r="D153" s="262" t="s">
        <v>541</v>
      </c>
      <c r="E153" s="263">
        <v>1800000</v>
      </c>
      <c r="F153" s="263">
        <v>610000</v>
      </c>
      <c r="G153" s="263">
        <v>610000</v>
      </c>
      <c r="H153" s="263">
        <v>0</v>
      </c>
      <c r="I153" s="263">
        <v>0</v>
      </c>
      <c r="J153" s="263">
        <v>0</v>
      </c>
      <c r="K153" s="263">
        <v>600000</v>
      </c>
      <c r="L153" s="263">
        <v>600000</v>
      </c>
      <c r="M153" s="263">
        <v>10000</v>
      </c>
      <c r="N153" s="263">
        <v>10000</v>
      </c>
    </row>
    <row r="154" spans="1:14" s="156" customFormat="1" x14ac:dyDescent="0.25">
      <c r="A154" s="262" t="s">
        <v>544</v>
      </c>
      <c r="B154" s="262" t="s">
        <v>200</v>
      </c>
      <c r="C154" s="262" t="s">
        <v>201</v>
      </c>
      <c r="D154" s="262" t="s">
        <v>541</v>
      </c>
      <c r="E154" s="263">
        <v>57954839</v>
      </c>
      <c r="F154" s="263">
        <v>53574839</v>
      </c>
      <c r="G154" s="263">
        <v>53574839</v>
      </c>
      <c r="H154" s="263">
        <v>0</v>
      </c>
      <c r="I154" s="263">
        <v>0</v>
      </c>
      <c r="J154" s="263">
        <v>0</v>
      </c>
      <c r="K154" s="263">
        <v>35464548.219999999</v>
      </c>
      <c r="L154" s="263">
        <v>26789319.280000001</v>
      </c>
      <c r="M154" s="263">
        <v>18110290.780000001</v>
      </c>
      <c r="N154" s="263">
        <v>18110290.780000001</v>
      </c>
    </row>
    <row r="155" spans="1:14" s="156" customFormat="1" x14ac:dyDescent="0.25">
      <c r="A155" s="262" t="s">
        <v>544</v>
      </c>
      <c r="B155" s="262" t="s">
        <v>202</v>
      </c>
      <c r="C155" s="262" t="s">
        <v>203</v>
      </c>
      <c r="D155" s="262" t="s">
        <v>541</v>
      </c>
      <c r="E155" s="263">
        <v>17854839</v>
      </c>
      <c r="F155" s="263">
        <v>15253839</v>
      </c>
      <c r="G155" s="263">
        <v>15253839</v>
      </c>
      <c r="H155" s="263">
        <v>0</v>
      </c>
      <c r="I155" s="263">
        <v>0</v>
      </c>
      <c r="J155" s="263">
        <v>0</v>
      </c>
      <c r="K155" s="263">
        <v>5333679.17</v>
      </c>
      <c r="L155" s="263">
        <v>5333679.17</v>
      </c>
      <c r="M155" s="263">
        <v>9920159.8300000001</v>
      </c>
      <c r="N155" s="263">
        <v>9920159.8300000001</v>
      </c>
    </row>
    <row r="156" spans="1:14" s="156" customFormat="1" x14ac:dyDescent="0.25">
      <c r="A156" s="262" t="s">
        <v>544</v>
      </c>
      <c r="B156" s="262" t="s">
        <v>204</v>
      </c>
      <c r="C156" s="262" t="s">
        <v>205</v>
      </c>
      <c r="D156" s="262" t="s">
        <v>541</v>
      </c>
      <c r="E156" s="263">
        <v>9354839</v>
      </c>
      <c r="F156" s="263">
        <v>6854839</v>
      </c>
      <c r="G156" s="263">
        <v>6854839</v>
      </c>
      <c r="H156" s="263">
        <v>0</v>
      </c>
      <c r="I156" s="263">
        <v>0</v>
      </c>
      <c r="J156" s="263">
        <v>0</v>
      </c>
      <c r="K156" s="263">
        <v>3981682.06</v>
      </c>
      <c r="L156" s="263">
        <v>3981682.06</v>
      </c>
      <c r="M156" s="263">
        <v>2873156.94</v>
      </c>
      <c r="N156" s="263">
        <v>2873156.94</v>
      </c>
    </row>
    <row r="157" spans="1:14" s="156" customFormat="1" x14ac:dyDescent="0.25">
      <c r="A157" s="262" t="s">
        <v>544</v>
      </c>
      <c r="B157" s="262" t="s">
        <v>208</v>
      </c>
      <c r="C157" s="262" t="s">
        <v>209</v>
      </c>
      <c r="D157" s="262" t="s">
        <v>541</v>
      </c>
      <c r="E157" s="263">
        <v>8500000</v>
      </c>
      <c r="F157" s="263">
        <v>8399000</v>
      </c>
      <c r="G157" s="263">
        <v>8399000</v>
      </c>
      <c r="H157" s="263">
        <v>0</v>
      </c>
      <c r="I157" s="263">
        <v>0</v>
      </c>
      <c r="J157" s="263">
        <v>0</v>
      </c>
      <c r="K157" s="263">
        <v>1351997.11</v>
      </c>
      <c r="L157" s="263">
        <v>1351997.11</v>
      </c>
      <c r="M157" s="263">
        <v>7047002.8899999997</v>
      </c>
      <c r="N157" s="263">
        <v>7047002.8899999997</v>
      </c>
    </row>
    <row r="158" spans="1:14" s="156" customFormat="1" x14ac:dyDescent="0.25">
      <c r="A158" s="262" t="s">
        <v>544</v>
      </c>
      <c r="B158" s="262" t="s">
        <v>212</v>
      </c>
      <c r="C158" s="262" t="s">
        <v>213</v>
      </c>
      <c r="D158" s="262" t="s">
        <v>541</v>
      </c>
      <c r="E158" s="263">
        <v>2460000</v>
      </c>
      <c r="F158" s="263">
        <v>5911000</v>
      </c>
      <c r="G158" s="263">
        <v>5911000</v>
      </c>
      <c r="H158" s="263">
        <v>0</v>
      </c>
      <c r="I158" s="263">
        <v>0</v>
      </c>
      <c r="J158" s="263">
        <v>0</v>
      </c>
      <c r="K158" s="263">
        <v>5899239</v>
      </c>
      <c r="L158" s="263">
        <v>5899239</v>
      </c>
      <c r="M158" s="263">
        <v>11761</v>
      </c>
      <c r="N158" s="263">
        <v>11761</v>
      </c>
    </row>
    <row r="159" spans="1:14" s="156" customFormat="1" x14ac:dyDescent="0.25">
      <c r="A159" s="262" t="s">
        <v>544</v>
      </c>
      <c r="B159" s="262" t="s">
        <v>214</v>
      </c>
      <c r="C159" s="262" t="s">
        <v>215</v>
      </c>
      <c r="D159" s="262" t="s">
        <v>541</v>
      </c>
      <c r="E159" s="263">
        <v>2460000</v>
      </c>
      <c r="F159" s="263">
        <v>5911000</v>
      </c>
      <c r="G159" s="263">
        <v>5911000</v>
      </c>
      <c r="H159" s="263">
        <v>0</v>
      </c>
      <c r="I159" s="263">
        <v>0</v>
      </c>
      <c r="J159" s="263">
        <v>0</v>
      </c>
      <c r="K159" s="263">
        <v>5899239</v>
      </c>
      <c r="L159" s="263">
        <v>5899239</v>
      </c>
      <c r="M159" s="263">
        <v>11761</v>
      </c>
      <c r="N159" s="263">
        <v>11761</v>
      </c>
    </row>
    <row r="160" spans="1:14" s="156" customFormat="1" x14ac:dyDescent="0.25">
      <c r="A160" s="262" t="s">
        <v>544</v>
      </c>
      <c r="B160" s="262" t="s">
        <v>216</v>
      </c>
      <c r="C160" s="262" t="s">
        <v>217</v>
      </c>
      <c r="D160" s="262" t="s">
        <v>541</v>
      </c>
      <c r="E160" s="263">
        <v>2000000</v>
      </c>
      <c r="F160" s="263">
        <v>1950000</v>
      </c>
      <c r="G160" s="263">
        <v>1950000</v>
      </c>
      <c r="H160" s="263">
        <v>0</v>
      </c>
      <c r="I160" s="263">
        <v>0</v>
      </c>
      <c r="J160" s="263">
        <v>0</v>
      </c>
      <c r="K160" s="263">
        <v>1371963.9</v>
      </c>
      <c r="L160" s="263">
        <v>1371963.9</v>
      </c>
      <c r="M160" s="263">
        <v>578036.1</v>
      </c>
      <c r="N160" s="263">
        <v>578036.1</v>
      </c>
    </row>
    <row r="161" spans="1:14" s="156" customFormat="1" x14ac:dyDescent="0.25">
      <c r="A161" s="262" t="s">
        <v>544</v>
      </c>
      <c r="B161" s="262" t="s">
        <v>220</v>
      </c>
      <c r="C161" s="262" t="s">
        <v>221</v>
      </c>
      <c r="D161" s="262" t="s">
        <v>541</v>
      </c>
      <c r="E161" s="263">
        <v>2000000</v>
      </c>
      <c r="F161" s="263">
        <v>1950000</v>
      </c>
      <c r="G161" s="263">
        <v>1950000</v>
      </c>
      <c r="H161" s="263">
        <v>0</v>
      </c>
      <c r="I161" s="263">
        <v>0</v>
      </c>
      <c r="J161" s="263">
        <v>0</v>
      </c>
      <c r="K161" s="263">
        <v>1371963.9</v>
      </c>
      <c r="L161" s="263">
        <v>1371963.9</v>
      </c>
      <c r="M161" s="263">
        <v>578036.1</v>
      </c>
      <c r="N161" s="263">
        <v>578036.1</v>
      </c>
    </row>
    <row r="162" spans="1:14" s="156" customFormat="1" x14ac:dyDescent="0.25">
      <c r="A162" s="262" t="s">
        <v>544</v>
      </c>
      <c r="B162" s="262" t="s">
        <v>228</v>
      </c>
      <c r="C162" s="262" t="s">
        <v>229</v>
      </c>
      <c r="D162" s="262" t="s">
        <v>541</v>
      </c>
      <c r="E162" s="263">
        <v>6710000</v>
      </c>
      <c r="F162" s="263">
        <v>2210000</v>
      </c>
      <c r="G162" s="263">
        <v>2210000</v>
      </c>
      <c r="H162" s="263">
        <v>0</v>
      </c>
      <c r="I162" s="263">
        <v>0</v>
      </c>
      <c r="J162" s="263">
        <v>0</v>
      </c>
      <c r="K162" s="263">
        <v>1687595</v>
      </c>
      <c r="L162" s="263">
        <v>529470</v>
      </c>
      <c r="M162" s="263">
        <v>522405</v>
      </c>
      <c r="N162" s="263">
        <v>522405</v>
      </c>
    </row>
    <row r="163" spans="1:14" s="156" customFormat="1" x14ac:dyDescent="0.25">
      <c r="A163" s="262" t="s">
        <v>544</v>
      </c>
      <c r="B163" s="262" t="s">
        <v>230</v>
      </c>
      <c r="C163" s="262" t="s">
        <v>231</v>
      </c>
      <c r="D163" s="262" t="s">
        <v>541</v>
      </c>
      <c r="E163" s="263">
        <v>3710000</v>
      </c>
      <c r="F163" s="263">
        <v>2210000</v>
      </c>
      <c r="G163" s="263">
        <v>2210000</v>
      </c>
      <c r="H163" s="263">
        <v>0</v>
      </c>
      <c r="I163" s="263">
        <v>0</v>
      </c>
      <c r="J163" s="263">
        <v>0</v>
      </c>
      <c r="K163" s="263">
        <v>1687595</v>
      </c>
      <c r="L163" s="263">
        <v>529470</v>
      </c>
      <c r="M163" s="263">
        <v>522405</v>
      </c>
      <c r="N163" s="263">
        <v>522405</v>
      </c>
    </row>
    <row r="164" spans="1:14" s="156" customFormat="1" x14ac:dyDescent="0.25">
      <c r="A164" s="262" t="s">
        <v>544</v>
      </c>
      <c r="B164" s="262" t="s">
        <v>232</v>
      </c>
      <c r="C164" s="262" t="s">
        <v>233</v>
      </c>
      <c r="D164" s="262" t="s">
        <v>541</v>
      </c>
      <c r="E164" s="263">
        <v>3000000</v>
      </c>
      <c r="F164" s="263">
        <v>0</v>
      </c>
      <c r="G164" s="263">
        <v>0</v>
      </c>
      <c r="H164" s="263">
        <v>0</v>
      </c>
      <c r="I164" s="263">
        <v>0</v>
      </c>
      <c r="J164" s="263">
        <v>0</v>
      </c>
      <c r="K164" s="263">
        <v>0</v>
      </c>
      <c r="L164" s="263">
        <v>0</v>
      </c>
      <c r="M164" s="263">
        <v>0</v>
      </c>
      <c r="N164" s="263">
        <v>0</v>
      </c>
    </row>
    <row r="165" spans="1:14" s="156" customFormat="1" x14ac:dyDescent="0.25">
      <c r="A165" s="262" t="s">
        <v>544</v>
      </c>
      <c r="B165" s="262" t="s">
        <v>234</v>
      </c>
      <c r="C165" s="262" t="s">
        <v>601</v>
      </c>
      <c r="D165" s="262" t="s">
        <v>541</v>
      </c>
      <c r="E165" s="263">
        <v>28930000</v>
      </c>
      <c r="F165" s="263">
        <v>28250000</v>
      </c>
      <c r="G165" s="263">
        <v>28250000</v>
      </c>
      <c r="H165" s="263">
        <v>0</v>
      </c>
      <c r="I165" s="263">
        <v>0</v>
      </c>
      <c r="J165" s="263">
        <v>0</v>
      </c>
      <c r="K165" s="263">
        <v>21172071.149999999</v>
      </c>
      <c r="L165" s="263">
        <v>13654967.210000001</v>
      </c>
      <c r="M165" s="263">
        <v>7077928.8499999996</v>
      </c>
      <c r="N165" s="263">
        <v>7077928.8499999996</v>
      </c>
    </row>
    <row r="166" spans="1:14" s="156" customFormat="1" x14ac:dyDescent="0.25">
      <c r="A166" s="262" t="s">
        <v>544</v>
      </c>
      <c r="B166" s="262" t="s">
        <v>235</v>
      </c>
      <c r="C166" s="262" t="s">
        <v>236</v>
      </c>
      <c r="D166" s="262" t="s">
        <v>541</v>
      </c>
      <c r="E166" s="263">
        <v>8000000</v>
      </c>
      <c r="F166" s="263">
        <v>7500000</v>
      </c>
      <c r="G166" s="263">
        <v>7500000</v>
      </c>
      <c r="H166" s="263">
        <v>0</v>
      </c>
      <c r="I166" s="263">
        <v>0</v>
      </c>
      <c r="J166" s="263">
        <v>0</v>
      </c>
      <c r="K166" s="263">
        <v>5462524.9699999997</v>
      </c>
      <c r="L166" s="263">
        <v>4473951.13</v>
      </c>
      <c r="M166" s="263">
        <v>2037475.03</v>
      </c>
      <c r="N166" s="263">
        <v>2037475.03</v>
      </c>
    </row>
    <row r="167" spans="1:14" s="156" customFormat="1" x14ac:dyDescent="0.25">
      <c r="A167" s="262" t="s">
        <v>544</v>
      </c>
      <c r="B167" s="262" t="s">
        <v>239</v>
      </c>
      <c r="C167" s="262" t="s">
        <v>240</v>
      </c>
      <c r="D167" s="262" t="s">
        <v>541</v>
      </c>
      <c r="E167" s="263">
        <v>8000000</v>
      </c>
      <c r="F167" s="263">
        <v>7400000</v>
      </c>
      <c r="G167" s="263">
        <v>7400000</v>
      </c>
      <c r="H167" s="263">
        <v>0</v>
      </c>
      <c r="I167" s="263">
        <v>0</v>
      </c>
      <c r="J167" s="263">
        <v>0</v>
      </c>
      <c r="K167" s="263">
        <v>6940995</v>
      </c>
      <c r="L167" s="263">
        <v>5635422.9000000004</v>
      </c>
      <c r="M167" s="263">
        <v>459005</v>
      </c>
      <c r="N167" s="263">
        <v>459005</v>
      </c>
    </row>
    <row r="168" spans="1:14" s="156" customFormat="1" x14ac:dyDescent="0.25">
      <c r="A168" s="262" t="s">
        <v>544</v>
      </c>
      <c r="B168" s="262" t="s">
        <v>243</v>
      </c>
      <c r="C168" s="262" t="s">
        <v>244</v>
      </c>
      <c r="D168" s="262" t="s">
        <v>541</v>
      </c>
      <c r="E168" s="263">
        <v>4930000</v>
      </c>
      <c r="F168" s="263">
        <v>4430000</v>
      </c>
      <c r="G168" s="263">
        <v>4430000</v>
      </c>
      <c r="H168" s="263">
        <v>0</v>
      </c>
      <c r="I168" s="263">
        <v>0</v>
      </c>
      <c r="J168" s="263">
        <v>0</v>
      </c>
      <c r="K168" s="263">
        <v>1293789.18</v>
      </c>
      <c r="L168" s="263">
        <v>1055343.18</v>
      </c>
      <c r="M168" s="263">
        <v>3136210.82</v>
      </c>
      <c r="N168" s="263">
        <v>3136210.82</v>
      </c>
    </row>
    <row r="169" spans="1:14" s="156" customFormat="1" x14ac:dyDescent="0.25">
      <c r="A169" s="262" t="s">
        <v>544</v>
      </c>
      <c r="B169" s="262" t="s">
        <v>249</v>
      </c>
      <c r="C169" s="262" t="s">
        <v>250</v>
      </c>
      <c r="D169" s="262" t="s">
        <v>541</v>
      </c>
      <c r="E169" s="263">
        <v>8000000</v>
      </c>
      <c r="F169" s="263">
        <v>8920000</v>
      </c>
      <c r="G169" s="263">
        <v>8920000</v>
      </c>
      <c r="H169" s="263">
        <v>0</v>
      </c>
      <c r="I169" s="263">
        <v>0</v>
      </c>
      <c r="J169" s="263">
        <v>0</v>
      </c>
      <c r="K169" s="263">
        <v>7474762</v>
      </c>
      <c r="L169" s="263">
        <v>2490250</v>
      </c>
      <c r="M169" s="263">
        <v>1445238</v>
      </c>
      <c r="N169" s="263">
        <v>1445238</v>
      </c>
    </row>
    <row r="170" spans="1:14" s="156" customFormat="1" x14ac:dyDescent="0.25">
      <c r="A170" s="262" t="s">
        <v>544</v>
      </c>
      <c r="B170" s="262" t="s">
        <v>279</v>
      </c>
      <c r="C170" s="262" t="s">
        <v>280</v>
      </c>
      <c r="D170" s="262" t="s">
        <v>543</v>
      </c>
      <c r="E170" s="263">
        <v>29500000</v>
      </c>
      <c r="F170" s="263">
        <v>29250000</v>
      </c>
      <c r="G170" s="263">
        <v>29250000</v>
      </c>
      <c r="H170" s="263">
        <v>0</v>
      </c>
      <c r="I170" s="263">
        <v>0</v>
      </c>
      <c r="J170" s="263">
        <v>0</v>
      </c>
      <c r="K170" s="263">
        <v>25132491</v>
      </c>
      <c r="L170" s="263">
        <v>9545831</v>
      </c>
      <c r="M170" s="263">
        <v>4117509</v>
      </c>
      <c r="N170" s="263">
        <v>4117509</v>
      </c>
    </row>
    <row r="171" spans="1:14" s="156" customFormat="1" x14ac:dyDescent="0.25">
      <c r="A171" s="262" t="s">
        <v>544</v>
      </c>
      <c r="B171" s="262" t="s">
        <v>281</v>
      </c>
      <c r="C171" s="262" t="s">
        <v>282</v>
      </c>
      <c r="D171" s="262" t="s">
        <v>543</v>
      </c>
      <c r="E171" s="263">
        <v>29500000</v>
      </c>
      <c r="F171" s="263">
        <v>29250000</v>
      </c>
      <c r="G171" s="263">
        <v>29250000</v>
      </c>
      <c r="H171" s="263">
        <v>0</v>
      </c>
      <c r="I171" s="263">
        <v>0</v>
      </c>
      <c r="J171" s="263">
        <v>0</v>
      </c>
      <c r="K171" s="263">
        <v>25132491</v>
      </c>
      <c r="L171" s="263">
        <v>9545831</v>
      </c>
      <c r="M171" s="263">
        <v>4117509</v>
      </c>
      <c r="N171" s="263">
        <v>4117509</v>
      </c>
    </row>
    <row r="172" spans="1:14" s="156" customFormat="1" x14ac:dyDescent="0.25">
      <c r="A172" s="262" t="s">
        <v>544</v>
      </c>
      <c r="B172" s="262" t="s">
        <v>285</v>
      </c>
      <c r="C172" s="262" t="s">
        <v>286</v>
      </c>
      <c r="D172" s="262" t="s">
        <v>543</v>
      </c>
      <c r="E172" s="263">
        <v>4700000</v>
      </c>
      <c r="F172" s="263">
        <v>6950000</v>
      </c>
      <c r="G172" s="263">
        <v>6950000</v>
      </c>
      <c r="H172" s="263">
        <v>0</v>
      </c>
      <c r="I172" s="263">
        <v>0</v>
      </c>
      <c r="J172" s="263">
        <v>0</v>
      </c>
      <c r="K172" s="263">
        <v>5575320</v>
      </c>
      <c r="L172" s="263">
        <v>1400320</v>
      </c>
      <c r="M172" s="263">
        <v>1374680</v>
      </c>
      <c r="N172" s="263">
        <v>1374680</v>
      </c>
    </row>
    <row r="173" spans="1:14" s="156" customFormat="1" x14ac:dyDescent="0.25">
      <c r="A173" s="262" t="s">
        <v>544</v>
      </c>
      <c r="B173" s="262" t="s">
        <v>287</v>
      </c>
      <c r="C173" s="262" t="s">
        <v>288</v>
      </c>
      <c r="D173" s="262" t="s">
        <v>543</v>
      </c>
      <c r="E173" s="263">
        <v>3800000</v>
      </c>
      <c r="F173" s="263">
        <v>3300000</v>
      </c>
      <c r="G173" s="263">
        <v>3300000</v>
      </c>
      <c r="H173" s="263">
        <v>0</v>
      </c>
      <c r="I173" s="263">
        <v>0</v>
      </c>
      <c r="J173" s="263">
        <v>0</v>
      </c>
      <c r="K173" s="263">
        <v>3035230</v>
      </c>
      <c r="L173" s="263">
        <v>913570</v>
      </c>
      <c r="M173" s="263">
        <v>264770</v>
      </c>
      <c r="N173" s="263">
        <v>264770</v>
      </c>
    </row>
    <row r="174" spans="1:14" s="156" customFormat="1" x14ac:dyDescent="0.25">
      <c r="A174" s="262" t="s">
        <v>544</v>
      </c>
      <c r="B174" s="262" t="s">
        <v>289</v>
      </c>
      <c r="C174" s="262" t="s">
        <v>290</v>
      </c>
      <c r="D174" s="262" t="s">
        <v>543</v>
      </c>
      <c r="E174" s="263">
        <v>1000000</v>
      </c>
      <c r="F174" s="263">
        <v>0</v>
      </c>
      <c r="G174" s="263">
        <v>0</v>
      </c>
      <c r="H174" s="263">
        <v>0</v>
      </c>
      <c r="I174" s="263">
        <v>0</v>
      </c>
      <c r="J174" s="263">
        <v>0</v>
      </c>
      <c r="K174" s="263">
        <v>0</v>
      </c>
      <c r="L174" s="263">
        <v>0</v>
      </c>
      <c r="M174" s="263">
        <v>0</v>
      </c>
      <c r="N174" s="263">
        <v>0</v>
      </c>
    </row>
    <row r="175" spans="1:14" s="156" customFormat="1" x14ac:dyDescent="0.25">
      <c r="A175" s="262" t="s">
        <v>544</v>
      </c>
      <c r="B175" s="262" t="s">
        <v>293</v>
      </c>
      <c r="C175" s="262" t="s">
        <v>294</v>
      </c>
      <c r="D175" s="262" t="s">
        <v>543</v>
      </c>
      <c r="E175" s="263">
        <v>16000000</v>
      </c>
      <c r="F175" s="263">
        <v>16000000</v>
      </c>
      <c r="G175" s="263">
        <v>16000000</v>
      </c>
      <c r="H175" s="263">
        <v>0</v>
      </c>
      <c r="I175" s="263">
        <v>0</v>
      </c>
      <c r="J175" s="263">
        <v>0</v>
      </c>
      <c r="K175" s="263">
        <v>15841501</v>
      </c>
      <c r="L175" s="263">
        <v>7031501</v>
      </c>
      <c r="M175" s="263">
        <v>158499</v>
      </c>
      <c r="N175" s="263">
        <v>158499</v>
      </c>
    </row>
    <row r="176" spans="1:14" s="156" customFormat="1" x14ac:dyDescent="0.25">
      <c r="A176" s="262" t="s">
        <v>544</v>
      </c>
      <c r="B176" s="262" t="s">
        <v>295</v>
      </c>
      <c r="C176" s="262" t="s">
        <v>296</v>
      </c>
      <c r="D176" s="262" t="s">
        <v>543</v>
      </c>
      <c r="E176" s="263">
        <v>4000000</v>
      </c>
      <c r="F176" s="263">
        <v>3000000</v>
      </c>
      <c r="G176" s="263">
        <v>3000000</v>
      </c>
      <c r="H176" s="263">
        <v>0</v>
      </c>
      <c r="I176" s="263">
        <v>0</v>
      </c>
      <c r="J176" s="263">
        <v>0</v>
      </c>
      <c r="K176" s="263">
        <v>680440</v>
      </c>
      <c r="L176" s="263">
        <v>200440</v>
      </c>
      <c r="M176" s="263">
        <v>2319560</v>
      </c>
      <c r="N176" s="263">
        <v>2319560</v>
      </c>
    </row>
    <row r="177" spans="1:14" s="156" customFormat="1" x14ac:dyDescent="0.25">
      <c r="A177" s="262" t="s">
        <v>544</v>
      </c>
      <c r="B177" s="262" t="s">
        <v>251</v>
      </c>
      <c r="C177" s="262" t="s">
        <v>252</v>
      </c>
      <c r="D177" s="262" t="s">
        <v>541</v>
      </c>
      <c r="E177" s="263">
        <v>43960000</v>
      </c>
      <c r="F177" s="263">
        <v>35424785</v>
      </c>
      <c r="G177" s="263">
        <v>35424785</v>
      </c>
      <c r="H177" s="263">
        <v>0</v>
      </c>
      <c r="I177" s="263">
        <v>0</v>
      </c>
      <c r="J177" s="263">
        <v>0</v>
      </c>
      <c r="K177" s="263">
        <v>30848210.050000001</v>
      </c>
      <c r="L177" s="263">
        <v>30848210.050000001</v>
      </c>
      <c r="M177" s="263">
        <v>4576574.95</v>
      </c>
      <c r="N177" s="263">
        <v>4576574.95</v>
      </c>
    </row>
    <row r="178" spans="1:14" s="156" customFormat="1" x14ac:dyDescent="0.25">
      <c r="A178" s="262" t="s">
        <v>544</v>
      </c>
      <c r="B178" s="262" t="s">
        <v>253</v>
      </c>
      <c r="C178" s="262" t="s">
        <v>254</v>
      </c>
      <c r="D178" s="262" t="s">
        <v>541</v>
      </c>
      <c r="E178" s="263">
        <v>11142000</v>
      </c>
      <c r="F178" s="263">
        <v>10606785</v>
      </c>
      <c r="G178" s="263">
        <v>10606785</v>
      </c>
      <c r="H178" s="263">
        <v>0</v>
      </c>
      <c r="I178" s="263">
        <v>0</v>
      </c>
      <c r="J178" s="263">
        <v>0</v>
      </c>
      <c r="K178" s="263">
        <v>9491281</v>
      </c>
      <c r="L178" s="263">
        <v>9491281</v>
      </c>
      <c r="M178" s="263">
        <v>1115504</v>
      </c>
      <c r="N178" s="263">
        <v>1115504</v>
      </c>
    </row>
    <row r="179" spans="1:14" s="156" customFormat="1" x14ac:dyDescent="0.25">
      <c r="A179" s="262" t="s">
        <v>544</v>
      </c>
      <c r="B179" s="262" t="s">
        <v>311</v>
      </c>
      <c r="C179" s="262" t="s">
        <v>602</v>
      </c>
      <c r="D179" s="262" t="s">
        <v>541</v>
      </c>
      <c r="E179" s="263">
        <v>9273000</v>
      </c>
      <c r="F179" s="263">
        <v>8827585</v>
      </c>
      <c r="G179" s="263">
        <v>8827585</v>
      </c>
      <c r="H179" s="263">
        <v>0</v>
      </c>
      <c r="I179" s="263">
        <v>0</v>
      </c>
      <c r="J179" s="263">
        <v>0</v>
      </c>
      <c r="K179" s="263">
        <v>7898786</v>
      </c>
      <c r="L179" s="263">
        <v>7898786</v>
      </c>
      <c r="M179" s="263">
        <v>928799</v>
      </c>
      <c r="N179" s="263">
        <v>928799</v>
      </c>
    </row>
    <row r="180" spans="1:14" s="156" customFormat="1" x14ac:dyDescent="0.25">
      <c r="A180" s="262" t="s">
        <v>544</v>
      </c>
      <c r="B180" s="262" t="s">
        <v>312</v>
      </c>
      <c r="C180" s="262" t="s">
        <v>603</v>
      </c>
      <c r="D180" s="262" t="s">
        <v>541</v>
      </c>
      <c r="E180" s="263">
        <v>1869000</v>
      </c>
      <c r="F180" s="263">
        <v>1779200</v>
      </c>
      <c r="G180" s="263">
        <v>1779200</v>
      </c>
      <c r="H180" s="263">
        <v>0</v>
      </c>
      <c r="I180" s="263">
        <v>0</v>
      </c>
      <c r="J180" s="263">
        <v>0</v>
      </c>
      <c r="K180" s="263">
        <v>1592495</v>
      </c>
      <c r="L180" s="263">
        <v>1592495</v>
      </c>
      <c r="M180" s="263">
        <v>186705</v>
      </c>
      <c r="N180" s="263">
        <v>186705</v>
      </c>
    </row>
    <row r="181" spans="1:14" s="156" customFormat="1" x14ac:dyDescent="0.25">
      <c r="A181" s="262" t="s">
        <v>544</v>
      </c>
      <c r="B181" s="262" t="s">
        <v>261</v>
      </c>
      <c r="C181" s="262" t="s">
        <v>262</v>
      </c>
      <c r="D181" s="262" t="s">
        <v>541</v>
      </c>
      <c r="E181" s="263">
        <v>24818000</v>
      </c>
      <c r="F181" s="263">
        <v>24818000</v>
      </c>
      <c r="G181" s="263">
        <v>24818000</v>
      </c>
      <c r="H181" s="263">
        <v>0</v>
      </c>
      <c r="I181" s="263">
        <v>0</v>
      </c>
      <c r="J181" s="263">
        <v>0</v>
      </c>
      <c r="K181" s="263">
        <v>21356929.050000001</v>
      </c>
      <c r="L181" s="263">
        <v>21356929.050000001</v>
      </c>
      <c r="M181" s="263">
        <v>3461070.95</v>
      </c>
      <c r="N181" s="263">
        <v>3461070.95</v>
      </c>
    </row>
    <row r="182" spans="1:14" s="156" customFormat="1" x14ac:dyDescent="0.25">
      <c r="A182" s="262" t="s">
        <v>544</v>
      </c>
      <c r="B182" s="262" t="s">
        <v>263</v>
      </c>
      <c r="C182" s="262" t="s">
        <v>264</v>
      </c>
      <c r="D182" s="262" t="s">
        <v>541</v>
      </c>
      <c r="E182" s="263">
        <v>17000000</v>
      </c>
      <c r="F182" s="263">
        <v>17000000</v>
      </c>
      <c r="G182" s="263">
        <v>17000000</v>
      </c>
      <c r="H182" s="263">
        <v>0</v>
      </c>
      <c r="I182" s="263">
        <v>0</v>
      </c>
      <c r="J182" s="263">
        <v>0</v>
      </c>
      <c r="K182" s="263">
        <v>16963666.550000001</v>
      </c>
      <c r="L182" s="263">
        <v>16963666.550000001</v>
      </c>
      <c r="M182" s="263">
        <v>36333.449999999997</v>
      </c>
      <c r="N182" s="263">
        <v>36333.449999999997</v>
      </c>
    </row>
    <row r="183" spans="1:14" s="156" customFormat="1" x14ac:dyDescent="0.25">
      <c r="A183" s="262" t="s">
        <v>544</v>
      </c>
      <c r="B183" s="262" t="s">
        <v>265</v>
      </c>
      <c r="C183" s="262" t="s">
        <v>266</v>
      </c>
      <c r="D183" s="262" t="s">
        <v>541</v>
      </c>
      <c r="E183" s="263">
        <v>7818000</v>
      </c>
      <c r="F183" s="263">
        <v>7818000</v>
      </c>
      <c r="G183" s="263">
        <v>7818000</v>
      </c>
      <c r="H183" s="263">
        <v>0</v>
      </c>
      <c r="I183" s="263">
        <v>0</v>
      </c>
      <c r="J183" s="263">
        <v>0</v>
      </c>
      <c r="K183" s="263">
        <v>4393262.5</v>
      </c>
      <c r="L183" s="263">
        <v>4393262.5</v>
      </c>
      <c r="M183" s="263">
        <v>3424737.5</v>
      </c>
      <c r="N183" s="263">
        <v>3424737.5</v>
      </c>
    </row>
    <row r="184" spans="1:14" s="156" customFormat="1" x14ac:dyDescent="0.25">
      <c r="A184" s="262" t="s">
        <v>544</v>
      </c>
      <c r="B184" s="262" t="s">
        <v>267</v>
      </c>
      <c r="C184" s="262" t="s">
        <v>268</v>
      </c>
      <c r="D184" s="262" t="s">
        <v>541</v>
      </c>
      <c r="E184" s="263">
        <v>8000000</v>
      </c>
      <c r="F184" s="263">
        <v>0</v>
      </c>
      <c r="G184" s="263">
        <v>0</v>
      </c>
      <c r="H184" s="263">
        <v>0</v>
      </c>
      <c r="I184" s="263">
        <v>0</v>
      </c>
      <c r="J184" s="263">
        <v>0</v>
      </c>
      <c r="K184" s="263">
        <v>0</v>
      </c>
      <c r="L184" s="263">
        <v>0</v>
      </c>
      <c r="M184" s="263">
        <v>0</v>
      </c>
      <c r="N184" s="263">
        <v>0</v>
      </c>
    </row>
    <row r="185" spans="1:14" s="156" customFormat="1" x14ac:dyDescent="0.25">
      <c r="A185" s="262" t="s">
        <v>544</v>
      </c>
      <c r="B185" s="262" t="s">
        <v>269</v>
      </c>
      <c r="C185" s="262" t="s">
        <v>270</v>
      </c>
      <c r="D185" s="262" t="s">
        <v>541</v>
      </c>
      <c r="E185" s="263">
        <v>8000000</v>
      </c>
      <c r="F185" s="263">
        <v>0</v>
      </c>
      <c r="G185" s="263">
        <v>0</v>
      </c>
      <c r="H185" s="263">
        <v>0</v>
      </c>
      <c r="I185" s="263">
        <v>0</v>
      </c>
      <c r="J185" s="263">
        <v>0</v>
      </c>
      <c r="K185" s="263">
        <v>0</v>
      </c>
      <c r="L185" s="263">
        <v>0</v>
      </c>
      <c r="M185" s="263">
        <v>0</v>
      </c>
      <c r="N185" s="263">
        <v>0</v>
      </c>
    </row>
    <row r="186" spans="1:14" s="156" customFormat="1" x14ac:dyDescent="0.25">
      <c r="A186" s="262">
        <v>214781</v>
      </c>
      <c r="B186" s="262" t="s">
        <v>587</v>
      </c>
      <c r="C186" s="262" t="s">
        <v>587</v>
      </c>
      <c r="D186" s="262" t="s">
        <v>541</v>
      </c>
      <c r="E186" s="263">
        <v>11325587195</v>
      </c>
      <c r="F186" s="263">
        <v>10861397887</v>
      </c>
      <c r="G186" s="263">
        <v>10861397887</v>
      </c>
      <c r="H186" s="263">
        <v>0</v>
      </c>
      <c r="I186" s="263">
        <v>0</v>
      </c>
      <c r="J186" s="263">
        <v>0</v>
      </c>
      <c r="K186" s="263">
        <v>9909325805.1000004</v>
      </c>
      <c r="L186" s="263">
        <v>9816027985.8400002</v>
      </c>
      <c r="M186" s="263">
        <v>952072081.89999998</v>
      </c>
      <c r="N186" s="263">
        <v>952072081.89999998</v>
      </c>
    </row>
    <row r="187" spans="1:14" s="156" customFormat="1" x14ac:dyDescent="0.25">
      <c r="A187" s="262" t="s">
        <v>545</v>
      </c>
      <c r="B187" s="262" t="s">
        <v>92</v>
      </c>
      <c r="C187" s="262" t="s">
        <v>93</v>
      </c>
      <c r="D187" s="262" t="s">
        <v>541</v>
      </c>
      <c r="E187" s="263">
        <v>9908319000</v>
      </c>
      <c r="F187" s="263">
        <v>9514490916</v>
      </c>
      <c r="G187" s="263">
        <v>9514490916</v>
      </c>
      <c r="H187" s="263">
        <v>0</v>
      </c>
      <c r="I187" s="263">
        <v>0</v>
      </c>
      <c r="J187" s="263">
        <v>0</v>
      </c>
      <c r="K187" s="263">
        <v>8674004452.7399998</v>
      </c>
      <c r="L187" s="263">
        <v>8674004452.7399998</v>
      </c>
      <c r="M187" s="263">
        <v>840486463.25999999</v>
      </c>
      <c r="N187" s="263">
        <v>840486463.25999999</v>
      </c>
    </row>
    <row r="188" spans="1:14" s="156" customFormat="1" x14ac:dyDescent="0.25">
      <c r="A188" s="262" t="s">
        <v>545</v>
      </c>
      <c r="B188" s="262" t="s">
        <v>94</v>
      </c>
      <c r="C188" s="262" t="s">
        <v>95</v>
      </c>
      <c r="D188" s="262" t="s">
        <v>541</v>
      </c>
      <c r="E188" s="263">
        <v>3418584000</v>
      </c>
      <c r="F188" s="263">
        <v>3260701074</v>
      </c>
      <c r="G188" s="263">
        <v>3260701074</v>
      </c>
      <c r="H188" s="263">
        <v>0</v>
      </c>
      <c r="I188" s="263">
        <v>0</v>
      </c>
      <c r="J188" s="263">
        <v>0</v>
      </c>
      <c r="K188" s="263">
        <v>3005760689.3800001</v>
      </c>
      <c r="L188" s="263">
        <v>3005760689.3800001</v>
      </c>
      <c r="M188" s="263">
        <v>254940384.62</v>
      </c>
      <c r="N188" s="263">
        <v>254940384.62</v>
      </c>
    </row>
    <row r="189" spans="1:14" s="156" customFormat="1" x14ac:dyDescent="0.25">
      <c r="A189" s="262" t="s">
        <v>545</v>
      </c>
      <c r="B189" s="262" t="s">
        <v>96</v>
      </c>
      <c r="C189" s="262" t="s">
        <v>97</v>
      </c>
      <c r="D189" s="262" t="s">
        <v>541</v>
      </c>
      <c r="E189" s="263">
        <v>3413584000</v>
      </c>
      <c r="F189" s="263">
        <v>3255701074</v>
      </c>
      <c r="G189" s="263">
        <v>3255701074</v>
      </c>
      <c r="H189" s="263">
        <v>0</v>
      </c>
      <c r="I189" s="263">
        <v>0</v>
      </c>
      <c r="J189" s="263">
        <v>0</v>
      </c>
      <c r="K189" s="263">
        <v>3005760689.3800001</v>
      </c>
      <c r="L189" s="263">
        <v>3005760689.3800001</v>
      </c>
      <c r="M189" s="263">
        <v>249940384.62</v>
      </c>
      <c r="N189" s="263">
        <v>249940384.62</v>
      </c>
    </row>
    <row r="190" spans="1:14" s="156" customFormat="1" x14ac:dyDescent="0.25">
      <c r="A190" s="262" t="s">
        <v>545</v>
      </c>
      <c r="B190" s="262" t="s">
        <v>313</v>
      </c>
      <c r="C190" s="262" t="s">
        <v>314</v>
      </c>
      <c r="D190" s="262" t="s">
        <v>541</v>
      </c>
      <c r="E190" s="263">
        <v>5000000</v>
      </c>
      <c r="F190" s="263">
        <v>5000000</v>
      </c>
      <c r="G190" s="263">
        <v>5000000</v>
      </c>
      <c r="H190" s="263">
        <v>0</v>
      </c>
      <c r="I190" s="263">
        <v>0</v>
      </c>
      <c r="J190" s="263">
        <v>0</v>
      </c>
      <c r="K190" s="263">
        <v>0</v>
      </c>
      <c r="L190" s="263">
        <v>0</v>
      </c>
      <c r="M190" s="263">
        <v>5000000</v>
      </c>
      <c r="N190" s="263">
        <v>5000000</v>
      </c>
    </row>
    <row r="191" spans="1:14" s="156" customFormat="1" x14ac:dyDescent="0.25">
      <c r="A191" s="262" t="s">
        <v>545</v>
      </c>
      <c r="B191" s="262" t="s">
        <v>98</v>
      </c>
      <c r="C191" s="262" t="s">
        <v>99</v>
      </c>
      <c r="D191" s="262" t="s">
        <v>541</v>
      </c>
      <c r="E191" s="263">
        <v>11000000</v>
      </c>
      <c r="F191" s="263">
        <v>11000000</v>
      </c>
      <c r="G191" s="263">
        <v>11000000</v>
      </c>
      <c r="H191" s="263">
        <v>0</v>
      </c>
      <c r="I191" s="263">
        <v>0</v>
      </c>
      <c r="J191" s="263">
        <v>0</v>
      </c>
      <c r="K191" s="263">
        <v>6988173.5800000001</v>
      </c>
      <c r="L191" s="263">
        <v>6988173.5800000001</v>
      </c>
      <c r="M191" s="263">
        <v>4011826.42</v>
      </c>
      <c r="N191" s="263">
        <v>4011826.42</v>
      </c>
    </row>
    <row r="192" spans="1:14" s="156" customFormat="1" x14ac:dyDescent="0.25">
      <c r="A192" s="262" t="s">
        <v>545</v>
      </c>
      <c r="B192" s="262" t="s">
        <v>100</v>
      </c>
      <c r="C192" s="262" t="s">
        <v>101</v>
      </c>
      <c r="D192" s="262" t="s">
        <v>541</v>
      </c>
      <c r="E192" s="263">
        <v>11000000</v>
      </c>
      <c r="F192" s="263">
        <v>11000000</v>
      </c>
      <c r="G192" s="263">
        <v>11000000</v>
      </c>
      <c r="H192" s="263">
        <v>0</v>
      </c>
      <c r="I192" s="263">
        <v>0</v>
      </c>
      <c r="J192" s="263">
        <v>0</v>
      </c>
      <c r="K192" s="263">
        <v>6988173.5800000001</v>
      </c>
      <c r="L192" s="263">
        <v>6988173.5800000001</v>
      </c>
      <c r="M192" s="263">
        <v>4011826.42</v>
      </c>
      <c r="N192" s="263">
        <v>4011826.42</v>
      </c>
    </row>
    <row r="193" spans="1:14" s="156" customFormat="1" x14ac:dyDescent="0.25">
      <c r="A193" s="262" t="s">
        <v>545</v>
      </c>
      <c r="B193" s="262" t="s">
        <v>102</v>
      </c>
      <c r="C193" s="262" t="s">
        <v>103</v>
      </c>
      <c r="D193" s="262" t="s">
        <v>541</v>
      </c>
      <c r="E193" s="263">
        <v>4978167000</v>
      </c>
      <c r="F193" s="263">
        <v>4800097989</v>
      </c>
      <c r="G193" s="263">
        <v>4800097989</v>
      </c>
      <c r="H193" s="263">
        <v>0</v>
      </c>
      <c r="I193" s="263">
        <v>0</v>
      </c>
      <c r="J193" s="263">
        <v>0</v>
      </c>
      <c r="K193" s="263">
        <v>4361247641.7799997</v>
      </c>
      <c r="L193" s="263">
        <v>4361247641.7799997</v>
      </c>
      <c r="M193" s="263">
        <v>438850347.22000003</v>
      </c>
      <c r="N193" s="263">
        <v>438850347.22000003</v>
      </c>
    </row>
    <row r="194" spans="1:14" s="156" customFormat="1" x14ac:dyDescent="0.25">
      <c r="A194" s="262" t="s">
        <v>545</v>
      </c>
      <c r="B194" s="262" t="s">
        <v>104</v>
      </c>
      <c r="C194" s="262" t="s">
        <v>105</v>
      </c>
      <c r="D194" s="262" t="s">
        <v>541</v>
      </c>
      <c r="E194" s="263">
        <v>913627000</v>
      </c>
      <c r="F194" s="263">
        <v>873921834</v>
      </c>
      <c r="G194" s="263">
        <v>873921834</v>
      </c>
      <c r="H194" s="263">
        <v>0</v>
      </c>
      <c r="I194" s="263">
        <v>0</v>
      </c>
      <c r="J194" s="263">
        <v>0</v>
      </c>
      <c r="K194" s="263">
        <v>762867973.85000002</v>
      </c>
      <c r="L194" s="263">
        <v>762867973.85000002</v>
      </c>
      <c r="M194" s="263">
        <v>111053860.15000001</v>
      </c>
      <c r="N194" s="263">
        <v>111053860.15000001</v>
      </c>
    </row>
    <row r="195" spans="1:14" s="156" customFormat="1" x14ac:dyDescent="0.25">
      <c r="A195" s="262" t="s">
        <v>545</v>
      </c>
      <c r="B195" s="262" t="s">
        <v>106</v>
      </c>
      <c r="C195" s="262" t="s">
        <v>107</v>
      </c>
      <c r="D195" s="262" t="s">
        <v>541</v>
      </c>
      <c r="E195" s="263">
        <v>2244831000</v>
      </c>
      <c r="F195" s="263">
        <v>2154630736</v>
      </c>
      <c r="G195" s="263">
        <v>2154630736</v>
      </c>
      <c r="H195" s="263">
        <v>0</v>
      </c>
      <c r="I195" s="263">
        <v>0</v>
      </c>
      <c r="J195" s="263">
        <v>0</v>
      </c>
      <c r="K195" s="263">
        <v>1975337981.6300001</v>
      </c>
      <c r="L195" s="263">
        <v>1975337981.6300001</v>
      </c>
      <c r="M195" s="263">
        <v>179292754.37</v>
      </c>
      <c r="N195" s="263">
        <v>179292754.37</v>
      </c>
    </row>
    <row r="196" spans="1:14" s="156" customFormat="1" x14ac:dyDescent="0.25">
      <c r="A196" s="262" t="s">
        <v>545</v>
      </c>
      <c r="B196" s="262" t="s">
        <v>112</v>
      </c>
      <c r="C196" s="262" t="s">
        <v>113</v>
      </c>
      <c r="D196" s="262" t="s">
        <v>543</v>
      </c>
      <c r="E196" s="263">
        <v>647839000</v>
      </c>
      <c r="F196" s="263">
        <v>795765.2</v>
      </c>
      <c r="G196" s="263">
        <v>795765.2</v>
      </c>
      <c r="H196" s="263">
        <v>0</v>
      </c>
      <c r="I196" s="263">
        <v>0</v>
      </c>
      <c r="J196" s="263">
        <v>0</v>
      </c>
      <c r="K196" s="263">
        <v>795765.2</v>
      </c>
      <c r="L196" s="263">
        <v>795765.2</v>
      </c>
      <c r="M196" s="263">
        <v>0</v>
      </c>
      <c r="N196" s="263">
        <v>0</v>
      </c>
    </row>
    <row r="197" spans="1:14" s="156" customFormat="1" x14ac:dyDescent="0.25">
      <c r="A197" s="262" t="s">
        <v>545</v>
      </c>
      <c r="B197" s="262" t="s">
        <v>112</v>
      </c>
      <c r="C197" s="262" t="s">
        <v>113</v>
      </c>
      <c r="D197" s="262" t="s">
        <v>655</v>
      </c>
      <c r="E197" s="263">
        <v>0</v>
      </c>
      <c r="F197" s="263">
        <v>622102298.79999995</v>
      </c>
      <c r="G197" s="263">
        <v>622102298.79999995</v>
      </c>
      <c r="H197" s="263">
        <v>0</v>
      </c>
      <c r="I197" s="263">
        <v>0</v>
      </c>
      <c r="J197" s="263">
        <v>0</v>
      </c>
      <c r="K197" s="263">
        <v>570841863.19000006</v>
      </c>
      <c r="L197" s="263">
        <v>570841863.19000006</v>
      </c>
      <c r="M197" s="263">
        <v>51260435.609999999</v>
      </c>
      <c r="N197" s="263">
        <v>51260435.609999999</v>
      </c>
    </row>
    <row r="198" spans="1:14" s="156" customFormat="1" x14ac:dyDescent="0.25">
      <c r="A198" s="262" t="s">
        <v>545</v>
      </c>
      <c r="B198" s="262" t="s">
        <v>108</v>
      </c>
      <c r="C198" s="262" t="s">
        <v>109</v>
      </c>
      <c r="D198" s="262" t="s">
        <v>541</v>
      </c>
      <c r="E198" s="263">
        <v>540993000</v>
      </c>
      <c r="F198" s="263">
        <v>537993000</v>
      </c>
      <c r="G198" s="263">
        <v>537993000</v>
      </c>
      <c r="H198" s="263">
        <v>0</v>
      </c>
      <c r="I198" s="263">
        <v>0</v>
      </c>
      <c r="J198" s="263">
        <v>0</v>
      </c>
      <c r="K198" s="263">
        <v>494614040.87</v>
      </c>
      <c r="L198" s="263">
        <v>494614040.87</v>
      </c>
      <c r="M198" s="263">
        <v>43378959.130000003</v>
      </c>
      <c r="N198" s="263">
        <v>43378959.130000003</v>
      </c>
    </row>
    <row r="199" spans="1:14" s="156" customFormat="1" x14ac:dyDescent="0.25">
      <c r="A199" s="262" t="s">
        <v>545</v>
      </c>
      <c r="B199" s="262" t="s">
        <v>110</v>
      </c>
      <c r="C199" s="262" t="s">
        <v>111</v>
      </c>
      <c r="D199" s="262" t="s">
        <v>541</v>
      </c>
      <c r="E199" s="263">
        <v>630877000</v>
      </c>
      <c r="F199" s="263">
        <v>610654355</v>
      </c>
      <c r="G199" s="263">
        <v>610654355</v>
      </c>
      <c r="H199" s="263">
        <v>0</v>
      </c>
      <c r="I199" s="263">
        <v>0</v>
      </c>
      <c r="J199" s="263">
        <v>0</v>
      </c>
      <c r="K199" s="263">
        <v>556790017.03999996</v>
      </c>
      <c r="L199" s="263">
        <v>556790017.03999996</v>
      </c>
      <c r="M199" s="263">
        <v>53864337.960000001</v>
      </c>
      <c r="N199" s="263">
        <v>53864337.960000001</v>
      </c>
    </row>
    <row r="200" spans="1:14" s="156" customFormat="1" x14ac:dyDescent="0.25">
      <c r="A200" s="262" t="s">
        <v>545</v>
      </c>
      <c r="B200" s="262" t="s">
        <v>114</v>
      </c>
      <c r="C200" s="262" t="s">
        <v>115</v>
      </c>
      <c r="D200" s="262" t="s">
        <v>541</v>
      </c>
      <c r="E200" s="263">
        <v>756883000</v>
      </c>
      <c r="F200" s="263">
        <v>727690427</v>
      </c>
      <c r="G200" s="263">
        <v>727690427</v>
      </c>
      <c r="H200" s="263">
        <v>0</v>
      </c>
      <c r="I200" s="263">
        <v>0</v>
      </c>
      <c r="J200" s="263">
        <v>0</v>
      </c>
      <c r="K200" s="263">
        <v>660095885</v>
      </c>
      <c r="L200" s="263">
        <v>660095885</v>
      </c>
      <c r="M200" s="263">
        <v>67594542</v>
      </c>
      <c r="N200" s="263">
        <v>67594542</v>
      </c>
    </row>
    <row r="201" spans="1:14" s="156" customFormat="1" x14ac:dyDescent="0.25">
      <c r="A201" s="262" t="s">
        <v>545</v>
      </c>
      <c r="B201" s="262" t="s">
        <v>315</v>
      </c>
      <c r="C201" s="262" t="s">
        <v>597</v>
      </c>
      <c r="D201" s="262" t="s">
        <v>541</v>
      </c>
      <c r="E201" s="263">
        <v>718069000</v>
      </c>
      <c r="F201" s="263">
        <v>690373482</v>
      </c>
      <c r="G201" s="263">
        <v>690373482</v>
      </c>
      <c r="H201" s="263">
        <v>0</v>
      </c>
      <c r="I201" s="263">
        <v>0</v>
      </c>
      <c r="J201" s="263">
        <v>0</v>
      </c>
      <c r="K201" s="263">
        <v>626248651</v>
      </c>
      <c r="L201" s="263">
        <v>626248651</v>
      </c>
      <c r="M201" s="263">
        <v>64124831</v>
      </c>
      <c r="N201" s="263">
        <v>64124831</v>
      </c>
    </row>
    <row r="202" spans="1:14" s="156" customFormat="1" x14ac:dyDescent="0.25">
      <c r="A202" s="262" t="s">
        <v>545</v>
      </c>
      <c r="B202" s="262" t="s">
        <v>316</v>
      </c>
      <c r="C202" s="262" t="s">
        <v>583</v>
      </c>
      <c r="D202" s="262" t="s">
        <v>541</v>
      </c>
      <c r="E202" s="263">
        <v>38814000</v>
      </c>
      <c r="F202" s="263">
        <v>37316945</v>
      </c>
      <c r="G202" s="263">
        <v>37316945</v>
      </c>
      <c r="H202" s="263">
        <v>0</v>
      </c>
      <c r="I202" s="263">
        <v>0</v>
      </c>
      <c r="J202" s="263">
        <v>0</v>
      </c>
      <c r="K202" s="263">
        <v>33847234</v>
      </c>
      <c r="L202" s="263">
        <v>33847234</v>
      </c>
      <c r="M202" s="263">
        <v>3469711</v>
      </c>
      <c r="N202" s="263">
        <v>3469711</v>
      </c>
    </row>
    <row r="203" spans="1:14" s="156" customFormat="1" x14ac:dyDescent="0.25">
      <c r="A203" s="262" t="s">
        <v>545</v>
      </c>
      <c r="B203" s="262" t="s">
        <v>118</v>
      </c>
      <c r="C203" s="262" t="s">
        <v>119</v>
      </c>
      <c r="D203" s="262" t="s">
        <v>541</v>
      </c>
      <c r="E203" s="263">
        <v>743685000</v>
      </c>
      <c r="F203" s="263">
        <v>715001426</v>
      </c>
      <c r="G203" s="263">
        <v>715001426</v>
      </c>
      <c r="H203" s="263">
        <v>0</v>
      </c>
      <c r="I203" s="263">
        <v>0</v>
      </c>
      <c r="J203" s="263">
        <v>0</v>
      </c>
      <c r="K203" s="263">
        <v>639912063</v>
      </c>
      <c r="L203" s="263">
        <v>639912063</v>
      </c>
      <c r="M203" s="263">
        <v>75089363</v>
      </c>
      <c r="N203" s="263">
        <v>75089363</v>
      </c>
    </row>
    <row r="204" spans="1:14" s="156" customFormat="1" x14ac:dyDescent="0.25">
      <c r="A204" s="262" t="s">
        <v>545</v>
      </c>
      <c r="B204" s="262" t="s">
        <v>317</v>
      </c>
      <c r="C204" s="262" t="s">
        <v>598</v>
      </c>
      <c r="D204" s="262" t="s">
        <v>541</v>
      </c>
      <c r="E204" s="263">
        <v>394355000</v>
      </c>
      <c r="F204" s="263">
        <v>379144921</v>
      </c>
      <c r="G204" s="263">
        <v>379144921</v>
      </c>
      <c r="H204" s="263">
        <v>0</v>
      </c>
      <c r="I204" s="263">
        <v>0</v>
      </c>
      <c r="J204" s="263">
        <v>0</v>
      </c>
      <c r="K204" s="263">
        <v>335287263</v>
      </c>
      <c r="L204" s="263">
        <v>335287263</v>
      </c>
      <c r="M204" s="263">
        <v>43857658</v>
      </c>
      <c r="N204" s="263">
        <v>43857658</v>
      </c>
    </row>
    <row r="205" spans="1:14" s="156" customFormat="1" x14ac:dyDescent="0.25">
      <c r="A205" s="262" t="s">
        <v>545</v>
      </c>
      <c r="B205" s="262" t="s">
        <v>318</v>
      </c>
      <c r="C205" s="262" t="s">
        <v>599</v>
      </c>
      <c r="D205" s="262" t="s">
        <v>541</v>
      </c>
      <c r="E205" s="263">
        <v>116443000</v>
      </c>
      <c r="F205" s="263">
        <v>111951835</v>
      </c>
      <c r="G205" s="263">
        <v>111951835</v>
      </c>
      <c r="H205" s="263">
        <v>0</v>
      </c>
      <c r="I205" s="263">
        <v>0</v>
      </c>
      <c r="J205" s="263">
        <v>0</v>
      </c>
      <c r="K205" s="263">
        <v>101541553</v>
      </c>
      <c r="L205" s="263">
        <v>101541553</v>
      </c>
      <c r="M205" s="263">
        <v>10410282</v>
      </c>
      <c r="N205" s="263">
        <v>10410282</v>
      </c>
    </row>
    <row r="206" spans="1:14" s="156" customFormat="1" x14ac:dyDescent="0.25">
      <c r="A206" s="262" t="s">
        <v>545</v>
      </c>
      <c r="B206" s="262" t="s">
        <v>319</v>
      </c>
      <c r="C206" s="262" t="s">
        <v>600</v>
      </c>
      <c r="D206" s="262" t="s">
        <v>541</v>
      </c>
      <c r="E206" s="263">
        <v>232887000</v>
      </c>
      <c r="F206" s="263">
        <v>223904670</v>
      </c>
      <c r="G206" s="263">
        <v>223904670</v>
      </c>
      <c r="H206" s="263">
        <v>0</v>
      </c>
      <c r="I206" s="263">
        <v>0</v>
      </c>
      <c r="J206" s="263">
        <v>0</v>
      </c>
      <c r="K206" s="263">
        <v>203083247</v>
      </c>
      <c r="L206" s="263">
        <v>203083247</v>
      </c>
      <c r="M206" s="263">
        <v>20821423</v>
      </c>
      <c r="N206" s="263">
        <v>20821423</v>
      </c>
    </row>
    <row r="207" spans="1:14" s="156" customFormat="1" x14ac:dyDescent="0.25">
      <c r="A207" s="262" t="s">
        <v>545</v>
      </c>
      <c r="B207" s="262" t="s">
        <v>123</v>
      </c>
      <c r="C207" s="262" t="s">
        <v>124</v>
      </c>
      <c r="D207" s="262" t="s">
        <v>541</v>
      </c>
      <c r="E207" s="263">
        <v>1006874402</v>
      </c>
      <c r="F207" s="263">
        <v>1015374402</v>
      </c>
      <c r="G207" s="263">
        <v>1015374402</v>
      </c>
      <c r="H207" s="263">
        <v>0</v>
      </c>
      <c r="I207" s="263">
        <v>0</v>
      </c>
      <c r="J207" s="263">
        <v>0</v>
      </c>
      <c r="K207" s="263">
        <v>932017404.53999996</v>
      </c>
      <c r="L207" s="263">
        <v>849885216.75999999</v>
      </c>
      <c r="M207" s="263">
        <v>83356997.459999993</v>
      </c>
      <c r="N207" s="263">
        <v>83356997.459999993</v>
      </c>
    </row>
    <row r="208" spans="1:14" s="156" customFormat="1" x14ac:dyDescent="0.25">
      <c r="A208" s="262" t="s">
        <v>545</v>
      </c>
      <c r="B208" s="262" t="s">
        <v>125</v>
      </c>
      <c r="C208" s="262" t="s">
        <v>126</v>
      </c>
      <c r="D208" s="262" t="s">
        <v>541</v>
      </c>
      <c r="E208" s="263">
        <v>331717997</v>
      </c>
      <c r="F208" s="263">
        <v>310917997</v>
      </c>
      <c r="G208" s="263">
        <v>310917997</v>
      </c>
      <c r="H208" s="263">
        <v>0</v>
      </c>
      <c r="I208" s="263">
        <v>0</v>
      </c>
      <c r="J208" s="263">
        <v>0</v>
      </c>
      <c r="K208" s="263">
        <v>295301869.06999999</v>
      </c>
      <c r="L208" s="263">
        <v>278080250.60000002</v>
      </c>
      <c r="M208" s="263">
        <v>15616127.93</v>
      </c>
      <c r="N208" s="263">
        <v>15616127.93</v>
      </c>
    </row>
    <row r="209" spans="1:14" s="156" customFormat="1" x14ac:dyDescent="0.25">
      <c r="A209" s="262" t="s">
        <v>545</v>
      </c>
      <c r="B209" s="262" t="s">
        <v>306</v>
      </c>
      <c r="C209" s="262" t="s">
        <v>307</v>
      </c>
      <c r="D209" s="262" t="s">
        <v>541</v>
      </c>
      <c r="E209" s="263">
        <v>200526630</v>
      </c>
      <c r="F209" s="263">
        <v>163026630</v>
      </c>
      <c r="G209" s="263">
        <v>163026630</v>
      </c>
      <c r="H209" s="263">
        <v>0</v>
      </c>
      <c r="I209" s="263">
        <v>0</v>
      </c>
      <c r="J209" s="263">
        <v>0</v>
      </c>
      <c r="K209" s="263">
        <v>158164185</v>
      </c>
      <c r="L209" s="263">
        <v>152272915</v>
      </c>
      <c r="M209" s="263">
        <v>4862445</v>
      </c>
      <c r="N209" s="263">
        <v>4862445</v>
      </c>
    </row>
    <row r="210" spans="1:14" s="156" customFormat="1" x14ac:dyDescent="0.25">
      <c r="A210" s="262" t="s">
        <v>545</v>
      </c>
      <c r="B210" s="262" t="s">
        <v>320</v>
      </c>
      <c r="C210" s="262" t="s">
        <v>321</v>
      </c>
      <c r="D210" s="262" t="s">
        <v>541</v>
      </c>
      <c r="E210" s="263">
        <v>3933000</v>
      </c>
      <c r="F210" s="263">
        <v>3333000</v>
      </c>
      <c r="G210" s="263">
        <v>3333000</v>
      </c>
      <c r="H210" s="263">
        <v>0</v>
      </c>
      <c r="I210" s="263">
        <v>0</v>
      </c>
      <c r="J210" s="263">
        <v>0</v>
      </c>
      <c r="K210" s="263">
        <v>2632259.4700000002</v>
      </c>
      <c r="L210" s="263">
        <v>2229349.9500000002</v>
      </c>
      <c r="M210" s="263">
        <v>700740.53</v>
      </c>
      <c r="N210" s="263">
        <v>700740.53</v>
      </c>
    </row>
    <row r="211" spans="1:14" s="156" customFormat="1" x14ac:dyDescent="0.25">
      <c r="A211" s="262" t="s">
        <v>545</v>
      </c>
      <c r="B211" s="262" t="s">
        <v>127</v>
      </c>
      <c r="C211" s="262" t="s">
        <v>128</v>
      </c>
      <c r="D211" s="262" t="s">
        <v>541</v>
      </c>
      <c r="E211" s="263">
        <v>98126131</v>
      </c>
      <c r="F211" s="263">
        <v>104626131</v>
      </c>
      <c r="G211" s="263">
        <v>104626131</v>
      </c>
      <c r="H211" s="263">
        <v>0</v>
      </c>
      <c r="I211" s="263">
        <v>0</v>
      </c>
      <c r="J211" s="263">
        <v>0</v>
      </c>
      <c r="K211" s="263">
        <v>96107464.390000001</v>
      </c>
      <c r="L211" s="263">
        <v>88387330.560000002</v>
      </c>
      <c r="M211" s="263">
        <v>8518666.6099999994</v>
      </c>
      <c r="N211" s="263">
        <v>8518666.6099999994</v>
      </c>
    </row>
    <row r="212" spans="1:14" s="156" customFormat="1" x14ac:dyDescent="0.25">
      <c r="A212" s="262" t="s">
        <v>545</v>
      </c>
      <c r="B212" s="262" t="s">
        <v>322</v>
      </c>
      <c r="C212" s="262" t="s">
        <v>323</v>
      </c>
      <c r="D212" s="262" t="s">
        <v>541</v>
      </c>
      <c r="E212" s="263">
        <v>1774000</v>
      </c>
      <c r="F212" s="263">
        <v>1774000</v>
      </c>
      <c r="G212" s="263">
        <v>1774000</v>
      </c>
      <c r="H212" s="263">
        <v>0</v>
      </c>
      <c r="I212" s="263">
        <v>0</v>
      </c>
      <c r="J212" s="263">
        <v>0</v>
      </c>
      <c r="K212" s="263">
        <v>1588452.75</v>
      </c>
      <c r="L212" s="263">
        <v>1588452.75</v>
      </c>
      <c r="M212" s="263">
        <v>185547.25</v>
      </c>
      <c r="N212" s="263">
        <v>185547.25</v>
      </c>
    </row>
    <row r="213" spans="1:14" s="156" customFormat="1" x14ac:dyDescent="0.25">
      <c r="A213" s="262" t="s">
        <v>545</v>
      </c>
      <c r="B213" s="262" t="s">
        <v>129</v>
      </c>
      <c r="C213" s="262" t="s">
        <v>130</v>
      </c>
      <c r="D213" s="262" t="s">
        <v>541</v>
      </c>
      <c r="E213" s="263">
        <v>27358236</v>
      </c>
      <c r="F213" s="263">
        <v>38158236</v>
      </c>
      <c r="G213" s="263">
        <v>38158236</v>
      </c>
      <c r="H213" s="263">
        <v>0</v>
      </c>
      <c r="I213" s="263">
        <v>0</v>
      </c>
      <c r="J213" s="263">
        <v>0</v>
      </c>
      <c r="K213" s="263">
        <v>36809507.460000001</v>
      </c>
      <c r="L213" s="263">
        <v>33602202.340000004</v>
      </c>
      <c r="M213" s="263">
        <v>1348728.54</v>
      </c>
      <c r="N213" s="263">
        <v>1348728.54</v>
      </c>
    </row>
    <row r="214" spans="1:14" s="156" customFormat="1" x14ac:dyDescent="0.25">
      <c r="A214" s="262" t="s">
        <v>545</v>
      </c>
      <c r="B214" s="262" t="s">
        <v>131</v>
      </c>
      <c r="C214" s="262" t="s">
        <v>132</v>
      </c>
      <c r="D214" s="262" t="s">
        <v>541</v>
      </c>
      <c r="E214" s="263">
        <v>126929000</v>
      </c>
      <c r="F214" s="263">
        <v>121074000</v>
      </c>
      <c r="G214" s="263">
        <v>121074000</v>
      </c>
      <c r="H214" s="263">
        <v>0</v>
      </c>
      <c r="I214" s="263">
        <v>0</v>
      </c>
      <c r="J214" s="263">
        <v>0</v>
      </c>
      <c r="K214" s="263">
        <v>104808191.01000001</v>
      </c>
      <c r="L214" s="263">
        <v>101753288.23</v>
      </c>
      <c r="M214" s="263">
        <v>16265808.99</v>
      </c>
      <c r="N214" s="263">
        <v>16265808.99</v>
      </c>
    </row>
    <row r="215" spans="1:14" s="156" customFormat="1" x14ac:dyDescent="0.25">
      <c r="A215" s="262" t="s">
        <v>545</v>
      </c>
      <c r="B215" s="262" t="s">
        <v>133</v>
      </c>
      <c r="C215" s="262" t="s">
        <v>134</v>
      </c>
      <c r="D215" s="262" t="s">
        <v>541</v>
      </c>
      <c r="E215" s="263">
        <v>13400000</v>
      </c>
      <c r="F215" s="263">
        <v>18400000</v>
      </c>
      <c r="G215" s="263">
        <v>18400000</v>
      </c>
      <c r="H215" s="263">
        <v>0</v>
      </c>
      <c r="I215" s="263">
        <v>0</v>
      </c>
      <c r="J215" s="263">
        <v>0</v>
      </c>
      <c r="K215" s="263">
        <v>16635078.99</v>
      </c>
      <c r="L215" s="263">
        <v>16635078.99</v>
      </c>
      <c r="M215" s="263">
        <v>1764921.01</v>
      </c>
      <c r="N215" s="263">
        <v>1764921.01</v>
      </c>
    </row>
    <row r="216" spans="1:14" s="156" customFormat="1" x14ac:dyDescent="0.25">
      <c r="A216" s="262" t="s">
        <v>545</v>
      </c>
      <c r="B216" s="262" t="s">
        <v>135</v>
      </c>
      <c r="C216" s="262" t="s">
        <v>136</v>
      </c>
      <c r="D216" s="262" t="s">
        <v>541</v>
      </c>
      <c r="E216" s="263">
        <v>49200000</v>
      </c>
      <c r="F216" s="263">
        <v>40200000</v>
      </c>
      <c r="G216" s="263">
        <v>40200000</v>
      </c>
      <c r="H216" s="263">
        <v>0</v>
      </c>
      <c r="I216" s="263">
        <v>0</v>
      </c>
      <c r="J216" s="263">
        <v>0</v>
      </c>
      <c r="K216" s="263">
        <v>38916695</v>
      </c>
      <c r="L216" s="263">
        <v>38916695</v>
      </c>
      <c r="M216" s="263">
        <v>1283305</v>
      </c>
      <c r="N216" s="263">
        <v>1283305</v>
      </c>
    </row>
    <row r="217" spans="1:14" s="156" customFormat="1" x14ac:dyDescent="0.25">
      <c r="A217" s="262" t="s">
        <v>545</v>
      </c>
      <c r="B217" s="262" t="s">
        <v>137</v>
      </c>
      <c r="C217" s="262" t="s">
        <v>138</v>
      </c>
      <c r="D217" s="262" t="s">
        <v>541</v>
      </c>
      <c r="E217" s="263">
        <v>12000000</v>
      </c>
      <c r="F217" s="263">
        <v>7000000</v>
      </c>
      <c r="G217" s="263">
        <v>7000000</v>
      </c>
      <c r="H217" s="263">
        <v>0</v>
      </c>
      <c r="I217" s="263">
        <v>0</v>
      </c>
      <c r="J217" s="263">
        <v>0</v>
      </c>
      <c r="K217" s="263">
        <v>3016110</v>
      </c>
      <c r="L217" s="263">
        <v>3016110</v>
      </c>
      <c r="M217" s="263">
        <v>3983890</v>
      </c>
      <c r="N217" s="263">
        <v>3983890</v>
      </c>
    </row>
    <row r="218" spans="1:14" s="156" customFormat="1" x14ac:dyDescent="0.25">
      <c r="A218" s="262" t="s">
        <v>545</v>
      </c>
      <c r="B218" s="262" t="s">
        <v>139</v>
      </c>
      <c r="C218" s="262" t="s">
        <v>140</v>
      </c>
      <c r="D218" s="262" t="s">
        <v>541</v>
      </c>
      <c r="E218" s="263">
        <v>47604000</v>
      </c>
      <c r="F218" s="263">
        <v>47604000</v>
      </c>
      <c r="G218" s="263">
        <v>47604000</v>
      </c>
      <c r="H218" s="263">
        <v>0</v>
      </c>
      <c r="I218" s="263">
        <v>0</v>
      </c>
      <c r="J218" s="263">
        <v>0</v>
      </c>
      <c r="K218" s="263">
        <v>41414679.57</v>
      </c>
      <c r="L218" s="263">
        <v>38359776.789999999</v>
      </c>
      <c r="M218" s="263">
        <v>6189320.4299999997</v>
      </c>
      <c r="N218" s="263">
        <v>6189320.4299999997</v>
      </c>
    </row>
    <row r="219" spans="1:14" s="156" customFormat="1" x14ac:dyDescent="0.25">
      <c r="A219" s="262" t="s">
        <v>545</v>
      </c>
      <c r="B219" s="262" t="s">
        <v>141</v>
      </c>
      <c r="C219" s="262" t="s">
        <v>142</v>
      </c>
      <c r="D219" s="262" t="s">
        <v>541</v>
      </c>
      <c r="E219" s="263">
        <v>4725000</v>
      </c>
      <c r="F219" s="263">
        <v>7870000</v>
      </c>
      <c r="G219" s="263">
        <v>7870000</v>
      </c>
      <c r="H219" s="263">
        <v>0</v>
      </c>
      <c r="I219" s="263">
        <v>0</v>
      </c>
      <c r="J219" s="263">
        <v>0</v>
      </c>
      <c r="K219" s="263">
        <v>4825627.45</v>
      </c>
      <c r="L219" s="263">
        <v>4825627.45</v>
      </c>
      <c r="M219" s="263">
        <v>3044372.55</v>
      </c>
      <c r="N219" s="263">
        <v>3044372.55</v>
      </c>
    </row>
    <row r="220" spans="1:14" s="156" customFormat="1" x14ac:dyDescent="0.25">
      <c r="A220" s="262" t="s">
        <v>545</v>
      </c>
      <c r="B220" s="262" t="s">
        <v>143</v>
      </c>
      <c r="C220" s="262" t="s">
        <v>144</v>
      </c>
      <c r="D220" s="262" t="s">
        <v>541</v>
      </c>
      <c r="E220" s="263">
        <v>3746000</v>
      </c>
      <c r="F220" s="263">
        <v>2746000</v>
      </c>
      <c r="G220" s="263">
        <v>2746000</v>
      </c>
      <c r="H220" s="263">
        <v>0</v>
      </c>
      <c r="I220" s="263">
        <v>0</v>
      </c>
      <c r="J220" s="263">
        <v>0</v>
      </c>
      <c r="K220" s="263">
        <v>940576.18</v>
      </c>
      <c r="L220" s="263">
        <v>925038.65</v>
      </c>
      <c r="M220" s="263">
        <v>1805423.82</v>
      </c>
      <c r="N220" s="263">
        <v>1805423.82</v>
      </c>
    </row>
    <row r="221" spans="1:14" s="156" customFormat="1" x14ac:dyDescent="0.25">
      <c r="A221" s="262" t="s">
        <v>545</v>
      </c>
      <c r="B221" s="262" t="s">
        <v>145</v>
      </c>
      <c r="C221" s="262" t="s">
        <v>146</v>
      </c>
      <c r="D221" s="262" t="s">
        <v>541</v>
      </c>
      <c r="E221" s="263">
        <v>500000</v>
      </c>
      <c r="F221" s="263">
        <v>500000</v>
      </c>
      <c r="G221" s="263">
        <v>500000</v>
      </c>
      <c r="H221" s="263">
        <v>0</v>
      </c>
      <c r="I221" s="263">
        <v>0</v>
      </c>
      <c r="J221" s="263">
        <v>0</v>
      </c>
      <c r="K221" s="263">
        <v>350160</v>
      </c>
      <c r="L221" s="263">
        <v>350160</v>
      </c>
      <c r="M221" s="263">
        <v>149840</v>
      </c>
      <c r="N221" s="263">
        <v>149840</v>
      </c>
    </row>
    <row r="222" spans="1:14" s="156" customFormat="1" x14ac:dyDescent="0.25">
      <c r="A222" s="262" t="s">
        <v>545</v>
      </c>
      <c r="B222" s="262" t="s">
        <v>147</v>
      </c>
      <c r="C222" s="262" t="s">
        <v>148</v>
      </c>
      <c r="D222" s="262" t="s">
        <v>541</v>
      </c>
      <c r="E222" s="263">
        <v>1000000</v>
      </c>
      <c r="F222" s="263">
        <v>1000000</v>
      </c>
      <c r="G222" s="263">
        <v>1000000</v>
      </c>
      <c r="H222" s="263">
        <v>0</v>
      </c>
      <c r="I222" s="263">
        <v>0</v>
      </c>
      <c r="J222" s="263">
        <v>0</v>
      </c>
      <c r="K222" s="263">
        <v>205131.75</v>
      </c>
      <c r="L222" s="263">
        <v>205131.75</v>
      </c>
      <c r="M222" s="263">
        <v>794868.25</v>
      </c>
      <c r="N222" s="263">
        <v>794868.25</v>
      </c>
    </row>
    <row r="223" spans="1:14" s="156" customFormat="1" x14ac:dyDescent="0.25">
      <c r="A223" s="262" t="s">
        <v>545</v>
      </c>
      <c r="B223" s="262" t="s">
        <v>149</v>
      </c>
      <c r="C223" s="262" t="s">
        <v>150</v>
      </c>
      <c r="D223" s="262" t="s">
        <v>541</v>
      </c>
      <c r="E223" s="263">
        <v>200000</v>
      </c>
      <c r="F223" s="263">
        <v>200000</v>
      </c>
      <c r="G223" s="263">
        <v>200000</v>
      </c>
      <c r="H223" s="263">
        <v>0</v>
      </c>
      <c r="I223" s="263">
        <v>0</v>
      </c>
      <c r="J223" s="263">
        <v>0</v>
      </c>
      <c r="K223" s="263">
        <v>90716.66</v>
      </c>
      <c r="L223" s="263">
        <v>90064.65</v>
      </c>
      <c r="M223" s="263">
        <v>109283.34</v>
      </c>
      <c r="N223" s="263">
        <v>109283.34</v>
      </c>
    </row>
    <row r="224" spans="1:14" s="156" customFormat="1" x14ac:dyDescent="0.25">
      <c r="A224" s="262" t="s">
        <v>545</v>
      </c>
      <c r="B224" s="262" t="s">
        <v>326</v>
      </c>
      <c r="C224" s="262" t="s">
        <v>327</v>
      </c>
      <c r="D224" s="262" t="s">
        <v>541</v>
      </c>
      <c r="E224" s="263">
        <v>2046000</v>
      </c>
      <c r="F224" s="263">
        <v>1046000</v>
      </c>
      <c r="G224" s="263">
        <v>1046000</v>
      </c>
      <c r="H224" s="263">
        <v>0</v>
      </c>
      <c r="I224" s="263">
        <v>0</v>
      </c>
      <c r="J224" s="263">
        <v>0</v>
      </c>
      <c r="K224" s="263">
        <v>294567.77</v>
      </c>
      <c r="L224" s="263">
        <v>279682.25</v>
      </c>
      <c r="M224" s="263">
        <v>751432.23</v>
      </c>
      <c r="N224" s="263">
        <v>751432.23</v>
      </c>
    </row>
    <row r="225" spans="1:14" s="156" customFormat="1" x14ac:dyDescent="0.25">
      <c r="A225" s="262" t="s">
        <v>545</v>
      </c>
      <c r="B225" s="262" t="s">
        <v>151</v>
      </c>
      <c r="C225" s="262" t="s">
        <v>152</v>
      </c>
      <c r="D225" s="262" t="s">
        <v>541</v>
      </c>
      <c r="E225" s="263">
        <v>334518795</v>
      </c>
      <c r="F225" s="263">
        <v>362518795</v>
      </c>
      <c r="G225" s="263">
        <v>362518795</v>
      </c>
      <c r="H225" s="263">
        <v>0</v>
      </c>
      <c r="I225" s="263">
        <v>0</v>
      </c>
      <c r="J225" s="263">
        <v>0</v>
      </c>
      <c r="K225" s="263">
        <v>342315010.02999997</v>
      </c>
      <c r="L225" s="263">
        <v>297205683.70999998</v>
      </c>
      <c r="M225" s="263">
        <v>20203784.969999999</v>
      </c>
      <c r="N225" s="263">
        <v>20203784.969999999</v>
      </c>
    </row>
    <row r="226" spans="1:14" s="156" customFormat="1" x14ac:dyDescent="0.25">
      <c r="A226" s="262" t="s">
        <v>545</v>
      </c>
      <c r="B226" s="262" t="s">
        <v>328</v>
      </c>
      <c r="C226" s="262" t="s">
        <v>329</v>
      </c>
      <c r="D226" s="262" t="s">
        <v>541</v>
      </c>
      <c r="E226" s="263">
        <v>2000000</v>
      </c>
      <c r="F226" s="263">
        <v>2000000</v>
      </c>
      <c r="G226" s="263">
        <v>2000000</v>
      </c>
      <c r="H226" s="263">
        <v>0</v>
      </c>
      <c r="I226" s="263">
        <v>0</v>
      </c>
      <c r="J226" s="263">
        <v>0</v>
      </c>
      <c r="K226" s="263">
        <v>0</v>
      </c>
      <c r="L226" s="263">
        <v>0</v>
      </c>
      <c r="M226" s="263">
        <v>2000000</v>
      </c>
      <c r="N226" s="263">
        <v>2000000</v>
      </c>
    </row>
    <row r="227" spans="1:14" s="156" customFormat="1" x14ac:dyDescent="0.25">
      <c r="A227" s="262" t="s">
        <v>545</v>
      </c>
      <c r="B227" s="262" t="s">
        <v>330</v>
      </c>
      <c r="C227" s="262" t="s">
        <v>604</v>
      </c>
      <c r="D227" s="262" t="s">
        <v>541</v>
      </c>
      <c r="E227" s="263">
        <v>5000000</v>
      </c>
      <c r="F227" s="263">
        <v>5000000</v>
      </c>
      <c r="G227" s="263">
        <v>5000000</v>
      </c>
      <c r="H227" s="263">
        <v>0</v>
      </c>
      <c r="I227" s="263">
        <v>0</v>
      </c>
      <c r="J227" s="263">
        <v>0</v>
      </c>
      <c r="K227" s="263">
        <v>0</v>
      </c>
      <c r="L227" s="263">
        <v>0</v>
      </c>
      <c r="M227" s="263">
        <v>5000000</v>
      </c>
      <c r="N227" s="263">
        <v>5000000</v>
      </c>
    </row>
    <row r="228" spans="1:14" s="156" customFormat="1" x14ac:dyDescent="0.25">
      <c r="A228" s="262" t="s">
        <v>545</v>
      </c>
      <c r="B228" s="262" t="s">
        <v>154</v>
      </c>
      <c r="C228" s="262" t="s">
        <v>155</v>
      </c>
      <c r="D228" s="262" t="s">
        <v>541</v>
      </c>
      <c r="E228" s="263">
        <v>319951179</v>
      </c>
      <c r="F228" s="263">
        <v>346951179</v>
      </c>
      <c r="G228" s="263">
        <v>346951179</v>
      </c>
      <c r="H228" s="263">
        <v>0</v>
      </c>
      <c r="I228" s="263">
        <v>0</v>
      </c>
      <c r="J228" s="263">
        <v>0</v>
      </c>
      <c r="K228" s="263">
        <v>335698336.92000002</v>
      </c>
      <c r="L228" s="263">
        <v>291812665.79000002</v>
      </c>
      <c r="M228" s="263">
        <v>11252842.08</v>
      </c>
      <c r="N228" s="263">
        <v>11252842.08</v>
      </c>
    </row>
    <row r="229" spans="1:14" s="156" customFormat="1" x14ac:dyDescent="0.25">
      <c r="A229" s="262" t="s">
        <v>545</v>
      </c>
      <c r="B229" s="262" t="s">
        <v>156</v>
      </c>
      <c r="C229" s="262" t="s">
        <v>157</v>
      </c>
      <c r="D229" s="262" t="s">
        <v>541</v>
      </c>
      <c r="E229" s="263">
        <v>7567616</v>
      </c>
      <c r="F229" s="263">
        <v>8567616</v>
      </c>
      <c r="G229" s="263">
        <v>8567616</v>
      </c>
      <c r="H229" s="263">
        <v>0</v>
      </c>
      <c r="I229" s="263">
        <v>0</v>
      </c>
      <c r="J229" s="263">
        <v>0</v>
      </c>
      <c r="K229" s="263">
        <v>6616673.1100000003</v>
      </c>
      <c r="L229" s="263">
        <v>5393017.9199999999</v>
      </c>
      <c r="M229" s="263">
        <v>1950942.89</v>
      </c>
      <c r="N229" s="263">
        <v>1950942.89</v>
      </c>
    </row>
    <row r="230" spans="1:14" s="156" customFormat="1" x14ac:dyDescent="0.25">
      <c r="A230" s="262" t="s">
        <v>545</v>
      </c>
      <c r="B230" s="262" t="s">
        <v>158</v>
      </c>
      <c r="C230" s="262" t="s">
        <v>159</v>
      </c>
      <c r="D230" s="262" t="s">
        <v>541</v>
      </c>
      <c r="E230" s="263">
        <v>33445676</v>
      </c>
      <c r="F230" s="263">
        <v>36945676</v>
      </c>
      <c r="G230" s="263">
        <v>36945676</v>
      </c>
      <c r="H230" s="263">
        <v>0</v>
      </c>
      <c r="I230" s="263">
        <v>0</v>
      </c>
      <c r="J230" s="263">
        <v>0</v>
      </c>
      <c r="K230" s="263">
        <v>29766076.73</v>
      </c>
      <c r="L230" s="263">
        <v>29728006.73</v>
      </c>
      <c r="M230" s="263">
        <v>7179599.2699999996</v>
      </c>
      <c r="N230" s="263">
        <v>7179599.2699999996</v>
      </c>
    </row>
    <row r="231" spans="1:14" s="156" customFormat="1" x14ac:dyDescent="0.25">
      <c r="A231" s="262" t="s">
        <v>545</v>
      </c>
      <c r="B231" s="262" t="s">
        <v>160</v>
      </c>
      <c r="C231" s="262" t="s">
        <v>161</v>
      </c>
      <c r="D231" s="262" t="s">
        <v>541</v>
      </c>
      <c r="E231" s="263">
        <v>1700000</v>
      </c>
      <c r="F231" s="263">
        <v>2200000</v>
      </c>
      <c r="G231" s="263">
        <v>2200000</v>
      </c>
      <c r="H231" s="263">
        <v>0</v>
      </c>
      <c r="I231" s="263">
        <v>0</v>
      </c>
      <c r="J231" s="263">
        <v>0</v>
      </c>
      <c r="K231" s="263">
        <v>1133045</v>
      </c>
      <c r="L231" s="263">
        <v>1094975</v>
      </c>
      <c r="M231" s="263">
        <v>1066955</v>
      </c>
      <c r="N231" s="263">
        <v>1066955</v>
      </c>
    </row>
    <row r="232" spans="1:14" s="156" customFormat="1" x14ac:dyDescent="0.25">
      <c r="A232" s="262" t="s">
        <v>545</v>
      </c>
      <c r="B232" s="262" t="s">
        <v>162</v>
      </c>
      <c r="C232" s="262" t="s">
        <v>163</v>
      </c>
      <c r="D232" s="262" t="s">
        <v>541</v>
      </c>
      <c r="E232" s="263">
        <v>24979191</v>
      </c>
      <c r="F232" s="263">
        <v>27979191</v>
      </c>
      <c r="G232" s="263">
        <v>27979191</v>
      </c>
      <c r="H232" s="263">
        <v>0</v>
      </c>
      <c r="I232" s="263">
        <v>0</v>
      </c>
      <c r="J232" s="263">
        <v>0</v>
      </c>
      <c r="K232" s="263">
        <v>23046050</v>
      </c>
      <c r="L232" s="263">
        <v>23046050</v>
      </c>
      <c r="M232" s="263">
        <v>4933141</v>
      </c>
      <c r="N232" s="263">
        <v>4933141</v>
      </c>
    </row>
    <row r="233" spans="1:14" s="156" customFormat="1" x14ac:dyDescent="0.25">
      <c r="A233" s="262" t="s">
        <v>545</v>
      </c>
      <c r="B233" s="262" t="s">
        <v>164</v>
      </c>
      <c r="C233" s="262" t="s">
        <v>165</v>
      </c>
      <c r="D233" s="262" t="s">
        <v>541</v>
      </c>
      <c r="E233" s="263">
        <v>2035715</v>
      </c>
      <c r="F233" s="263">
        <v>2035715</v>
      </c>
      <c r="G233" s="263">
        <v>2035715</v>
      </c>
      <c r="H233" s="263">
        <v>0</v>
      </c>
      <c r="I233" s="263">
        <v>0</v>
      </c>
      <c r="J233" s="263">
        <v>0</v>
      </c>
      <c r="K233" s="263">
        <v>1836248</v>
      </c>
      <c r="L233" s="263">
        <v>1836248</v>
      </c>
      <c r="M233" s="263">
        <v>199467</v>
      </c>
      <c r="N233" s="263">
        <v>199467</v>
      </c>
    </row>
    <row r="234" spans="1:14" s="156" customFormat="1" x14ac:dyDescent="0.25">
      <c r="A234" s="262" t="s">
        <v>545</v>
      </c>
      <c r="B234" s="262" t="s">
        <v>166</v>
      </c>
      <c r="C234" s="262" t="s">
        <v>167</v>
      </c>
      <c r="D234" s="262" t="s">
        <v>541</v>
      </c>
      <c r="E234" s="263">
        <v>4730770</v>
      </c>
      <c r="F234" s="263">
        <v>4730770</v>
      </c>
      <c r="G234" s="263">
        <v>4730770</v>
      </c>
      <c r="H234" s="263">
        <v>0</v>
      </c>
      <c r="I234" s="263">
        <v>0</v>
      </c>
      <c r="J234" s="263">
        <v>0</v>
      </c>
      <c r="K234" s="263">
        <v>3750733.73</v>
      </c>
      <c r="L234" s="263">
        <v>3750733.73</v>
      </c>
      <c r="M234" s="263">
        <v>980036.27</v>
      </c>
      <c r="N234" s="263">
        <v>980036.27</v>
      </c>
    </row>
    <row r="235" spans="1:14" s="156" customFormat="1" x14ac:dyDescent="0.25">
      <c r="A235" s="262" t="s">
        <v>545</v>
      </c>
      <c r="B235" s="262" t="s">
        <v>168</v>
      </c>
      <c r="C235" s="262" t="s">
        <v>169</v>
      </c>
      <c r="D235" s="262" t="s">
        <v>541</v>
      </c>
      <c r="E235" s="263">
        <v>83546141</v>
      </c>
      <c r="F235" s="263">
        <v>101246141</v>
      </c>
      <c r="G235" s="263">
        <v>101246141</v>
      </c>
      <c r="H235" s="263">
        <v>0</v>
      </c>
      <c r="I235" s="263">
        <v>0</v>
      </c>
      <c r="J235" s="263">
        <v>0</v>
      </c>
      <c r="K235" s="263">
        <v>99547730</v>
      </c>
      <c r="L235" s="263">
        <v>99547730</v>
      </c>
      <c r="M235" s="263">
        <v>1698411</v>
      </c>
      <c r="N235" s="263">
        <v>1698411</v>
      </c>
    </row>
    <row r="236" spans="1:14" s="156" customFormat="1" x14ac:dyDescent="0.25">
      <c r="A236" s="262" t="s">
        <v>545</v>
      </c>
      <c r="B236" s="262" t="s">
        <v>170</v>
      </c>
      <c r="C236" s="262" t="s">
        <v>171</v>
      </c>
      <c r="D236" s="262" t="s">
        <v>541</v>
      </c>
      <c r="E236" s="263">
        <v>83546141</v>
      </c>
      <c r="F236" s="263">
        <v>101246141</v>
      </c>
      <c r="G236" s="263">
        <v>101246141</v>
      </c>
      <c r="H236" s="263">
        <v>0</v>
      </c>
      <c r="I236" s="263">
        <v>0</v>
      </c>
      <c r="J236" s="263">
        <v>0</v>
      </c>
      <c r="K236" s="263">
        <v>99547730</v>
      </c>
      <c r="L236" s="263">
        <v>99547730</v>
      </c>
      <c r="M236" s="263">
        <v>1698411</v>
      </c>
      <c r="N236" s="263">
        <v>1698411</v>
      </c>
    </row>
    <row r="237" spans="1:14" s="156" customFormat="1" x14ac:dyDescent="0.25">
      <c r="A237" s="262" t="s">
        <v>545</v>
      </c>
      <c r="B237" s="262" t="s">
        <v>172</v>
      </c>
      <c r="C237" s="262" t="s">
        <v>173</v>
      </c>
      <c r="D237" s="262" t="s">
        <v>541</v>
      </c>
      <c r="E237" s="263">
        <v>0</v>
      </c>
      <c r="F237" s="263">
        <v>0</v>
      </c>
      <c r="G237" s="263">
        <v>0</v>
      </c>
      <c r="H237" s="263">
        <v>0</v>
      </c>
      <c r="I237" s="263">
        <v>0</v>
      </c>
      <c r="J237" s="263">
        <v>0</v>
      </c>
      <c r="K237" s="263">
        <v>0</v>
      </c>
      <c r="L237" s="263">
        <v>0</v>
      </c>
      <c r="M237" s="263">
        <v>0</v>
      </c>
      <c r="N237" s="263">
        <v>0</v>
      </c>
    </row>
    <row r="238" spans="1:14" s="156" customFormat="1" x14ac:dyDescent="0.25">
      <c r="A238" s="262" t="s">
        <v>545</v>
      </c>
      <c r="B238" s="262" t="s">
        <v>309</v>
      </c>
      <c r="C238" s="262" t="s">
        <v>310</v>
      </c>
      <c r="D238" s="262" t="s">
        <v>541</v>
      </c>
      <c r="E238" s="263">
        <v>0</v>
      </c>
      <c r="F238" s="263">
        <v>0</v>
      </c>
      <c r="G238" s="263">
        <v>0</v>
      </c>
      <c r="H238" s="263">
        <v>0</v>
      </c>
      <c r="I238" s="263">
        <v>0</v>
      </c>
      <c r="J238" s="263">
        <v>0</v>
      </c>
      <c r="K238" s="263">
        <v>0</v>
      </c>
      <c r="L238" s="263">
        <v>0</v>
      </c>
      <c r="M238" s="263">
        <v>0</v>
      </c>
      <c r="N238" s="263">
        <v>0</v>
      </c>
    </row>
    <row r="239" spans="1:14" s="156" customFormat="1" x14ac:dyDescent="0.25">
      <c r="A239" s="262" t="s">
        <v>545</v>
      </c>
      <c r="B239" s="262" t="s">
        <v>178</v>
      </c>
      <c r="C239" s="262" t="s">
        <v>179</v>
      </c>
      <c r="D239" s="262" t="s">
        <v>541</v>
      </c>
      <c r="E239" s="263">
        <v>89480793</v>
      </c>
      <c r="F239" s="263">
        <v>71080793</v>
      </c>
      <c r="G239" s="263">
        <v>71080793</v>
      </c>
      <c r="H239" s="263">
        <v>0</v>
      </c>
      <c r="I239" s="263">
        <v>0</v>
      </c>
      <c r="J239" s="263">
        <v>0</v>
      </c>
      <c r="K239" s="263">
        <v>58590093.520000003</v>
      </c>
      <c r="L239" s="263">
        <v>42644818.840000004</v>
      </c>
      <c r="M239" s="263">
        <v>12490699.48</v>
      </c>
      <c r="N239" s="263">
        <v>12490699.48</v>
      </c>
    </row>
    <row r="240" spans="1:14" s="156" customFormat="1" x14ac:dyDescent="0.25">
      <c r="A240" s="262" t="s">
        <v>545</v>
      </c>
      <c r="B240" s="262" t="s">
        <v>180</v>
      </c>
      <c r="C240" s="262" t="s">
        <v>181</v>
      </c>
      <c r="D240" s="262" t="s">
        <v>541</v>
      </c>
      <c r="E240" s="263">
        <v>13000000</v>
      </c>
      <c r="F240" s="263">
        <v>13000000</v>
      </c>
      <c r="G240" s="263">
        <v>13000000</v>
      </c>
      <c r="H240" s="263">
        <v>0</v>
      </c>
      <c r="I240" s="263">
        <v>0</v>
      </c>
      <c r="J240" s="263">
        <v>0</v>
      </c>
      <c r="K240" s="263">
        <v>12541870.779999999</v>
      </c>
      <c r="L240" s="263">
        <v>6222851.9000000004</v>
      </c>
      <c r="M240" s="263">
        <v>458129.22</v>
      </c>
      <c r="N240" s="263">
        <v>458129.22</v>
      </c>
    </row>
    <row r="241" spans="1:14" s="156" customFormat="1" x14ac:dyDescent="0.25">
      <c r="A241" s="262" t="s">
        <v>545</v>
      </c>
      <c r="B241" s="262" t="s">
        <v>332</v>
      </c>
      <c r="C241" s="262" t="s">
        <v>333</v>
      </c>
      <c r="D241" s="262" t="s">
        <v>541</v>
      </c>
      <c r="E241" s="263">
        <v>1918000</v>
      </c>
      <c r="F241" s="263">
        <v>2618000</v>
      </c>
      <c r="G241" s="263">
        <v>2618000</v>
      </c>
      <c r="H241" s="263">
        <v>0</v>
      </c>
      <c r="I241" s="263">
        <v>0</v>
      </c>
      <c r="J241" s="263">
        <v>0</v>
      </c>
      <c r="K241" s="263">
        <v>2316576.2200000002</v>
      </c>
      <c r="L241" s="263">
        <v>2316576.2200000002</v>
      </c>
      <c r="M241" s="263">
        <v>301423.78000000003</v>
      </c>
      <c r="N241" s="263">
        <v>301423.78000000003</v>
      </c>
    </row>
    <row r="242" spans="1:14" s="156" customFormat="1" x14ac:dyDescent="0.25">
      <c r="A242" s="262" t="s">
        <v>545</v>
      </c>
      <c r="B242" s="262" t="s">
        <v>182</v>
      </c>
      <c r="C242" s="262" t="s">
        <v>183</v>
      </c>
      <c r="D242" s="262" t="s">
        <v>541</v>
      </c>
      <c r="E242" s="263">
        <v>25420000</v>
      </c>
      <c r="F242" s="263">
        <v>10420000</v>
      </c>
      <c r="G242" s="263">
        <v>10420000</v>
      </c>
      <c r="H242" s="263">
        <v>0</v>
      </c>
      <c r="I242" s="263">
        <v>0</v>
      </c>
      <c r="J242" s="263">
        <v>0</v>
      </c>
      <c r="K242" s="263">
        <v>4867247.55</v>
      </c>
      <c r="L242" s="263">
        <v>4527157.4000000004</v>
      </c>
      <c r="M242" s="263">
        <v>5552752.4500000002</v>
      </c>
      <c r="N242" s="263">
        <v>5552752.4500000002</v>
      </c>
    </row>
    <row r="243" spans="1:14" s="156" customFormat="1" x14ac:dyDescent="0.25">
      <c r="A243" s="262" t="s">
        <v>545</v>
      </c>
      <c r="B243" s="262" t="s">
        <v>184</v>
      </c>
      <c r="C243" s="262" t="s">
        <v>185</v>
      </c>
      <c r="D243" s="262" t="s">
        <v>541</v>
      </c>
      <c r="E243" s="263">
        <v>7181770</v>
      </c>
      <c r="F243" s="263">
        <v>7181770</v>
      </c>
      <c r="G243" s="263">
        <v>7181770</v>
      </c>
      <c r="H243" s="263">
        <v>0</v>
      </c>
      <c r="I243" s="263">
        <v>0</v>
      </c>
      <c r="J243" s="263">
        <v>0</v>
      </c>
      <c r="K243" s="263">
        <v>6395193.4100000001</v>
      </c>
      <c r="L243" s="263">
        <v>5739887.0199999996</v>
      </c>
      <c r="M243" s="263">
        <v>786576.59</v>
      </c>
      <c r="N243" s="263">
        <v>786576.59</v>
      </c>
    </row>
    <row r="244" spans="1:14" s="156" customFormat="1" x14ac:dyDescent="0.25">
      <c r="A244" s="262" t="s">
        <v>545</v>
      </c>
      <c r="B244" s="262" t="s">
        <v>186</v>
      </c>
      <c r="C244" s="262" t="s">
        <v>187</v>
      </c>
      <c r="D244" s="262" t="s">
        <v>541</v>
      </c>
      <c r="E244" s="263">
        <v>8196286</v>
      </c>
      <c r="F244" s="263">
        <v>10196286</v>
      </c>
      <c r="G244" s="263">
        <v>10196286</v>
      </c>
      <c r="H244" s="263">
        <v>0</v>
      </c>
      <c r="I244" s="263">
        <v>0</v>
      </c>
      <c r="J244" s="263">
        <v>0</v>
      </c>
      <c r="K244" s="263">
        <v>7795666.0300000003</v>
      </c>
      <c r="L244" s="263">
        <v>4057438.59</v>
      </c>
      <c r="M244" s="263">
        <v>2400619.9700000002</v>
      </c>
      <c r="N244" s="263">
        <v>2400619.9700000002</v>
      </c>
    </row>
    <row r="245" spans="1:14" s="156" customFormat="1" x14ac:dyDescent="0.25">
      <c r="A245" s="262" t="s">
        <v>545</v>
      </c>
      <c r="B245" s="262" t="s">
        <v>188</v>
      </c>
      <c r="C245" s="262" t="s">
        <v>189</v>
      </c>
      <c r="D245" s="262" t="s">
        <v>541</v>
      </c>
      <c r="E245" s="263">
        <v>28160737</v>
      </c>
      <c r="F245" s="263">
        <v>23460737</v>
      </c>
      <c r="G245" s="263">
        <v>23460737</v>
      </c>
      <c r="H245" s="263">
        <v>0</v>
      </c>
      <c r="I245" s="263">
        <v>0</v>
      </c>
      <c r="J245" s="263">
        <v>0</v>
      </c>
      <c r="K245" s="263">
        <v>21990626.800000001</v>
      </c>
      <c r="L245" s="263">
        <v>17873691.48</v>
      </c>
      <c r="M245" s="263">
        <v>1470110.2</v>
      </c>
      <c r="N245" s="263">
        <v>1470110.2</v>
      </c>
    </row>
    <row r="246" spans="1:14" s="156" customFormat="1" x14ac:dyDescent="0.25">
      <c r="A246" s="262" t="s">
        <v>545</v>
      </c>
      <c r="B246" s="262" t="s">
        <v>190</v>
      </c>
      <c r="C246" s="262" t="s">
        <v>191</v>
      </c>
      <c r="D246" s="262" t="s">
        <v>541</v>
      </c>
      <c r="E246" s="263">
        <v>5604000</v>
      </c>
      <c r="F246" s="263">
        <v>4204000</v>
      </c>
      <c r="G246" s="263">
        <v>4204000</v>
      </c>
      <c r="H246" s="263">
        <v>0</v>
      </c>
      <c r="I246" s="263">
        <v>0</v>
      </c>
      <c r="J246" s="263">
        <v>0</v>
      </c>
      <c r="K246" s="263">
        <v>2682912.73</v>
      </c>
      <c r="L246" s="263">
        <v>1907216.23</v>
      </c>
      <c r="M246" s="263">
        <v>1521087.27</v>
      </c>
      <c r="N246" s="263">
        <v>1521087.27</v>
      </c>
    </row>
    <row r="247" spans="1:14" s="156" customFormat="1" x14ac:dyDescent="0.25">
      <c r="A247" s="262" t="s">
        <v>545</v>
      </c>
      <c r="B247" s="262" t="s">
        <v>192</v>
      </c>
      <c r="C247" s="262" t="s">
        <v>193</v>
      </c>
      <c r="D247" s="262" t="s">
        <v>541</v>
      </c>
      <c r="E247" s="263">
        <v>1340000</v>
      </c>
      <c r="F247" s="263">
        <v>1340000</v>
      </c>
      <c r="G247" s="263">
        <v>1340000</v>
      </c>
      <c r="H247" s="263">
        <v>0</v>
      </c>
      <c r="I247" s="263">
        <v>0</v>
      </c>
      <c r="J247" s="263">
        <v>0</v>
      </c>
      <c r="K247" s="263">
        <v>747858</v>
      </c>
      <c r="L247" s="263">
        <v>400</v>
      </c>
      <c r="M247" s="263">
        <v>592142</v>
      </c>
      <c r="N247" s="263">
        <v>592142</v>
      </c>
    </row>
    <row r="248" spans="1:14" s="156" customFormat="1" x14ac:dyDescent="0.25">
      <c r="A248" s="262" t="s">
        <v>545</v>
      </c>
      <c r="B248" s="262" t="s">
        <v>194</v>
      </c>
      <c r="C248" s="262" t="s">
        <v>195</v>
      </c>
      <c r="D248" s="262" t="s">
        <v>541</v>
      </c>
      <c r="E248" s="263">
        <v>1340000</v>
      </c>
      <c r="F248" s="263">
        <v>1340000</v>
      </c>
      <c r="G248" s="263">
        <v>1340000</v>
      </c>
      <c r="H248" s="263">
        <v>0</v>
      </c>
      <c r="I248" s="263">
        <v>0</v>
      </c>
      <c r="J248" s="263">
        <v>0</v>
      </c>
      <c r="K248" s="263">
        <v>747858</v>
      </c>
      <c r="L248" s="263">
        <v>400</v>
      </c>
      <c r="M248" s="263">
        <v>592142</v>
      </c>
      <c r="N248" s="263">
        <v>592142</v>
      </c>
    </row>
    <row r="249" spans="1:14" s="156" customFormat="1" x14ac:dyDescent="0.25">
      <c r="A249" s="262" t="s">
        <v>545</v>
      </c>
      <c r="B249" s="262" t="s">
        <v>196</v>
      </c>
      <c r="C249" s="262" t="s">
        <v>197</v>
      </c>
      <c r="D249" s="262" t="s">
        <v>541</v>
      </c>
      <c r="E249" s="263">
        <v>2150000</v>
      </c>
      <c r="F249" s="263">
        <v>7505000</v>
      </c>
      <c r="G249" s="263">
        <v>7505000</v>
      </c>
      <c r="H249" s="263">
        <v>0</v>
      </c>
      <c r="I249" s="263">
        <v>0</v>
      </c>
      <c r="J249" s="263">
        <v>0</v>
      </c>
      <c r="K249" s="263">
        <v>0</v>
      </c>
      <c r="L249" s="263">
        <v>0</v>
      </c>
      <c r="M249" s="263">
        <v>7505000</v>
      </c>
      <c r="N249" s="263">
        <v>7505000</v>
      </c>
    </row>
    <row r="250" spans="1:14" s="156" customFormat="1" x14ac:dyDescent="0.25">
      <c r="A250" s="262" t="s">
        <v>545</v>
      </c>
      <c r="B250" s="262" t="s">
        <v>334</v>
      </c>
      <c r="C250" s="262" t="s">
        <v>335</v>
      </c>
      <c r="D250" s="262" t="s">
        <v>541</v>
      </c>
      <c r="E250" s="263">
        <v>150000</v>
      </c>
      <c r="F250" s="263">
        <v>5505000</v>
      </c>
      <c r="G250" s="263">
        <v>5505000</v>
      </c>
      <c r="H250" s="263">
        <v>0</v>
      </c>
      <c r="I250" s="263">
        <v>0</v>
      </c>
      <c r="J250" s="263">
        <v>0</v>
      </c>
      <c r="K250" s="263">
        <v>0</v>
      </c>
      <c r="L250" s="263">
        <v>0</v>
      </c>
      <c r="M250" s="263">
        <v>5505000</v>
      </c>
      <c r="N250" s="263">
        <v>5505000</v>
      </c>
    </row>
    <row r="251" spans="1:14" s="156" customFormat="1" x14ac:dyDescent="0.25">
      <c r="A251" s="262" t="s">
        <v>545</v>
      </c>
      <c r="B251" s="262" t="s">
        <v>198</v>
      </c>
      <c r="C251" s="262" t="s">
        <v>199</v>
      </c>
      <c r="D251" s="262" t="s">
        <v>541</v>
      </c>
      <c r="E251" s="263">
        <v>2000000</v>
      </c>
      <c r="F251" s="263">
        <v>2000000</v>
      </c>
      <c r="G251" s="263">
        <v>2000000</v>
      </c>
      <c r="H251" s="263">
        <v>0</v>
      </c>
      <c r="I251" s="263">
        <v>0</v>
      </c>
      <c r="J251" s="263">
        <v>0</v>
      </c>
      <c r="K251" s="263">
        <v>0</v>
      </c>
      <c r="L251" s="263">
        <v>0</v>
      </c>
      <c r="M251" s="263">
        <v>2000000</v>
      </c>
      <c r="N251" s="263">
        <v>2000000</v>
      </c>
    </row>
    <row r="252" spans="1:14" s="156" customFormat="1" x14ac:dyDescent="0.25">
      <c r="A252" s="262" t="s">
        <v>545</v>
      </c>
      <c r="B252" s="262" t="s">
        <v>200</v>
      </c>
      <c r="C252" s="262" t="s">
        <v>201</v>
      </c>
      <c r="D252" s="262" t="s">
        <v>541</v>
      </c>
      <c r="E252" s="263">
        <v>65233793</v>
      </c>
      <c r="F252" s="263">
        <v>43233793</v>
      </c>
      <c r="G252" s="263">
        <v>43233793</v>
      </c>
      <c r="H252" s="263">
        <v>0</v>
      </c>
      <c r="I252" s="263">
        <v>0</v>
      </c>
      <c r="J252" s="263">
        <v>0</v>
      </c>
      <c r="K252" s="263">
        <v>31675371.420000002</v>
      </c>
      <c r="L252" s="263">
        <v>27340634.530000001</v>
      </c>
      <c r="M252" s="263">
        <v>11558421.58</v>
      </c>
      <c r="N252" s="263">
        <v>11558421.58</v>
      </c>
    </row>
    <row r="253" spans="1:14" s="156" customFormat="1" x14ac:dyDescent="0.25">
      <c r="A253" s="262" t="s">
        <v>545</v>
      </c>
      <c r="B253" s="262" t="s">
        <v>202</v>
      </c>
      <c r="C253" s="262" t="s">
        <v>203</v>
      </c>
      <c r="D253" s="262" t="s">
        <v>541</v>
      </c>
      <c r="E253" s="263">
        <v>34706100</v>
      </c>
      <c r="F253" s="263">
        <v>22206100</v>
      </c>
      <c r="G253" s="263">
        <v>22206100</v>
      </c>
      <c r="H253" s="263">
        <v>0</v>
      </c>
      <c r="I253" s="263">
        <v>0</v>
      </c>
      <c r="J253" s="263">
        <v>0</v>
      </c>
      <c r="K253" s="263">
        <v>18383496.780000001</v>
      </c>
      <c r="L253" s="263">
        <v>17603932.210000001</v>
      </c>
      <c r="M253" s="263">
        <v>3822603.22</v>
      </c>
      <c r="N253" s="263">
        <v>3822603.22</v>
      </c>
    </row>
    <row r="254" spans="1:14" s="156" customFormat="1" x14ac:dyDescent="0.25">
      <c r="A254" s="262" t="s">
        <v>545</v>
      </c>
      <c r="B254" s="262" t="s">
        <v>204</v>
      </c>
      <c r="C254" s="262" t="s">
        <v>205</v>
      </c>
      <c r="D254" s="262" t="s">
        <v>541</v>
      </c>
      <c r="E254" s="263">
        <v>26298967</v>
      </c>
      <c r="F254" s="263">
        <v>19798967</v>
      </c>
      <c r="G254" s="263">
        <v>19798967</v>
      </c>
      <c r="H254" s="263">
        <v>0</v>
      </c>
      <c r="I254" s="263">
        <v>0</v>
      </c>
      <c r="J254" s="263">
        <v>0</v>
      </c>
      <c r="K254" s="263">
        <v>16628151.67</v>
      </c>
      <c r="L254" s="263">
        <v>15991897.67</v>
      </c>
      <c r="M254" s="263">
        <v>3170815.33</v>
      </c>
      <c r="N254" s="263">
        <v>3170815.33</v>
      </c>
    </row>
    <row r="255" spans="1:14" s="156" customFormat="1" x14ac:dyDescent="0.25">
      <c r="A255" s="262" t="s">
        <v>545</v>
      </c>
      <c r="B255" s="262" t="s">
        <v>208</v>
      </c>
      <c r="C255" s="262" t="s">
        <v>209</v>
      </c>
      <c r="D255" s="262" t="s">
        <v>541</v>
      </c>
      <c r="E255" s="263">
        <v>8102133</v>
      </c>
      <c r="F255" s="263">
        <v>2102133</v>
      </c>
      <c r="G255" s="263">
        <v>2102133</v>
      </c>
      <c r="H255" s="263">
        <v>0</v>
      </c>
      <c r="I255" s="263">
        <v>0</v>
      </c>
      <c r="J255" s="263">
        <v>0</v>
      </c>
      <c r="K255" s="263">
        <v>1472211.33</v>
      </c>
      <c r="L255" s="263">
        <v>1328900.76</v>
      </c>
      <c r="M255" s="263">
        <v>629921.67000000004</v>
      </c>
      <c r="N255" s="263">
        <v>629921.67000000004</v>
      </c>
    </row>
    <row r="256" spans="1:14" s="156" customFormat="1" x14ac:dyDescent="0.25">
      <c r="A256" s="262" t="s">
        <v>545</v>
      </c>
      <c r="B256" s="262" t="s">
        <v>210</v>
      </c>
      <c r="C256" s="262" t="s">
        <v>211</v>
      </c>
      <c r="D256" s="262" t="s">
        <v>541</v>
      </c>
      <c r="E256" s="263">
        <v>305000</v>
      </c>
      <c r="F256" s="263">
        <v>305000</v>
      </c>
      <c r="G256" s="263">
        <v>305000</v>
      </c>
      <c r="H256" s="263">
        <v>0</v>
      </c>
      <c r="I256" s="263">
        <v>0</v>
      </c>
      <c r="J256" s="263">
        <v>0</v>
      </c>
      <c r="K256" s="263">
        <v>283133.78000000003</v>
      </c>
      <c r="L256" s="263">
        <v>283133.78000000003</v>
      </c>
      <c r="M256" s="263">
        <v>21866.22</v>
      </c>
      <c r="N256" s="263">
        <v>21866.22</v>
      </c>
    </row>
    <row r="257" spans="1:14" s="156" customFormat="1" x14ac:dyDescent="0.25">
      <c r="A257" s="262" t="s">
        <v>545</v>
      </c>
      <c r="B257" s="262" t="s">
        <v>216</v>
      </c>
      <c r="C257" s="262" t="s">
        <v>217</v>
      </c>
      <c r="D257" s="262" t="s">
        <v>541</v>
      </c>
      <c r="E257" s="263">
        <v>2978000</v>
      </c>
      <c r="F257" s="263">
        <v>3778000</v>
      </c>
      <c r="G257" s="263">
        <v>3778000</v>
      </c>
      <c r="H257" s="263">
        <v>0</v>
      </c>
      <c r="I257" s="263">
        <v>0</v>
      </c>
      <c r="J257" s="263">
        <v>0</v>
      </c>
      <c r="K257" s="263">
        <v>2063993.2</v>
      </c>
      <c r="L257" s="263">
        <v>403988.2</v>
      </c>
      <c r="M257" s="263">
        <v>1714006.8</v>
      </c>
      <c r="N257" s="263">
        <v>1714006.8</v>
      </c>
    </row>
    <row r="258" spans="1:14" s="156" customFormat="1" x14ac:dyDescent="0.25">
      <c r="A258" s="262" t="s">
        <v>545</v>
      </c>
      <c r="B258" s="262" t="s">
        <v>218</v>
      </c>
      <c r="C258" s="262" t="s">
        <v>219</v>
      </c>
      <c r="D258" s="262" t="s">
        <v>541</v>
      </c>
      <c r="E258" s="263">
        <v>830000</v>
      </c>
      <c r="F258" s="263">
        <v>830000</v>
      </c>
      <c r="G258" s="263">
        <v>830000</v>
      </c>
      <c r="H258" s="263">
        <v>0</v>
      </c>
      <c r="I258" s="263">
        <v>0</v>
      </c>
      <c r="J258" s="263">
        <v>0</v>
      </c>
      <c r="K258" s="263">
        <v>105320</v>
      </c>
      <c r="L258" s="263">
        <v>105320</v>
      </c>
      <c r="M258" s="263">
        <v>724680</v>
      </c>
      <c r="N258" s="263">
        <v>724680</v>
      </c>
    </row>
    <row r="259" spans="1:14" s="156" customFormat="1" x14ac:dyDescent="0.25">
      <c r="A259" s="262" t="s">
        <v>545</v>
      </c>
      <c r="B259" s="262" t="s">
        <v>336</v>
      </c>
      <c r="C259" s="262" t="s">
        <v>337</v>
      </c>
      <c r="D259" s="262" t="s">
        <v>541</v>
      </c>
      <c r="E259" s="263">
        <v>67000</v>
      </c>
      <c r="F259" s="263">
        <v>67000</v>
      </c>
      <c r="G259" s="263">
        <v>67000</v>
      </c>
      <c r="H259" s="263">
        <v>0</v>
      </c>
      <c r="I259" s="263">
        <v>0</v>
      </c>
      <c r="J259" s="263">
        <v>0</v>
      </c>
      <c r="K259" s="263">
        <v>55800</v>
      </c>
      <c r="L259" s="263">
        <v>55800</v>
      </c>
      <c r="M259" s="263">
        <v>11200</v>
      </c>
      <c r="N259" s="263">
        <v>11200</v>
      </c>
    </row>
    <row r="260" spans="1:14" s="156" customFormat="1" x14ac:dyDescent="0.25">
      <c r="A260" s="262" t="s">
        <v>545</v>
      </c>
      <c r="B260" s="262" t="s">
        <v>338</v>
      </c>
      <c r="C260" s="262" t="s">
        <v>339</v>
      </c>
      <c r="D260" s="262" t="s">
        <v>541</v>
      </c>
      <c r="E260" s="263">
        <v>99000</v>
      </c>
      <c r="F260" s="263">
        <v>99000</v>
      </c>
      <c r="G260" s="263">
        <v>99000</v>
      </c>
      <c r="H260" s="263">
        <v>0</v>
      </c>
      <c r="I260" s="263">
        <v>0</v>
      </c>
      <c r="J260" s="263">
        <v>0</v>
      </c>
      <c r="K260" s="263">
        <v>98740</v>
      </c>
      <c r="L260" s="263">
        <v>98740</v>
      </c>
      <c r="M260" s="263">
        <v>260</v>
      </c>
      <c r="N260" s="263">
        <v>260</v>
      </c>
    </row>
    <row r="261" spans="1:14" s="156" customFormat="1" x14ac:dyDescent="0.25">
      <c r="A261" s="262" t="s">
        <v>545</v>
      </c>
      <c r="B261" s="262" t="s">
        <v>220</v>
      </c>
      <c r="C261" s="262" t="s">
        <v>221</v>
      </c>
      <c r="D261" s="262" t="s">
        <v>541</v>
      </c>
      <c r="E261" s="263">
        <v>1345000</v>
      </c>
      <c r="F261" s="263">
        <v>1345000</v>
      </c>
      <c r="G261" s="263">
        <v>1345000</v>
      </c>
      <c r="H261" s="263">
        <v>0</v>
      </c>
      <c r="I261" s="263">
        <v>0</v>
      </c>
      <c r="J261" s="263">
        <v>0</v>
      </c>
      <c r="K261" s="263">
        <v>1013545</v>
      </c>
      <c r="L261" s="263">
        <v>0</v>
      </c>
      <c r="M261" s="263">
        <v>331455</v>
      </c>
      <c r="N261" s="263">
        <v>331455</v>
      </c>
    </row>
    <row r="262" spans="1:14" s="156" customFormat="1" x14ac:dyDescent="0.25">
      <c r="A262" s="262" t="s">
        <v>545</v>
      </c>
      <c r="B262" s="262" t="s">
        <v>222</v>
      </c>
      <c r="C262" s="262" t="s">
        <v>223</v>
      </c>
      <c r="D262" s="262" t="s">
        <v>541</v>
      </c>
      <c r="E262" s="263">
        <v>40000</v>
      </c>
      <c r="F262" s="263">
        <v>40000</v>
      </c>
      <c r="G262" s="263">
        <v>40000</v>
      </c>
      <c r="H262" s="263">
        <v>0</v>
      </c>
      <c r="I262" s="263">
        <v>0</v>
      </c>
      <c r="J262" s="263">
        <v>0</v>
      </c>
      <c r="K262" s="263">
        <v>0</v>
      </c>
      <c r="L262" s="263">
        <v>0</v>
      </c>
      <c r="M262" s="263">
        <v>40000</v>
      </c>
      <c r="N262" s="263">
        <v>40000</v>
      </c>
    </row>
    <row r="263" spans="1:14" s="156" customFormat="1" x14ac:dyDescent="0.25">
      <c r="A263" s="262" t="s">
        <v>545</v>
      </c>
      <c r="B263" s="262" t="s">
        <v>224</v>
      </c>
      <c r="C263" s="262" t="s">
        <v>225</v>
      </c>
      <c r="D263" s="262" t="s">
        <v>541</v>
      </c>
      <c r="E263" s="263">
        <v>198000</v>
      </c>
      <c r="F263" s="263">
        <v>198000</v>
      </c>
      <c r="G263" s="263">
        <v>198000</v>
      </c>
      <c r="H263" s="263">
        <v>0</v>
      </c>
      <c r="I263" s="263">
        <v>0</v>
      </c>
      <c r="J263" s="263">
        <v>0</v>
      </c>
      <c r="K263" s="263">
        <v>83382.2</v>
      </c>
      <c r="L263" s="263">
        <v>83382.2</v>
      </c>
      <c r="M263" s="263">
        <v>114617.8</v>
      </c>
      <c r="N263" s="263">
        <v>114617.8</v>
      </c>
    </row>
    <row r="264" spans="1:14" s="156" customFormat="1" x14ac:dyDescent="0.25">
      <c r="A264" s="262" t="s">
        <v>545</v>
      </c>
      <c r="B264" s="262" t="s">
        <v>226</v>
      </c>
      <c r="C264" s="262" t="s">
        <v>227</v>
      </c>
      <c r="D264" s="262" t="s">
        <v>541</v>
      </c>
      <c r="E264" s="263">
        <v>399000</v>
      </c>
      <c r="F264" s="263">
        <v>1199000</v>
      </c>
      <c r="G264" s="263">
        <v>1199000</v>
      </c>
      <c r="H264" s="263">
        <v>0</v>
      </c>
      <c r="I264" s="263">
        <v>0</v>
      </c>
      <c r="J264" s="263">
        <v>0</v>
      </c>
      <c r="K264" s="263">
        <v>707206</v>
      </c>
      <c r="L264" s="263">
        <v>60746</v>
      </c>
      <c r="M264" s="263">
        <v>491794</v>
      </c>
      <c r="N264" s="263">
        <v>491794</v>
      </c>
    </row>
    <row r="265" spans="1:14" s="156" customFormat="1" x14ac:dyDescent="0.25">
      <c r="A265" s="262" t="s">
        <v>545</v>
      </c>
      <c r="B265" s="262" t="s">
        <v>228</v>
      </c>
      <c r="C265" s="262" t="s">
        <v>229</v>
      </c>
      <c r="D265" s="262" t="s">
        <v>541</v>
      </c>
      <c r="E265" s="263">
        <v>3047000</v>
      </c>
      <c r="F265" s="263">
        <v>2547000</v>
      </c>
      <c r="G265" s="263">
        <v>2547000</v>
      </c>
      <c r="H265" s="263">
        <v>0</v>
      </c>
      <c r="I265" s="263">
        <v>0</v>
      </c>
      <c r="J265" s="263">
        <v>0</v>
      </c>
      <c r="K265" s="263">
        <v>1069916.08</v>
      </c>
      <c r="L265" s="263">
        <v>919034.08</v>
      </c>
      <c r="M265" s="263">
        <v>1477083.92</v>
      </c>
      <c r="N265" s="263">
        <v>1477083.92</v>
      </c>
    </row>
    <row r="266" spans="1:14" s="156" customFormat="1" x14ac:dyDescent="0.25">
      <c r="A266" s="262" t="s">
        <v>545</v>
      </c>
      <c r="B266" s="262" t="s">
        <v>230</v>
      </c>
      <c r="C266" s="262" t="s">
        <v>231</v>
      </c>
      <c r="D266" s="262" t="s">
        <v>541</v>
      </c>
      <c r="E266" s="263">
        <v>251000</v>
      </c>
      <c r="F266" s="263">
        <v>251000</v>
      </c>
      <c r="G266" s="263">
        <v>251000</v>
      </c>
      <c r="H266" s="263">
        <v>0</v>
      </c>
      <c r="I266" s="263">
        <v>0</v>
      </c>
      <c r="J266" s="263">
        <v>0</v>
      </c>
      <c r="K266" s="263">
        <v>150882</v>
      </c>
      <c r="L266" s="263">
        <v>0</v>
      </c>
      <c r="M266" s="263">
        <v>100118</v>
      </c>
      <c r="N266" s="263">
        <v>100118</v>
      </c>
    </row>
    <row r="267" spans="1:14" s="156" customFormat="1" x14ac:dyDescent="0.25">
      <c r="A267" s="262" t="s">
        <v>545</v>
      </c>
      <c r="B267" s="262" t="s">
        <v>232</v>
      </c>
      <c r="C267" s="262" t="s">
        <v>233</v>
      </c>
      <c r="D267" s="262" t="s">
        <v>541</v>
      </c>
      <c r="E267" s="263">
        <v>2796000</v>
      </c>
      <c r="F267" s="263">
        <v>2296000</v>
      </c>
      <c r="G267" s="263">
        <v>2296000</v>
      </c>
      <c r="H267" s="263">
        <v>0</v>
      </c>
      <c r="I267" s="263">
        <v>0</v>
      </c>
      <c r="J267" s="263">
        <v>0</v>
      </c>
      <c r="K267" s="263">
        <v>919034.08</v>
      </c>
      <c r="L267" s="263">
        <v>919034.08</v>
      </c>
      <c r="M267" s="263">
        <v>1376965.92</v>
      </c>
      <c r="N267" s="263">
        <v>1376965.92</v>
      </c>
    </row>
    <row r="268" spans="1:14" s="156" customFormat="1" x14ac:dyDescent="0.25">
      <c r="A268" s="262" t="s">
        <v>545</v>
      </c>
      <c r="B268" s="262" t="s">
        <v>234</v>
      </c>
      <c r="C268" s="262" t="s">
        <v>601</v>
      </c>
      <c r="D268" s="262" t="s">
        <v>541</v>
      </c>
      <c r="E268" s="263">
        <v>24502693</v>
      </c>
      <c r="F268" s="263">
        <v>14702693</v>
      </c>
      <c r="G268" s="263">
        <v>14702693</v>
      </c>
      <c r="H268" s="263">
        <v>0</v>
      </c>
      <c r="I268" s="263">
        <v>0</v>
      </c>
      <c r="J268" s="263">
        <v>0</v>
      </c>
      <c r="K268" s="263">
        <v>10157965.359999999</v>
      </c>
      <c r="L268" s="263">
        <v>8413680.0399999991</v>
      </c>
      <c r="M268" s="263">
        <v>4544727.6399999997</v>
      </c>
      <c r="N268" s="263">
        <v>4544727.6399999997</v>
      </c>
    </row>
    <row r="269" spans="1:14" s="156" customFormat="1" x14ac:dyDescent="0.25">
      <c r="A269" s="262" t="s">
        <v>545</v>
      </c>
      <c r="B269" s="262" t="s">
        <v>235</v>
      </c>
      <c r="C269" s="262" t="s">
        <v>236</v>
      </c>
      <c r="D269" s="262" t="s">
        <v>541</v>
      </c>
      <c r="E269" s="263">
        <v>7116000</v>
      </c>
      <c r="F269" s="263">
        <v>3116000</v>
      </c>
      <c r="G269" s="263">
        <v>3116000</v>
      </c>
      <c r="H269" s="263">
        <v>0</v>
      </c>
      <c r="I269" s="263">
        <v>0</v>
      </c>
      <c r="J269" s="263">
        <v>0</v>
      </c>
      <c r="K269" s="263">
        <v>3083770.06</v>
      </c>
      <c r="L269" s="263">
        <v>3083770.06</v>
      </c>
      <c r="M269" s="263">
        <v>32229.94</v>
      </c>
      <c r="N269" s="263">
        <v>32229.94</v>
      </c>
    </row>
    <row r="270" spans="1:14" s="156" customFormat="1" x14ac:dyDescent="0.25">
      <c r="A270" s="262" t="s">
        <v>545</v>
      </c>
      <c r="B270" s="262" t="s">
        <v>237</v>
      </c>
      <c r="C270" s="262" t="s">
        <v>238</v>
      </c>
      <c r="D270" s="262" t="s">
        <v>541</v>
      </c>
      <c r="E270" s="263">
        <v>0</v>
      </c>
      <c r="F270" s="263">
        <v>0</v>
      </c>
      <c r="G270" s="263">
        <v>0</v>
      </c>
      <c r="H270" s="263">
        <v>0</v>
      </c>
      <c r="I270" s="263">
        <v>0</v>
      </c>
      <c r="J270" s="263">
        <v>0</v>
      </c>
      <c r="K270" s="263">
        <v>0</v>
      </c>
      <c r="L270" s="263">
        <v>0</v>
      </c>
      <c r="M270" s="263">
        <v>0</v>
      </c>
      <c r="N270" s="263">
        <v>0</v>
      </c>
    </row>
    <row r="271" spans="1:14" s="156" customFormat="1" x14ac:dyDescent="0.25">
      <c r="A271" s="262" t="s">
        <v>545</v>
      </c>
      <c r="B271" s="262" t="s">
        <v>239</v>
      </c>
      <c r="C271" s="262" t="s">
        <v>240</v>
      </c>
      <c r="D271" s="262" t="s">
        <v>541</v>
      </c>
      <c r="E271" s="263">
        <v>15203693</v>
      </c>
      <c r="F271" s="263">
        <v>8203693</v>
      </c>
      <c r="G271" s="263">
        <v>8203693</v>
      </c>
      <c r="H271" s="263">
        <v>0</v>
      </c>
      <c r="I271" s="263">
        <v>0</v>
      </c>
      <c r="J271" s="263">
        <v>0</v>
      </c>
      <c r="K271" s="263">
        <v>5220580.18</v>
      </c>
      <c r="L271" s="263">
        <v>3996226.18</v>
      </c>
      <c r="M271" s="263">
        <v>2983112.82</v>
      </c>
      <c r="N271" s="263">
        <v>2983112.82</v>
      </c>
    </row>
    <row r="272" spans="1:14" s="156" customFormat="1" x14ac:dyDescent="0.25">
      <c r="A272" s="262" t="s">
        <v>545</v>
      </c>
      <c r="B272" s="262" t="s">
        <v>241</v>
      </c>
      <c r="C272" s="262" t="s">
        <v>242</v>
      </c>
      <c r="D272" s="262" t="s">
        <v>541</v>
      </c>
      <c r="E272" s="263">
        <v>133000</v>
      </c>
      <c r="F272" s="263">
        <v>1333000</v>
      </c>
      <c r="G272" s="263">
        <v>1333000</v>
      </c>
      <c r="H272" s="263">
        <v>0</v>
      </c>
      <c r="I272" s="263">
        <v>0</v>
      </c>
      <c r="J272" s="263">
        <v>0</v>
      </c>
      <c r="K272" s="263">
        <v>646900</v>
      </c>
      <c r="L272" s="263">
        <v>133000</v>
      </c>
      <c r="M272" s="263">
        <v>686100</v>
      </c>
      <c r="N272" s="263">
        <v>686100</v>
      </c>
    </row>
    <row r="273" spans="1:14" s="156" customFormat="1" x14ac:dyDescent="0.25">
      <c r="A273" s="262" t="s">
        <v>545</v>
      </c>
      <c r="B273" s="262" t="s">
        <v>243</v>
      </c>
      <c r="C273" s="262" t="s">
        <v>244</v>
      </c>
      <c r="D273" s="262" t="s">
        <v>541</v>
      </c>
      <c r="E273" s="263">
        <v>1356000</v>
      </c>
      <c r="F273" s="263">
        <v>1356000</v>
      </c>
      <c r="G273" s="263">
        <v>1356000</v>
      </c>
      <c r="H273" s="263">
        <v>0</v>
      </c>
      <c r="I273" s="263">
        <v>0</v>
      </c>
      <c r="J273" s="263">
        <v>0</v>
      </c>
      <c r="K273" s="263">
        <v>1090333.8</v>
      </c>
      <c r="L273" s="263">
        <v>1090333.8</v>
      </c>
      <c r="M273" s="263">
        <v>265666.2</v>
      </c>
      <c r="N273" s="263">
        <v>265666.2</v>
      </c>
    </row>
    <row r="274" spans="1:14" s="156" customFormat="1" x14ac:dyDescent="0.25">
      <c r="A274" s="262" t="s">
        <v>545</v>
      </c>
      <c r="B274" s="262" t="s">
        <v>245</v>
      </c>
      <c r="C274" s="262" t="s">
        <v>246</v>
      </c>
      <c r="D274" s="262" t="s">
        <v>541</v>
      </c>
      <c r="E274" s="263">
        <v>123000</v>
      </c>
      <c r="F274" s="263">
        <v>123000</v>
      </c>
      <c r="G274" s="263">
        <v>123000</v>
      </c>
      <c r="H274" s="263">
        <v>0</v>
      </c>
      <c r="I274" s="263">
        <v>0</v>
      </c>
      <c r="J274" s="263">
        <v>0</v>
      </c>
      <c r="K274" s="263">
        <v>62241.32</v>
      </c>
      <c r="L274" s="263">
        <v>56210</v>
      </c>
      <c r="M274" s="263">
        <v>60758.68</v>
      </c>
      <c r="N274" s="263">
        <v>60758.68</v>
      </c>
    </row>
    <row r="275" spans="1:14" s="156" customFormat="1" x14ac:dyDescent="0.25">
      <c r="A275" s="262" t="s">
        <v>545</v>
      </c>
      <c r="B275" s="262" t="s">
        <v>249</v>
      </c>
      <c r="C275" s="262" t="s">
        <v>250</v>
      </c>
      <c r="D275" s="262" t="s">
        <v>541</v>
      </c>
      <c r="E275" s="263">
        <v>571000</v>
      </c>
      <c r="F275" s="263">
        <v>571000</v>
      </c>
      <c r="G275" s="263">
        <v>571000</v>
      </c>
      <c r="H275" s="263">
        <v>0</v>
      </c>
      <c r="I275" s="263">
        <v>0</v>
      </c>
      <c r="J275" s="263">
        <v>0</v>
      </c>
      <c r="K275" s="263">
        <v>54140</v>
      </c>
      <c r="L275" s="263">
        <v>54140</v>
      </c>
      <c r="M275" s="263">
        <v>516860</v>
      </c>
      <c r="N275" s="263">
        <v>516860</v>
      </c>
    </row>
    <row r="276" spans="1:14" s="156" customFormat="1" x14ac:dyDescent="0.25">
      <c r="A276" s="262" t="s">
        <v>545</v>
      </c>
      <c r="B276" s="262" t="s">
        <v>279</v>
      </c>
      <c r="C276" s="262" t="s">
        <v>280</v>
      </c>
      <c r="D276" s="262" t="s">
        <v>541</v>
      </c>
      <c r="E276" s="263">
        <v>47031000</v>
      </c>
      <c r="F276" s="263">
        <v>52031000</v>
      </c>
      <c r="G276" s="263">
        <v>52031000</v>
      </c>
      <c r="H276" s="263">
        <v>0</v>
      </c>
      <c r="I276" s="263">
        <v>0</v>
      </c>
      <c r="J276" s="263">
        <v>0</v>
      </c>
      <c r="K276" s="263">
        <v>48629558.729999997</v>
      </c>
      <c r="L276" s="263">
        <v>41798664.140000001</v>
      </c>
      <c r="M276" s="263">
        <v>3401441.27</v>
      </c>
      <c r="N276" s="263">
        <v>3401441.27</v>
      </c>
    </row>
    <row r="277" spans="1:14" s="156" customFormat="1" x14ac:dyDescent="0.25">
      <c r="A277" s="262" t="s">
        <v>545</v>
      </c>
      <c r="B277" s="262" t="s">
        <v>281</v>
      </c>
      <c r="C277" s="262" t="s">
        <v>282</v>
      </c>
      <c r="D277" s="262" t="s">
        <v>541</v>
      </c>
      <c r="E277" s="263">
        <v>25000000</v>
      </c>
      <c r="F277" s="263">
        <v>22047517.809999999</v>
      </c>
      <c r="G277" s="263">
        <v>22047517.809999999</v>
      </c>
      <c r="H277" s="263">
        <v>0</v>
      </c>
      <c r="I277" s="263">
        <v>0</v>
      </c>
      <c r="J277" s="263">
        <v>0</v>
      </c>
      <c r="K277" s="263">
        <v>21271239.129999999</v>
      </c>
      <c r="L277" s="263">
        <v>14614283.65</v>
      </c>
      <c r="M277" s="263">
        <v>776278.68</v>
      </c>
      <c r="N277" s="263">
        <v>776278.68</v>
      </c>
    </row>
    <row r="278" spans="1:14" s="156" customFormat="1" x14ac:dyDescent="0.25">
      <c r="A278" s="262" t="s">
        <v>545</v>
      </c>
      <c r="B278" s="262" t="s">
        <v>398</v>
      </c>
      <c r="C278" s="262" t="s">
        <v>501</v>
      </c>
      <c r="D278" s="262" t="s">
        <v>543</v>
      </c>
      <c r="E278" s="263">
        <v>15000000</v>
      </c>
      <c r="F278" s="263">
        <v>13762284</v>
      </c>
      <c r="G278" s="263">
        <v>13762284</v>
      </c>
      <c r="H278" s="263">
        <v>0</v>
      </c>
      <c r="I278" s="263">
        <v>0</v>
      </c>
      <c r="J278" s="263">
        <v>0</v>
      </c>
      <c r="K278" s="263">
        <v>13762283.65</v>
      </c>
      <c r="L278" s="263">
        <v>13762283.65</v>
      </c>
      <c r="M278" s="263">
        <v>0.35</v>
      </c>
      <c r="N278" s="263">
        <v>0.35</v>
      </c>
    </row>
    <row r="279" spans="1:14" s="156" customFormat="1" x14ac:dyDescent="0.25">
      <c r="A279" s="262" t="s">
        <v>545</v>
      </c>
      <c r="B279" s="262" t="s">
        <v>285</v>
      </c>
      <c r="C279" s="262" t="s">
        <v>286</v>
      </c>
      <c r="D279" s="262" t="s">
        <v>543</v>
      </c>
      <c r="E279" s="263">
        <v>0</v>
      </c>
      <c r="F279" s="263">
        <v>0</v>
      </c>
      <c r="G279" s="263">
        <v>0</v>
      </c>
      <c r="H279" s="263">
        <v>0</v>
      </c>
      <c r="I279" s="263">
        <v>0</v>
      </c>
      <c r="J279" s="263">
        <v>0</v>
      </c>
      <c r="K279" s="263">
        <v>0</v>
      </c>
      <c r="L279" s="263">
        <v>0</v>
      </c>
      <c r="M279" s="263">
        <v>0</v>
      </c>
      <c r="N279" s="263">
        <v>0</v>
      </c>
    </row>
    <row r="280" spans="1:14" s="156" customFormat="1" x14ac:dyDescent="0.25">
      <c r="A280" s="262" t="s">
        <v>545</v>
      </c>
      <c r="B280" s="262" t="s">
        <v>287</v>
      </c>
      <c r="C280" s="262" t="s">
        <v>288</v>
      </c>
      <c r="D280" s="262" t="s">
        <v>541</v>
      </c>
      <c r="E280" s="263">
        <v>0</v>
      </c>
      <c r="F280" s="263">
        <v>5000000</v>
      </c>
      <c r="G280" s="263">
        <v>5000000</v>
      </c>
      <c r="H280" s="263">
        <v>0</v>
      </c>
      <c r="I280" s="263">
        <v>0</v>
      </c>
      <c r="J280" s="263">
        <v>0</v>
      </c>
      <c r="K280" s="263">
        <v>4856250</v>
      </c>
      <c r="L280" s="263">
        <v>0</v>
      </c>
      <c r="M280" s="263">
        <v>143750</v>
      </c>
      <c r="N280" s="263">
        <v>143750</v>
      </c>
    </row>
    <row r="281" spans="1:14" s="156" customFormat="1" x14ac:dyDescent="0.25">
      <c r="A281" s="262" t="s">
        <v>545</v>
      </c>
      <c r="B281" s="262" t="s">
        <v>287</v>
      </c>
      <c r="C281" s="262" t="s">
        <v>288</v>
      </c>
      <c r="D281" s="262" t="s">
        <v>543</v>
      </c>
      <c r="E281" s="263">
        <v>0</v>
      </c>
      <c r="F281" s="263">
        <v>0</v>
      </c>
      <c r="G281" s="263">
        <v>0</v>
      </c>
      <c r="H281" s="263">
        <v>0</v>
      </c>
      <c r="I281" s="263">
        <v>0</v>
      </c>
      <c r="J281" s="263">
        <v>0</v>
      </c>
      <c r="K281" s="263">
        <v>0</v>
      </c>
      <c r="L281" s="263">
        <v>0</v>
      </c>
      <c r="M281" s="263">
        <v>0</v>
      </c>
      <c r="N281" s="263">
        <v>0</v>
      </c>
    </row>
    <row r="282" spans="1:14" s="156" customFormat="1" x14ac:dyDescent="0.25">
      <c r="A282" s="262" t="s">
        <v>545</v>
      </c>
      <c r="B282" s="262" t="s">
        <v>289</v>
      </c>
      <c r="C282" s="262" t="s">
        <v>290</v>
      </c>
      <c r="D282" s="262" t="s">
        <v>543</v>
      </c>
      <c r="E282" s="263">
        <v>10000000</v>
      </c>
      <c r="F282" s="263">
        <v>2585233.81</v>
      </c>
      <c r="G282" s="263">
        <v>2585233.81</v>
      </c>
      <c r="H282" s="263">
        <v>0</v>
      </c>
      <c r="I282" s="263">
        <v>0</v>
      </c>
      <c r="J282" s="263">
        <v>0</v>
      </c>
      <c r="K282" s="263">
        <v>2040236.63</v>
      </c>
      <c r="L282" s="263">
        <v>852000</v>
      </c>
      <c r="M282" s="263">
        <v>544997.18000000005</v>
      </c>
      <c r="N282" s="263">
        <v>544997.18000000005</v>
      </c>
    </row>
    <row r="283" spans="1:14" s="156" customFormat="1" x14ac:dyDescent="0.25">
      <c r="A283" s="262" t="s">
        <v>545</v>
      </c>
      <c r="B283" s="262" t="s">
        <v>291</v>
      </c>
      <c r="C283" s="262" t="s">
        <v>292</v>
      </c>
      <c r="D283" s="262" t="s">
        <v>543</v>
      </c>
      <c r="E283" s="263">
        <v>0</v>
      </c>
      <c r="F283" s="263">
        <v>0</v>
      </c>
      <c r="G283" s="263">
        <v>0</v>
      </c>
      <c r="H283" s="263">
        <v>0</v>
      </c>
      <c r="I283" s="263">
        <v>0</v>
      </c>
      <c r="J283" s="263">
        <v>0</v>
      </c>
      <c r="K283" s="263">
        <v>0</v>
      </c>
      <c r="L283" s="263">
        <v>0</v>
      </c>
      <c r="M283" s="263">
        <v>0</v>
      </c>
      <c r="N283" s="263">
        <v>0</v>
      </c>
    </row>
    <row r="284" spans="1:14" s="156" customFormat="1" x14ac:dyDescent="0.25">
      <c r="A284" s="262" t="s">
        <v>545</v>
      </c>
      <c r="B284" s="262" t="s">
        <v>295</v>
      </c>
      <c r="C284" s="262" t="s">
        <v>296</v>
      </c>
      <c r="D284" s="262" t="s">
        <v>543</v>
      </c>
      <c r="E284" s="263">
        <v>0</v>
      </c>
      <c r="F284" s="263">
        <v>700000</v>
      </c>
      <c r="G284" s="263">
        <v>700000</v>
      </c>
      <c r="H284" s="263">
        <v>0</v>
      </c>
      <c r="I284" s="263">
        <v>0</v>
      </c>
      <c r="J284" s="263">
        <v>0</v>
      </c>
      <c r="K284" s="263">
        <v>612468.85</v>
      </c>
      <c r="L284" s="263">
        <v>0</v>
      </c>
      <c r="M284" s="263">
        <v>87531.15</v>
      </c>
      <c r="N284" s="263">
        <v>87531.15</v>
      </c>
    </row>
    <row r="285" spans="1:14" s="156" customFormat="1" x14ac:dyDescent="0.25">
      <c r="A285" s="262" t="s">
        <v>545</v>
      </c>
      <c r="B285" s="262" t="s">
        <v>297</v>
      </c>
      <c r="C285" s="262" t="s">
        <v>298</v>
      </c>
      <c r="D285" s="262" t="s">
        <v>543</v>
      </c>
      <c r="E285" s="263">
        <v>0</v>
      </c>
      <c r="F285" s="263">
        <v>1350982.19</v>
      </c>
      <c r="G285" s="263">
        <v>1350982.19</v>
      </c>
      <c r="H285" s="263">
        <v>0</v>
      </c>
      <c r="I285" s="263">
        <v>0</v>
      </c>
      <c r="J285" s="263">
        <v>0</v>
      </c>
      <c r="K285" s="263">
        <v>1350982.19</v>
      </c>
      <c r="L285" s="263">
        <v>1350982.19</v>
      </c>
      <c r="M285" s="263">
        <v>0</v>
      </c>
      <c r="N285" s="263">
        <v>0</v>
      </c>
    </row>
    <row r="286" spans="1:14" s="156" customFormat="1" x14ac:dyDescent="0.25">
      <c r="A286" s="262" t="s">
        <v>545</v>
      </c>
      <c r="B286" s="262" t="s">
        <v>299</v>
      </c>
      <c r="C286" s="262" t="s">
        <v>300</v>
      </c>
      <c r="D286" s="262" t="s">
        <v>543</v>
      </c>
      <c r="E286" s="263">
        <v>0</v>
      </c>
      <c r="F286" s="263">
        <v>1350982.19</v>
      </c>
      <c r="G286" s="263">
        <v>1350982.19</v>
      </c>
      <c r="H286" s="263">
        <v>0</v>
      </c>
      <c r="I286" s="263">
        <v>0</v>
      </c>
      <c r="J286" s="263">
        <v>0</v>
      </c>
      <c r="K286" s="263">
        <v>1350982.19</v>
      </c>
      <c r="L286" s="263">
        <v>1350982.19</v>
      </c>
      <c r="M286" s="263">
        <v>0</v>
      </c>
      <c r="N286" s="263">
        <v>0</v>
      </c>
    </row>
    <row r="287" spans="1:14" s="156" customFormat="1" x14ac:dyDescent="0.25">
      <c r="A287" s="262" t="s">
        <v>545</v>
      </c>
      <c r="B287" s="262" t="s">
        <v>340</v>
      </c>
      <c r="C287" s="262" t="s">
        <v>341</v>
      </c>
      <c r="D287" s="262" t="s">
        <v>543</v>
      </c>
      <c r="E287" s="263">
        <v>22031000</v>
      </c>
      <c r="F287" s="263">
        <v>28632500</v>
      </c>
      <c r="G287" s="263">
        <v>28632500</v>
      </c>
      <c r="H287" s="263">
        <v>0</v>
      </c>
      <c r="I287" s="263">
        <v>0</v>
      </c>
      <c r="J287" s="263">
        <v>0</v>
      </c>
      <c r="K287" s="263">
        <v>26007337.41</v>
      </c>
      <c r="L287" s="263">
        <v>25833398.300000001</v>
      </c>
      <c r="M287" s="263">
        <v>2625162.59</v>
      </c>
      <c r="N287" s="263">
        <v>2625162.59</v>
      </c>
    </row>
    <row r="288" spans="1:14" s="156" customFormat="1" x14ac:dyDescent="0.25">
      <c r="A288" s="262" t="s">
        <v>545</v>
      </c>
      <c r="B288" s="262" t="s">
        <v>342</v>
      </c>
      <c r="C288" s="262" t="s">
        <v>343</v>
      </c>
      <c r="D288" s="262" t="s">
        <v>543</v>
      </c>
      <c r="E288" s="263">
        <v>22031000</v>
      </c>
      <c r="F288" s="263">
        <v>28632500</v>
      </c>
      <c r="G288" s="263">
        <v>28632500</v>
      </c>
      <c r="H288" s="263">
        <v>0</v>
      </c>
      <c r="I288" s="263">
        <v>0</v>
      </c>
      <c r="J288" s="263">
        <v>0</v>
      </c>
      <c r="K288" s="263">
        <v>26007337.41</v>
      </c>
      <c r="L288" s="263">
        <v>25833398.300000001</v>
      </c>
      <c r="M288" s="263">
        <v>2625162.59</v>
      </c>
      <c r="N288" s="263">
        <v>2625162.59</v>
      </c>
    </row>
    <row r="289" spans="1:14" s="156" customFormat="1" x14ac:dyDescent="0.25">
      <c r="A289" s="262" t="s">
        <v>545</v>
      </c>
      <c r="B289" s="262" t="s">
        <v>251</v>
      </c>
      <c r="C289" s="262" t="s">
        <v>252</v>
      </c>
      <c r="D289" s="262" t="s">
        <v>541</v>
      </c>
      <c r="E289" s="263">
        <v>298129000</v>
      </c>
      <c r="F289" s="263">
        <v>236267776</v>
      </c>
      <c r="G289" s="263">
        <v>236267776</v>
      </c>
      <c r="H289" s="263">
        <v>0</v>
      </c>
      <c r="I289" s="263">
        <v>0</v>
      </c>
      <c r="J289" s="263">
        <v>0</v>
      </c>
      <c r="K289" s="263">
        <v>222999017.66999999</v>
      </c>
      <c r="L289" s="263">
        <v>222999017.66999999</v>
      </c>
      <c r="M289" s="263">
        <v>13268758.33</v>
      </c>
      <c r="N289" s="263">
        <v>13268758.33</v>
      </c>
    </row>
    <row r="290" spans="1:14" s="156" customFormat="1" x14ac:dyDescent="0.25">
      <c r="A290" s="262" t="s">
        <v>545</v>
      </c>
      <c r="B290" s="262" t="s">
        <v>253</v>
      </c>
      <c r="C290" s="262" t="s">
        <v>254</v>
      </c>
      <c r="D290" s="262" t="s">
        <v>541</v>
      </c>
      <c r="E290" s="263">
        <v>115667000</v>
      </c>
      <c r="F290" s="263">
        <v>111205776</v>
      </c>
      <c r="G290" s="263">
        <v>111205776</v>
      </c>
      <c r="H290" s="263">
        <v>0</v>
      </c>
      <c r="I290" s="263">
        <v>0</v>
      </c>
      <c r="J290" s="263">
        <v>0</v>
      </c>
      <c r="K290" s="263">
        <v>100864641.75</v>
      </c>
      <c r="L290" s="263">
        <v>100864641.75</v>
      </c>
      <c r="M290" s="263">
        <v>10341134.25</v>
      </c>
      <c r="N290" s="263">
        <v>10341134.25</v>
      </c>
    </row>
    <row r="291" spans="1:14" s="156" customFormat="1" x14ac:dyDescent="0.25">
      <c r="A291" s="262" t="s">
        <v>545</v>
      </c>
      <c r="B291" s="262" t="s">
        <v>344</v>
      </c>
      <c r="C291" s="262" t="s">
        <v>602</v>
      </c>
      <c r="D291" s="262" t="s">
        <v>541</v>
      </c>
      <c r="E291" s="263">
        <v>96260000</v>
      </c>
      <c r="F291" s="263">
        <v>92547304</v>
      </c>
      <c r="G291" s="263">
        <v>92547304</v>
      </c>
      <c r="H291" s="263">
        <v>0</v>
      </c>
      <c r="I291" s="263">
        <v>0</v>
      </c>
      <c r="J291" s="263">
        <v>0</v>
      </c>
      <c r="K291" s="263">
        <v>83941044.120000005</v>
      </c>
      <c r="L291" s="263">
        <v>83941044.120000005</v>
      </c>
      <c r="M291" s="263">
        <v>8606259.8800000008</v>
      </c>
      <c r="N291" s="263">
        <v>8606259.8800000008</v>
      </c>
    </row>
    <row r="292" spans="1:14" s="156" customFormat="1" x14ac:dyDescent="0.25">
      <c r="A292" s="262" t="s">
        <v>545</v>
      </c>
      <c r="B292" s="262" t="s">
        <v>345</v>
      </c>
      <c r="C292" s="262" t="s">
        <v>603</v>
      </c>
      <c r="D292" s="262" t="s">
        <v>541</v>
      </c>
      <c r="E292" s="263">
        <v>19407000</v>
      </c>
      <c r="F292" s="263">
        <v>18658472</v>
      </c>
      <c r="G292" s="263">
        <v>18658472</v>
      </c>
      <c r="H292" s="263">
        <v>0</v>
      </c>
      <c r="I292" s="263">
        <v>0</v>
      </c>
      <c r="J292" s="263">
        <v>0</v>
      </c>
      <c r="K292" s="263">
        <v>16923597.629999999</v>
      </c>
      <c r="L292" s="263">
        <v>16923597.629999999</v>
      </c>
      <c r="M292" s="263">
        <v>1734874.37</v>
      </c>
      <c r="N292" s="263">
        <v>1734874.37</v>
      </c>
    </row>
    <row r="293" spans="1:14" s="156" customFormat="1" x14ac:dyDescent="0.25">
      <c r="A293" s="262" t="s">
        <v>545</v>
      </c>
      <c r="B293" s="262" t="s">
        <v>261</v>
      </c>
      <c r="C293" s="262" t="s">
        <v>262</v>
      </c>
      <c r="D293" s="262" t="s">
        <v>541</v>
      </c>
      <c r="E293" s="263">
        <v>179462000</v>
      </c>
      <c r="F293" s="263">
        <v>113462000</v>
      </c>
      <c r="G293" s="263">
        <v>113462000</v>
      </c>
      <c r="H293" s="263">
        <v>0</v>
      </c>
      <c r="I293" s="263">
        <v>0</v>
      </c>
      <c r="J293" s="263">
        <v>0</v>
      </c>
      <c r="K293" s="263">
        <v>110744912.66</v>
      </c>
      <c r="L293" s="263">
        <v>110744912.66</v>
      </c>
      <c r="M293" s="263">
        <v>2717087.34</v>
      </c>
      <c r="N293" s="263">
        <v>2717087.34</v>
      </c>
    </row>
    <row r="294" spans="1:14" s="189" customFormat="1" x14ac:dyDescent="0.25">
      <c r="A294" s="262" t="s">
        <v>545</v>
      </c>
      <c r="B294" s="262" t="s">
        <v>263</v>
      </c>
      <c r="C294" s="262" t="s">
        <v>264</v>
      </c>
      <c r="D294" s="262" t="s">
        <v>541</v>
      </c>
      <c r="E294" s="263">
        <v>150000000</v>
      </c>
      <c r="F294" s="263">
        <v>81000000</v>
      </c>
      <c r="G294" s="263">
        <v>81000000</v>
      </c>
      <c r="H294" s="263">
        <v>0</v>
      </c>
      <c r="I294" s="263">
        <v>0</v>
      </c>
      <c r="J294" s="263">
        <v>0</v>
      </c>
      <c r="K294" s="263">
        <v>80358058.659999996</v>
      </c>
      <c r="L294" s="263">
        <v>80358058.659999996</v>
      </c>
      <c r="M294" s="263">
        <v>641941.34</v>
      </c>
      <c r="N294" s="263">
        <v>641941.34</v>
      </c>
    </row>
    <row r="295" spans="1:14" s="156" customFormat="1" x14ac:dyDescent="0.25">
      <c r="A295" s="262" t="s">
        <v>545</v>
      </c>
      <c r="B295" s="262" t="s">
        <v>265</v>
      </c>
      <c r="C295" s="262" t="s">
        <v>266</v>
      </c>
      <c r="D295" s="262" t="s">
        <v>541</v>
      </c>
      <c r="E295" s="263">
        <v>29462000</v>
      </c>
      <c r="F295" s="263">
        <v>32462000</v>
      </c>
      <c r="G295" s="263">
        <v>32462000</v>
      </c>
      <c r="H295" s="263">
        <v>0</v>
      </c>
      <c r="I295" s="263">
        <v>0</v>
      </c>
      <c r="J295" s="263">
        <v>0</v>
      </c>
      <c r="K295" s="263">
        <v>30386854</v>
      </c>
      <c r="L295" s="263">
        <v>30386854</v>
      </c>
      <c r="M295" s="263">
        <v>2075146</v>
      </c>
      <c r="N295" s="263">
        <v>2075146</v>
      </c>
    </row>
    <row r="296" spans="1:14" s="156" customFormat="1" x14ac:dyDescent="0.25">
      <c r="A296" s="262" t="s">
        <v>545</v>
      </c>
      <c r="B296" s="262" t="s">
        <v>267</v>
      </c>
      <c r="C296" s="262" t="s">
        <v>268</v>
      </c>
      <c r="D296" s="262" t="s">
        <v>541</v>
      </c>
      <c r="E296" s="263">
        <v>3000000</v>
      </c>
      <c r="F296" s="263">
        <v>11600000</v>
      </c>
      <c r="G296" s="263">
        <v>11600000</v>
      </c>
      <c r="H296" s="263">
        <v>0</v>
      </c>
      <c r="I296" s="263">
        <v>0</v>
      </c>
      <c r="J296" s="263">
        <v>0</v>
      </c>
      <c r="K296" s="263">
        <v>11389463.26</v>
      </c>
      <c r="L296" s="263">
        <v>11389463.26</v>
      </c>
      <c r="M296" s="263">
        <v>210536.74</v>
      </c>
      <c r="N296" s="263">
        <v>210536.74</v>
      </c>
    </row>
    <row r="297" spans="1:14" s="156" customFormat="1" x14ac:dyDescent="0.25">
      <c r="A297" s="262" t="s">
        <v>545</v>
      </c>
      <c r="B297" s="262" t="s">
        <v>269</v>
      </c>
      <c r="C297" s="262" t="s">
        <v>270</v>
      </c>
      <c r="D297" s="262" t="s">
        <v>541</v>
      </c>
      <c r="E297" s="263">
        <v>3000000</v>
      </c>
      <c r="F297" s="263">
        <v>11600000</v>
      </c>
      <c r="G297" s="263">
        <v>11600000</v>
      </c>
      <c r="H297" s="263">
        <v>0</v>
      </c>
      <c r="I297" s="263">
        <v>0</v>
      </c>
      <c r="J297" s="263">
        <v>0</v>
      </c>
      <c r="K297" s="263">
        <v>11389463.26</v>
      </c>
      <c r="L297" s="263">
        <v>11389463.26</v>
      </c>
      <c r="M297" s="263">
        <v>210536.74</v>
      </c>
      <c r="N297" s="263">
        <v>210536.74</v>
      </c>
    </row>
    <row r="298" spans="1:14" s="156" customFormat="1" x14ac:dyDescent="0.25">
      <c r="A298" s="262">
        <v>214783</v>
      </c>
      <c r="B298" s="262" t="s">
        <v>587</v>
      </c>
      <c r="C298" s="262" t="s">
        <v>587</v>
      </c>
      <c r="D298" s="262" t="s">
        <v>541</v>
      </c>
      <c r="E298" s="263">
        <v>106163237755</v>
      </c>
      <c r="F298" s="263">
        <v>115237508322.42</v>
      </c>
      <c r="G298" s="263">
        <v>115231672938.42</v>
      </c>
      <c r="H298" s="263">
        <v>0</v>
      </c>
      <c r="I298" s="263">
        <v>93466512.689999998</v>
      </c>
      <c r="J298" s="263">
        <v>0</v>
      </c>
      <c r="K298" s="263">
        <v>108051057664.92</v>
      </c>
      <c r="L298" s="263">
        <v>105879416925.74001</v>
      </c>
      <c r="M298" s="263">
        <v>7092984144.8100004</v>
      </c>
      <c r="N298" s="263">
        <v>7087148760.8100004</v>
      </c>
    </row>
    <row r="299" spans="1:14" s="156" customFormat="1" x14ac:dyDescent="0.25">
      <c r="A299" s="262" t="s">
        <v>546</v>
      </c>
      <c r="B299" s="262" t="s">
        <v>92</v>
      </c>
      <c r="C299" s="262" t="s">
        <v>93</v>
      </c>
      <c r="D299" s="262" t="s">
        <v>541</v>
      </c>
      <c r="E299" s="263">
        <v>69224041000</v>
      </c>
      <c r="F299" s="263">
        <v>68479469281</v>
      </c>
      <c r="G299" s="263">
        <v>68478133897</v>
      </c>
      <c r="H299" s="263">
        <v>0</v>
      </c>
      <c r="I299" s="263">
        <v>0</v>
      </c>
      <c r="J299" s="263">
        <v>0</v>
      </c>
      <c r="K299" s="263">
        <v>65761799954.650002</v>
      </c>
      <c r="L299" s="263">
        <v>65761799954.650002</v>
      </c>
      <c r="M299" s="263">
        <v>2717669326.3499999</v>
      </c>
      <c r="N299" s="263">
        <v>2716333942.3499999</v>
      </c>
    </row>
    <row r="300" spans="1:14" s="156" customFormat="1" x14ac:dyDescent="0.25">
      <c r="A300" s="262" t="s">
        <v>546</v>
      </c>
      <c r="B300" s="262" t="s">
        <v>94</v>
      </c>
      <c r="C300" s="262" t="s">
        <v>95</v>
      </c>
      <c r="D300" s="262" t="s">
        <v>541</v>
      </c>
      <c r="E300" s="263">
        <v>25618223000</v>
      </c>
      <c r="F300" s="263">
        <v>25122559678</v>
      </c>
      <c r="G300" s="263">
        <v>25122559678</v>
      </c>
      <c r="H300" s="263">
        <v>0</v>
      </c>
      <c r="I300" s="263">
        <v>0</v>
      </c>
      <c r="J300" s="263">
        <v>0</v>
      </c>
      <c r="K300" s="263">
        <v>23839240176.259998</v>
      </c>
      <c r="L300" s="263">
        <v>23839240176.259998</v>
      </c>
      <c r="M300" s="263">
        <v>1283319501.74</v>
      </c>
      <c r="N300" s="263">
        <v>1283319501.74</v>
      </c>
    </row>
    <row r="301" spans="1:14" s="156" customFormat="1" x14ac:dyDescent="0.25">
      <c r="A301" s="262" t="s">
        <v>546</v>
      </c>
      <c r="B301" s="262" t="s">
        <v>96</v>
      </c>
      <c r="C301" s="262" t="s">
        <v>97</v>
      </c>
      <c r="D301" s="262" t="s">
        <v>541</v>
      </c>
      <c r="E301" s="263">
        <v>25601107000</v>
      </c>
      <c r="F301" s="263">
        <v>25105443678</v>
      </c>
      <c r="G301" s="263">
        <v>25105443678</v>
      </c>
      <c r="H301" s="263">
        <v>0</v>
      </c>
      <c r="I301" s="263">
        <v>0</v>
      </c>
      <c r="J301" s="263">
        <v>0</v>
      </c>
      <c r="K301" s="263">
        <v>23823968376.259998</v>
      </c>
      <c r="L301" s="263">
        <v>23823968376.259998</v>
      </c>
      <c r="M301" s="263">
        <v>1281475301.74</v>
      </c>
      <c r="N301" s="263">
        <v>1281475301.74</v>
      </c>
    </row>
    <row r="302" spans="1:14" s="156" customFormat="1" x14ac:dyDescent="0.25">
      <c r="A302" s="262" t="s">
        <v>546</v>
      </c>
      <c r="B302" s="262" t="s">
        <v>346</v>
      </c>
      <c r="C302" s="262" t="s">
        <v>347</v>
      </c>
      <c r="D302" s="262" t="s">
        <v>541</v>
      </c>
      <c r="E302" s="263">
        <v>17116000</v>
      </c>
      <c r="F302" s="263">
        <v>17116000</v>
      </c>
      <c r="G302" s="263">
        <v>17116000</v>
      </c>
      <c r="H302" s="263">
        <v>0</v>
      </c>
      <c r="I302" s="263">
        <v>0</v>
      </c>
      <c r="J302" s="263">
        <v>0</v>
      </c>
      <c r="K302" s="263">
        <v>15271800</v>
      </c>
      <c r="L302" s="263">
        <v>15271800</v>
      </c>
      <c r="M302" s="263">
        <v>1844200</v>
      </c>
      <c r="N302" s="263">
        <v>1844200</v>
      </c>
    </row>
    <row r="303" spans="1:14" s="156" customFormat="1" x14ac:dyDescent="0.25">
      <c r="A303" s="262" t="s">
        <v>546</v>
      </c>
      <c r="B303" s="262" t="s">
        <v>98</v>
      </c>
      <c r="C303" s="262" t="s">
        <v>99</v>
      </c>
      <c r="D303" s="262" t="s">
        <v>541</v>
      </c>
      <c r="E303" s="263">
        <v>3406791000</v>
      </c>
      <c r="F303" s="263">
        <v>3696791000</v>
      </c>
      <c r="G303" s="263">
        <v>3696791000</v>
      </c>
      <c r="H303" s="263">
        <v>0</v>
      </c>
      <c r="I303" s="263">
        <v>0</v>
      </c>
      <c r="J303" s="263">
        <v>0</v>
      </c>
      <c r="K303" s="263">
        <v>3615213333.3499999</v>
      </c>
      <c r="L303" s="263">
        <v>3615213333.3499999</v>
      </c>
      <c r="M303" s="263">
        <v>81577666.650000006</v>
      </c>
      <c r="N303" s="263">
        <v>81577666.650000006</v>
      </c>
    </row>
    <row r="304" spans="1:14" s="156" customFormat="1" x14ac:dyDescent="0.25">
      <c r="A304" s="262" t="s">
        <v>546</v>
      </c>
      <c r="B304" s="262" t="s">
        <v>100</v>
      </c>
      <c r="C304" s="262" t="s">
        <v>101</v>
      </c>
      <c r="D304" s="262" t="s">
        <v>541</v>
      </c>
      <c r="E304" s="263">
        <v>8000000</v>
      </c>
      <c r="F304" s="263">
        <v>8000000</v>
      </c>
      <c r="G304" s="263">
        <v>8000000</v>
      </c>
      <c r="H304" s="263">
        <v>0</v>
      </c>
      <c r="I304" s="263">
        <v>0</v>
      </c>
      <c r="J304" s="263">
        <v>0</v>
      </c>
      <c r="K304" s="263">
        <v>6042321.7000000002</v>
      </c>
      <c r="L304" s="263">
        <v>6042321.7000000002</v>
      </c>
      <c r="M304" s="263">
        <v>1957678.3</v>
      </c>
      <c r="N304" s="263">
        <v>1957678.3</v>
      </c>
    </row>
    <row r="305" spans="1:14" s="156" customFormat="1" x14ac:dyDescent="0.25">
      <c r="A305" s="262" t="s">
        <v>546</v>
      </c>
      <c r="B305" s="262" t="s">
        <v>348</v>
      </c>
      <c r="C305" s="262" t="s">
        <v>349</v>
      </c>
      <c r="D305" s="262" t="s">
        <v>541</v>
      </c>
      <c r="E305" s="263">
        <v>24994000</v>
      </c>
      <c r="F305" s="263">
        <v>14994000</v>
      </c>
      <c r="G305" s="263">
        <v>14994000</v>
      </c>
      <c r="H305" s="263">
        <v>0</v>
      </c>
      <c r="I305" s="263">
        <v>0</v>
      </c>
      <c r="J305" s="263">
        <v>0</v>
      </c>
      <c r="K305" s="263">
        <v>5854231</v>
      </c>
      <c r="L305" s="263">
        <v>5854231</v>
      </c>
      <c r="M305" s="263">
        <v>9139769</v>
      </c>
      <c r="N305" s="263">
        <v>9139769</v>
      </c>
    </row>
    <row r="306" spans="1:14" s="156" customFormat="1" x14ac:dyDescent="0.25">
      <c r="A306" s="262" t="s">
        <v>546</v>
      </c>
      <c r="B306" s="262" t="s">
        <v>350</v>
      </c>
      <c r="C306" s="262" t="s">
        <v>351</v>
      </c>
      <c r="D306" s="262" t="s">
        <v>541</v>
      </c>
      <c r="E306" s="263">
        <v>3373797000</v>
      </c>
      <c r="F306" s="263">
        <v>3673797000</v>
      </c>
      <c r="G306" s="263">
        <v>3673797000</v>
      </c>
      <c r="H306" s="263">
        <v>0</v>
      </c>
      <c r="I306" s="263">
        <v>0</v>
      </c>
      <c r="J306" s="263">
        <v>0</v>
      </c>
      <c r="K306" s="263">
        <v>3603316780.6500001</v>
      </c>
      <c r="L306" s="263">
        <v>3603316780.6500001</v>
      </c>
      <c r="M306" s="263">
        <v>70480219.349999994</v>
      </c>
      <c r="N306" s="263">
        <v>70480219.349999994</v>
      </c>
    </row>
    <row r="307" spans="1:14" s="156" customFormat="1" x14ac:dyDescent="0.25">
      <c r="A307" s="262" t="s">
        <v>546</v>
      </c>
      <c r="B307" s="262" t="s">
        <v>102</v>
      </c>
      <c r="C307" s="262" t="s">
        <v>103</v>
      </c>
      <c r="D307" s="262" t="s">
        <v>541</v>
      </c>
      <c r="E307" s="263">
        <v>29694590000</v>
      </c>
      <c r="F307" s="263">
        <v>29244590000</v>
      </c>
      <c r="G307" s="263">
        <v>29244590000</v>
      </c>
      <c r="H307" s="263">
        <v>0</v>
      </c>
      <c r="I307" s="263">
        <v>0</v>
      </c>
      <c r="J307" s="263">
        <v>0</v>
      </c>
      <c r="K307" s="263">
        <v>28375873507.040001</v>
      </c>
      <c r="L307" s="263">
        <v>28375873507.040001</v>
      </c>
      <c r="M307" s="263">
        <v>868716492.96000004</v>
      </c>
      <c r="N307" s="263">
        <v>868716492.96000004</v>
      </c>
    </row>
    <row r="308" spans="1:14" s="156" customFormat="1" x14ac:dyDescent="0.25">
      <c r="A308" s="262" t="s">
        <v>546</v>
      </c>
      <c r="B308" s="262" t="s">
        <v>104</v>
      </c>
      <c r="C308" s="262" t="s">
        <v>105</v>
      </c>
      <c r="D308" s="262" t="s">
        <v>541</v>
      </c>
      <c r="E308" s="263">
        <v>9856906000</v>
      </c>
      <c r="F308" s="263">
        <v>9686906000</v>
      </c>
      <c r="G308" s="263">
        <v>9686906000</v>
      </c>
      <c r="H308" s="263">
        <v>0</v>
      </c>
      <c r="I308" s="263">
        <v>0</v>
      </c>
      <c r="J308" s="263">
        <v>0</v>
      </c>
      <c r="K308" s="263">
        <v>9396517788.8099995</v>
      </c>
      <c r="L308" s="263">
        <v>9396517788.8099995</v>
      </c>
      <c r="M308" s="263">
        <v>290388211.19</v>
      </c>
      <c r="N308" s="263">
        <v>290388211.19</v>
      </c>
    </row>
    <row r="309" spans="1:14" s="156" customFormat="1" x14ac:dyDescent="0.25">
      <c r="A309" s="262" t="s">
        <v>546</v>
      </c>
      <c r="B309" s="262" t="s">
        <v>106</v>
      </c>
      <c r="C309" s="262" t="s">
        <v>107</v>
      </c>
      <c r="D309" s="262" t="s">
        <v>541</v>
      </c>
      <c r="E309" s="263">
        <v>3637068000</v>
      </c>
      <c r="F309" s="263">
        <v>3367068000</v>
      </c>
      <c r="G309" s="263">
        <v>3367068000</v>
      </c>
      <c r="H309" s="263">
        <v>0</v>
      </c>
      <c r="I309" s="263">
        <v>0</v>
      </c>
      <c r="J309" s="263">
        <v>0</v>
      </c>
      <c r="K309" s="263">
        <v>3274520047.3400002</v>
      </c>
      <c r="L309" s="263">
        <v>3274520047.3400002</v>
      </c>
      <c r="M309" s="263">
        <v>92547952.659999996</v>
      </c>
      <c r="N309" s="263">
        <v>92547952.659999996</v>
      </c>
    </row>
    <row r="310" spans="1:14" s="156" customFormat="1" x14ac:dyDescent="0.25">
      <c r="A310" s="262" t="s">
        <v>546</v>
      </c>
      <c r="B310" s="262" t="s">
        <v>112</v>
      </c>
      <c r="C310" s="262" t="s">
        <v>113</v>
      </c>
      <c r="D310" s="262" t="s">
        <v>543</v>
      </c>
      <c r="E310" s="263">
        <v>4378933000</v>
      </c>
      <c r="F310" s="263">
        <v>5911172.0099999998</v>
      </c>
      <c r="G310" s="263">
        <v>5911172.0099999998</v>
      </c>
      <c r="H310" s="263">
        <v>0</v>
      </c>
      <c r="I310" s="263">
        <v>0</v>
      </c>
      <c r="J310" s="263">
        <v>0</v>
      </c>
      <c r="K310" s="263">
        <v>5911172.0099999998</v>
      </c>
      <c r="L310" s="263">
        <v>5911172.0099999998</v>
      </c>
      <c r="M310" s="263">
        <v>0</v>
      </c>
      <c r="N310" s="263">
        <v>0</v>
      </c>
    </row>
    <row r="311" spans="1:14" s="156" customFormat="1" x14ac:dyDescent="0.25">
      <c r="A311" s="262" t="s">
        <v>546</v>
      </c>
      <c r="B311" s="262" t="s">
        <v>112</v>
      </c>
      <c r="C311" s="262" t="s">
        <v>113</v>
      </c>
      <c r="D311" s="262" t="s">
        <v>655</v>
      </c>
      <c r="E311" s="263">
        <v>0</v>
      </c>
      <c r="F311" s="263">
        <v>4373021827.9899998</v>
      </c>
      <c r="G311" s="263">
        <v>4373021827.9899998</v>
      </c>
      <c r="H311" s="263">
        <v>0</v>
      </c>
      <c r="I311" s="263">
        <v>0</v>
      </c>
      <c r="J311" s="263">
        <v>0</v>
      </c>
      <c r="K311" s="263">
        <v>4318822214.79</v>
      </c>
      <c r="L311" s="263">
        <v>4318822214.79</v>
      </c>
      <c r="M311" s="263">
        <v>54199613.200000003</v>
      </c>
      <c r="N311" s="263">
        <v>54199613.200000003</v>
      </c>
    </row>
    <row r="312" spans="1:14" s="156" customFormat="1" x14ac:dyDescent="0.25">
      <c r="A312" s="262" t="s">
        <v>546</v>
      </c>
      <c r="B312" s="262" t="s">
        <v>108</v>
      </c>
      <c r="C312" s="262" t="s">
        <v>109</v>
      </c>
      <c r="D312" s="262" t="s">
        <v>541</v>
      </c>
      <c r="E312" s="263">
        <v>3859929000</v>
      </c>
      <c r="F312" s="263">
        <v>3849929000</v>
      </c>
      <c r="G312" s="263">
        <v>3849929000</v>
      </c>
      <c r="H312" s="263">
        <v>0</v>
      </c>
      <c r="I312" s="263">
        <v>0</v>
      </c>
      <c r="J312" s="263">
        <v>0</v>
      </c>
      <c r="K312" s="263">
        <v>3842765404.5700002</v>
      </c>
      <c r="L312" s="263">
        <v>3842765404.5700002</v>
      </c>
      <c r="M312" s="263">
        <v>7163595.4299999997</v>
      </c>
      <c r="N312" s="263">
        <v>7163595.4299999997</v>
      </c>
    </row>
    <row r="313" spans="1:14" s="156" customFormat="1" x14ac:dyDescent="0.25">
      <c r="A313" s="262" t="s">
        <v>546</v>
      </c>
      <c r="B313" s="262" t="s">
        <v>110</v>
      </c>
      <c r="C313" s="262" t="s">
        <v>111</v>
      </c>
      <c r="D313" s="262" t="s">
        <v>541</v>
      </c>
      <c r="E313" s="263">
        <v>7961754000</v>
      </c>
      <c r="F313" s="263">
        <v>7961754000</v>
      </c>
      <c r="G313" s="263">
        <v>7961754000</v>
      </c>
      <c r="H313" s="263">
        <v>0</v>
      </c>
      <c r="I313" s="263">
        <v>0</v>
      </c>
      <c r="J313" s="263">
        <v>0</v>
      </c>
      <c r="K313" s="263">
        <v>7537336879.5200005</v>
      </c>
      <c r="L313" s="263">
        <v>7537336879.5200005</v>
      </c>
      <c r="M313" s="263">
        <v>424417120.48000002</v>
      </c>
      <c r="N313" s="263">
        <v>424417120.48000002</v>
      </c>
    </row>
    <row r="314" spans="1:14" s="156" customFormat="1" x14ac:dyDescent="0.25">
      <c r="A314" s="262" t="s">
        <v>546</v>
      </c>
      <c r="B314" s="262" t="s">
        <v>114</v>
      </c>
      <c r="C314" s="262" t="s">
        <v>115</v>
      </c>
      <c r="D314" s="262" t="s">
        <v>541</v>
      </c>
      <c r="E314" s="263">
        <v>5298410000</v>
      </c>
      <c r="F314" s="263">
        <v>5238696763</v>
      </c>
      <c r="G314" s="263">
        <v>5238621844</v>
      </c>
      <c r="H314" s="263">
        <v>0</v>
      </c>
      <c r="I314" s="263">
        <v>0</v>
      </c>
      <c r="J314" s="263">
        <v>0</v>
      </c>
      <c r="K314" s="263">
        <v>5009812519</v>
      </c>
      <c r="L314" s="263">
        <v>5009812519</v>
      </c>
      <c r="M314" s="263">
        <v>228884244</v>
      </c>
      <c r="N314" s="263">
        <v>228809325</v>
      </c>
    </row>
    <row r="315" spans="1:14" s="156" customFormat="1" x14ac:dyDescent="0.25">
      <c r="A315" s="262" t="s">
        <v>546</v>
      </c>
      <c r="B315" s="262" t="s">
        <v>352</v>
      </c>
      <c r="C315" s="262" t="s">
        <v>597</v>
      </c>
      <c r="D315" s="262" t="s">
        <v>541</v>
      </c>
      <c r="E315" s="263">
        <v>5026697000</v>
      </c>
      <c r="F315" s="263">
        <v>4968507519</v>
      </c>
      <c r="G315" s="263">
        <v>4968432600</v>
      </c>
      <c r="H315" s="263">
        <v>0</v>
      </c>
      <c r="I315" s="263">
        <v>0</v>
      </c>
      <c r="J315" s="263">
        <v>0</v>
      </c>
      <c r="K315" s="263">
        <v>4752943891</v>
      </c>
      <c r="L315" s="263">
        <v>4752943891</v>
      </c>
      <c r="M315" s="263">
        <v>215563628</v>
      </c>
      <c r="N315" s="263">
        <v>215488709</v>
      </c>
    </row>
    <row r="316" spans="1:14" s="156" customFormat="1" x14ac:dyDescent="0.25">
      <c r="A316" s="262" t="s">
        <v>546</v>
      </c>
      <c r="B316" s="262" t="s">
        <v>353</v>
      </c>
      <c r="C316" s="262" t="s">
        <v>583</v>
      </c>
      <c r="D316" s="262" t="s">
        <v>541</v>
      </c>
      <c r="E316" s="263">
        <v>271713000</v>
      </c>
      <c r="F316" s="263">
        <v>270189244</v>
      </c>
      <c r="G316" s="263">
        <v>270189244</v>
      </c>
      <c r="H316" s="263">
        <v>0</v>
      </c>
      <c r="I316" s="263">
        <v>0</v>
      </c>
      <c r="J316" s="263">
        <v>0</v>
      </c>
      <c r="K316" s="263">
        <v>256868628</v>
      </c>
      <c r="L316" s="263">
        <v>256868628</v>
      </c>
      <c r="M316" s="263">
        <v>13320616</v>
      </c>
      <c r="N316" s="263">
        <v>13320616</v>
      </c>
    </row>
    <row r="317" spans="1:14" s="156" customFormat="1" x14ac:dyDescent="0.25">
      <c r="A317" s="262" t="s">
        <v>546</v>
      </c>
      <c r="B317" s="262" t="s">
        <v>118</v>
      </c>
      <c r="C317" s="262" t="s">
        <v>119</v>
      </c>
      <c r="D317" s="262" t="s">
        <v>541</v>
      </c>
      <c r="E317" s="263">
        <v>5206027000</v>
      </c>
      <c r="F317" s="263">
        <v>5176831840</v>
      </c>
      <c r="G317" s="263">
        <v>5175571375</v>
      </c>
      <c r="H317" s="263">
        <v>0</v>
      </c>
      <c r="I317" s="263">
        <v>0</v>
      </c>
      <c r="J317" s="263">
        <v>0</v>
      </c>
      <c r="K317" s="263">
        <v>4921660419</v>
      </c>
      <c r="L317" s="263">
        <v>4921660419</v>
      </c>
      <c r="M317" s="263">
        <v>255171421</v>
      </c>
      <c r="N317" s="263">
        <v>253910956</v>
      </c>
    </row>
    <row r="318" spans="1:14" s="156" customFormat="1" x14ac:dyDescent="0.25">
      <c r="A318" s="262" t="s">
        <v>546</v>
      </c>
      <c r="B318" s="262" t="s">
        <v>354</v>
      </c>
      <c r="C318" s="262" t="s">
        <v>598</v>
      </c>
      <c r="D318" s="262" t="s">
        <v>541</v>
      </c>
      <c r="E318" s="263">
        <v>2760607000</v>
      </c>
      <c r="F318" s="263">
        <v>2745125642</v>
      </c>
      <c r="G318" s="263">
        <v>2745125642</v>
      </c>
      <c r="H318" s="263">
        <v>0</v>
      </c>
      <c r="I318" s="263">
        <v>0</v>
      </c>
      <c r="J318" s="263">
        <v>0</v>
      </c>
      <c r="K318" s="263">
        <v>2609838356</v>
      </c>
      <c r="L318" s="263">
        <v>2609838356</v>
      </c>
      <c r="M318" s="263">
        <v>135287286</v>
      </c>
      <c r="N318" s="263">
        <v>135287286</v>
      </c>
    </row>
    <row r="319" spans="1:14" s="156" customFormat="1" x14ac:dyDescent="0.25">
      <c r="A319" s="262" t="s">
        <v>546</v>
      </c>
      <c r="B319" s="262" t="s">
        <v>355</v>
      </c>
      <c r="C319" s="262" t="s">
        <v>599</v>
      </c>
      <c r="D319" s="262" t="s">
        <v>541</v>
      </c>
      <c r="E319" s="263">
        <v>815140000</v>
      </c>
      <c r="F319" s="263">
        <v>810568733</v>
      </c>
      <c r="G319" s="263">
        <v>810568733</v>
      </c>
      <c r="H319" s="263">
        <v>0</v>
      </c>
      <c r="I319" s="263">
        <v>0</v>
      </c>
      <c r="J319" s="263">
        <v>0</v>
      </c>
      <c r="K319" s="263">
        <v>770607980</v>
      </c>
      <c r="L319" s="263">
        <v>770607980</v>
      </c>
      <c r="M319" s="263">
        <v>39960753</v>
      </c>
      <c r="N319" s="263">
        <v>39960753</v>
      </c>
    </row>
    <row r="320" spans="1:14" s="156" customFormat="1" x14ac:dyDescent="0.25">
      <c r="A320" s="262" t="s">
        <v>546</v>
      </c>
      <c r="B320" s="262" t="s">
        <v>356</v>
      </c>
      <c r="C320" s="262" t="s">
        <v>600</v>
      </c>
      <c r="D320" s="262" t="s">
        <v>541</v>
      </c>
      <c r="E320" s="263">
        <v>1630280000</v>
      </c>
      <c r="F320" s="263">
        <v>1621137465</v>
      </c>
      <c r="G320" s="263">
        <v>1619877000</v>
      </c>
      <c r="H320" s="263">
        <v>0</v>
      </c>
      <c r="I320" s="263">
        <v>0</v>
      </c>
      <c r="J320" s="263">
        <v>0</v>
      </c>
      <c r="K320" s="263">
        <v>1541214083</v>
      </c>
      <c r="L320" s="263">
        <v>1541214083</v>
      </c>
      <c r="M320" s="263">
        <v>79923382</v>
      </c>
      <c r="N320" s="263">
        <v>78662917</v>
      </c>
    </row>
    <row r="321" spans="1:14" s="156" customFormat="1" x14ac:dyDescent="0.25">
      <c r="A321" s="262" t="s">
        <v>546</v>
      </c>
      <c r="B321" s="262" t="s">
        <v>123</v>
      </c>
      <c r="C321" s="262" t="s">
        <v>124</v>
      </c>
      <c r="D321" s="262" t="s">
        <v>541</v>
      </c>
      <c r="E321" s="263">
        <v>9869454182</v>
      </c>
      <c r="F321" s="263">
        <v>16915914039</v>
      </c>
      <c r="G321" s="263">
        <v>16911414039</v>
      </c>
      <c r="H321" s="263">
        <v>0</v>
      </c>
      <c r="I321" s="263">
        <v>0</v>
      </c>
      <c r="J321" s="263">
        <v>0</v>
      </c>
      <c r="K321" s="263">
        <v>14711281952.110001</v>
      </c>
      <c r="L321" s="263">
        <v>13253747321</v>
      </c>
      <c r="M321" s="263">
        <v>2204632086.8899999</v>
      </c>
      <c r="N321" s="263">
        <v>2200132086.8899999</v>
      </c>
    </row>
    <row r="322" spans="1:14" s="156" customFormat="1" x14ac:dyDescent="0.25">
      <c r="A322" s="262" t="s">
        <v>546</v>
      </c>
      <c r="B322" s="262" t="s">
        <v>125</v>
      </c>
      <c r="C322" s="262" t="s">
        <v>126</v>
      </c>
      <c r="D322" s="262" t="s">
        <v>541</v>
      </c>
      <c r="E322" s="263">
        <v>3181468559</v>
      </c>
      <c r="F322" s="263">
        <v>8940468559</v>
      </c>
      <c r="G322" s="263">
        <v>8940468559</v>
      </c>
      <c r="H322" s="263">
        <v>0</v>
      </c>
      <c r="I322" s="263">
        <v>0</v>
      </c>
      <c r="J322" s="263">
        <v>0</v>
      </c>
      <c r="K322" s="263">
        <v>7906032061.9300003</v>
      </c>
      <c r="L322" s="263">
        <v>6779408644.7600002</v>
      </c>
      <c r="M322" s="263">
        <v>1034436497.0700001</v>
      </c>
      <c r="N322" s="263">
        <v>1034436497.0700001</v>
      </c>
    </row>
    <row r="323" spans="1:14" s="156" customFormat="1" x14ac:dyDescent="0.25">
      <c r="A323" s="262" t="s">
        <v>546</v>
      </c>
      <c r="B323" s="262" t="s">
        <v>306</v>
      </c>
      <c r="C323" s="262" t="s">
        <v>307</v>
      </c>
      <c r="D323" s="262" t="s">
        <v>541</v>
      </c>
      <c r="E323" s="263">
        <v>431740903</v>
      </c>
      <c r="F323" s="263">
        <v>431740903</v>
      </c>
      <c r="G323" s="263">
        <v>431740903</v>
      </c>
      <c r="H323" s="263">
        <v>0</v>
      </c>
      <c r="I323" s="263">
        <v>0</v>
      </c>
      <c r="J323" s="263">
        <v>0</v>
      </c>
      <c r="K323" s="263">
        <v>414826417.80000001</v>
      </c>
      <c r="L323" s="263">
        <v>382423649.06999999</v>
      </c>
      <c r="M323" s="263">
        <v>16914485.199999999</v>
      </c>
      <c r="N323" s="263">
        <v>16914485.199999999</v>
      </c>
    </row>
    <row r="324" spans="1:14" s="156" customFormat="1" x14ac:dyDescent="0.25">
      <c r="A324" s="262" t="s">
        <v>546</v>
      </c>
      <c r="B324" s="262" t="s">
        <v>127</v>
      </c>
      <c r="C324" s="262" t="s">
        <v>128</v>
      </c>
      <c r="D324" s="262" t="s">
        <v>541</v>
      </c>
      <c r="E324" s="263">
        <v>719138329</v>
      </c>
      <c r="F324" s="263">
        <v>769138329</v>
      </c>
      <c r="G324" s="263">
        <v>769138329</v>
      </c>
      <c r="H324" s="263">
        <v>0</v>
      </c>
      <c r="I324" s="263">
        <v>0</v>
      </c>
      <c r="J324" s="263">
        <v>0</v>
      </c>
      <c r="K324" s="263">
        <v>575992944.58000004</v>
      </c>
      <c r="L324" s="263">
        <v>520308224.11000001</v>
      </c>
      <c r="M324" s="263">
        <v>193145384.41999999</v>
      </c>
      <c r="N324" s="263">
        <v>193145384.41999999</v>
      </c>
    </row>
    <row r="325" spans="1:14" s="156" customFormat="1" x14ac:dyDescent="0.25">
      <c r="A325" s="262" t="s">
        <v>546</v>
      </c>
      <c r="B325" s="262" t="s">
        <v>127</v>
      </c>
      <c r="C325" s="262" t="s">
        <v>128</v>
      </c>
      <c r="D325" s="262" t="s">
        <v>543</v>
      </c>
      <c r="E325" s="263">
        <v>0</v>
      </c>
      <c r="F325" s="263">
        <v>90000000</v>
      </c>
      <c r="G325" s="263">
        <v>90000000</v>
      </c>
      <c r="H325" s="263">
        <v>0</v>
      </c>
      <c r="I325" s="263">
        <v>0</v>
      </c>
      <c r="J325" s="263">
        <v>0</v>
      </c>
      <c r="K325" s="263">
        <v>60194763.960000001</v>
      </c>
      <c r="L325" s="263">
        <v>6466.09</v>
      </c>
      <c r="M325" s="263">
        <v>29805236.039999999</v>
      </c>
      <c r="N325" s="263">
        <v>29805236.039999999</v>
      </c>
    </row>
    <row r="326" spans="1:14" s="156" customFormat="1" x14ac:dyDescent="0.25">
      <c r="A326" s="262" t="s">
        <v>546</v>
      </c>
      <c r="B326" s="262" t="s">
        <v>322</v>
      </c>
      <c r="C326" s="262" t="s">
        <v>323</v>
      </c>
      <c r="D326" s="262" t="s">
        <v>541</v>
      </c>
      <c r="E326" s="263">
        <v>23472000</v>
      </c>
      <c r="F326" s="263">
        <v>23472000</v>
      </c>
      <c r="G326" s="263">
        <v>23472000</v>
      </c>
      <c r="H326" s="263">
        <v>0</v>
      </c>
      <c r="I326" s="263">
        <v>0</v>
      </c>
      <c r="J326" s="263">
        <v>0</v>
      </c>
      <c r="K326" s="263">
        <v>22121684.949999999</v>
      </c>
      <c r="L326" s="263">
        <v>22121684.949999999</v>
      </c>
      <c r="M326" s="263">
        <v>1350315.05</v>
      </c>
      <c r="N326" s="263">
        <v>1350315.05</v>
      </c>
    </row>
    <row r="327" spans="1:14" s="156" customFormat="1" x14ac:dyDescent="0.25">
      <c r="A327" s="262" t="s">
        <v>546</v>
      </c>
      <c r="B327" s="262" t="s">
        <v>322</v>
      </c>
      <c r="C327" s="262" t="s">
        <v>323</v>
      </c>
      <c r="D327" s="262" t="s">
        <v>543</v>
      </c>
      <c r="E327" s="263">
        <v>0</v>
      </c>
      <c r="F327" s="263">
        <v>19000000</v>
      </c>
      <c r="G327" s="263">
        <v>19000000</v>
      </c>
      <c r="H327" s="263">
        <v>0</v>
      </c>
      <c r="I327" s="263">
        <v>0</v>
      </c>
      <c r="J327" s="263">
        <v>0</v>
      </c>
      <c r="K327" s="263">
        <v>10257940.77</v>
      </c>
      <c r="L327" s="263">
        <v>10257940.77</v>
      </c>
      <c r="M327" s="263">
        <v>8742059.2300000004</v>
      </c>
      <c r="N327" s="263">
        <v>8742059.2300000004</v>
      </c>
    </row>
    <row r="328" spans="1:14" s="156" customFormat="1" x14ac:dyDescent="0.25">
      <c r="A328" s="262" t="s">
        <v>546</v>
      </c>
      <c r="B328" s="262" t="s">
        <v>129</v>
      </c>
      <c r="C328" s="262" t="s">
        <v>130</v>
      </c>
      <c r="D328" s="262" t="s">
        <v>541</v>
      </c>
      <c r="E328" s="263">
        <v>2007117327</v>
      </c>
      <c r="F328" s="263">
        <v>3207117327</v>
      </c>
      <c r="G328" s="263">
        <v>3207117327</v>
      </c>
      <c r="H328" s="263">
        <v>0</v>
      </c>
      <c r="I328" s="263">
        <v>0</v>
      </c>
      <c r="J328" s="263">
        <v>0</v>
      </c>
      <c r="K328" s="263">
        <v>2776852552.5500002</v>
      </c>
      <c r="L328" s="263">
        <v>1819557898.45</v>
      </c>
      <c r="M328" s="263">
        <v>430264774.44999999</v>
      </c>
      <c r="N328" s="263">
        <v>430264774.44999999</v>
      </c>
    </row>
    <row r="329" spans="1:14" s="156" customFormat="1" x14ac:dyDescent="0.25">
      <c r="A329" s="262" t="s">
        <v>546</v>
      </c>
      <c r="B329" s="262" t="s">
        <v>129</v>
      </c>
      <c r="C329" s="262" t="s">
        <v>130</v>
      </c>
      <c r="D329" s="262" t="s">
        <v>543</v>
      </c>
      <c r="E329" s="263">
        <v>0</v>
      </c>
      <c r="F329" s="263">
        <v>4400000000</v>
      </c>
      <c r="G329" s="263">
        <v>4400000000</v>
      </c>
      <c r="H329" s="263">
        <v>0</v>
      </c>
      <c r="I329" s="263">
        <v>0</v>
      </c>
      <c r="J329" s="263">
        <v>0</v>
      </c>
      <c r="K329" s="263">
        <v>4045785757.3200002</v>
      </c>
      <c r="L329" s="263">
        <v>4024732781.3200002</v>
      </c>
      <c r="M329" s="263">
        <v>354214242.68000001</v>
      </c>
      <c r="N329" s="263">
        <v>354214242.68000001</v>
      </c>
    </row>
    <row r="330" spans="1:14" s="156" customFormat="1" x14ac:dyDescent="0.25">
      <c r="A330" s="262" t="s">
        <v>546</v>
      </c>
      <c r="B330" s="262" t="s">
        <v>131</v>
      </c>
      <c r="C330" s="262" t="s">
        <v>132</v>
      </c>
      <c r="D330" s="262" t="s">
        <v>541</v>
      </c>
      <c r="E330" s="263">
        <v>4328674526</v>
      </c>
      <c r="F330" s="263">
        <v>5481984526</v>
      </c>
      <c r="G330" s="263">
        <v>5481984526</v>
      </c>
      <c r="H330" s="263">
        <v>0</v>
      </c>
      <c r="I330" s="263">
        <v>0</v>
      </c>
      <c r="J330" s="263">
        <v>0</v>
      </c>
      <c r="K330" s="263">
        <v>4725728288.0600004</v>
      </c>
      <c r="L330" s="263">
        <v>4601603316.3999996</v>
      </c>
      <c r="M330" s="263">
        <v>756256237.94000006</v>
      </c>
      <c r="N330" s="263">
        <v>756256237.94000006</v>
      </c>
    </row>
    <row r="331" spans="1:14" s="156" customFormat="1" x14ac:dyDescent="0.25">
      <c r="A331" s="262" t="s">
        <v>546</v>
      </c>
      <c r="B331" s="262" t="s">
        <v>133</v>
      </c>
      <c r="C331" s="262" t="s">
        <v>134</v>
      </c>
      <c r="D331" s="262" t="s">
        <v>541</v>
      </c>
      <c r="E331" s="263">
        <v>2503011786</v>
      </c>
      <c r="F331" s="263">
        <v>2803011786</v>
      </c>
      <c r="G331" s="263">
        <v>2803011786</v>
      </c>
      <c r="H331" s="263">
        <v>0</v>
      </c>
      <c r="I331" s="263">
        <v>0</v>
      </c>
      <c r="J331" s="263">
        <v>0</v>
      </c>
      <c r="K331" s="263">
        <v>2505198714.3699999</v>
      </c>
      <c r="L331" s="263">
        <v>2505198714.3699999</v>
      </c>
      <c r="M331" s="263">
        <v>297813071.63</v>
      </c>
      <c r="N331" s="263">
        <v>297813071.63</v>
      </c>
    </row>
    <row r="332" spans="1:14" s="156" customFormat="1" x14ac:dyDescent="0.25">
      <c r="A332" s="262" t="s">
        <v>546</v>
      </c>
      <c r="B332" s="262" t="s">
        <v>133</v>
      </c>
      <c r="C332" s="262" t="s">
        <v>134</v>
      </c>
      <c r="D332" s="262" t="s">
        <v>543</v>
      </c>
      <c r="E332" s="263">
        <v>0</v>
      </c>
      <c r="F332" s="263">
        <v>250000000</v>
      </c>
      <c r="G332" s="263">
        <v>250000000</v>
      </c>
      <c r="H332" s="263">
        <v>0</v>
      </c>
      <c r="I332" s="263">
        <v>0</v>
      </c>
      <c r="J332" s="263">
        <v>0</v>
      </c>
      <c r="K332" s="263">
        <v>165793457</v>
      </c>
      <c r="L332" s="263">
        <v>94976756</v>
      </c>
      <c r="M332" s="263">
        <v>84206543</v>
      </c>
      <c r="N332" s="263">
        <v>84206543</v>
      </c>
    </row>
    <row r="333" spans="1:14" s="156" customFormat="1" x14ac:dyDescent="0.25">
      <c r="A333" s="262" t="s">
        <v>546</v>
      </c>
      <c r="B333" s="262" t="s">
        <v>135</v>
      </c>
      <c r="C333" s="262" t="s">
        <v>136</v>
      </c>
      <c r="D333" s="262" t="s">
        <v>541</v>
      </c>
      <c r="E333" s="263">
        <v>973642474</v>
      </c>
      <c r="F333" s="263">
        <v>1239642474</v>
      </c>
      <c r="G333" s="263">
        <v>1239642474</v>
      </c>
      <c r="H333" s="263">
        <v>0</v>
      </c>
      <c r="I333" s="263">
        <v>0</v>
      </c>
      <c r="J333" s="263">
        <v>0</v>
      </c>
      <c r="K333" s="263">
        <v>1083764215.6800001</v>
      </c>
      <c r="L333" s="263">
        <v>1065873595.6799999</v>
      </c>
      <c r="M333" s="263">
        <v>155878258.31999999</v>
      </c>
      <c r="N333" s="263">
        <v>155878258.31999999</v>
      </c>
    </row>
    <row r="334" spans="1:14" s="156" customFormat="1" x14ac:dyDescent="0.25">
      <c r="A334" s="262" t="s">
        <v>546</v>
      </c>
      <c r="B334" s="262" t="s">
        <v>135</v>
      </c>
      <c r="C334" s="262" t="s">
        <v>136</v>
      </c>
      <c r="D334" s="262" t="s">
        <v>543</v>
      </c>
      <c r="E334" s="263">
        <v>0</v>
      </c>
      <c r="F334" s="263">
        <v>316000000</v>
      </c>
      <c r="G334" s="263">
        <v>316000000</v>
      </c>
      <c r="H334" s="263">
        <v>0</v>
      </c>
      <c r="I334" s="263">
        <v>0</v>
      </c>
      <c r="J334" s="263">
        <v>0</v>
      </c>
      <c r="K334" s="263">
        <v>316000000</v>
      </c>
      <c r="L334" s="263">
        <v>313067685</v>
      </c>
      <c r="M334" s="263">
        <v>0</v>
      </c>
      <c r="N334" s="263">
        <v>0</v>
      </c>
    </row>
    <row r="335" spans="1:14" s="156" customFormat="1" x14ac:dyDescent="0.25">
      <c r="A335" s="262" t="s">
        <v>546</v>
      </c>
      <c r="B335" s="262" t="s">
        <v>137</v>
      </c>
      <c r="C335" s="262" t="s">
        <v>138</v>
      </c>
      <c r="D335" s="262" t="s">
        <v>541</v>
      </c>
      <c r="E335" s="263">
        <v>3942858</v>
      </c>
      <c r="F335" s="263">
        <v>3942858</v>
      </c>
      <c r="G335" s="263">
        <v>3942858</v>
      </c>
      <c r="H335" s="263">
        <v>0</v>
      </c>
      <c r="I335" s="263">
        <v>0</v>
      </c>
      <c r="J335" s="263">
        <v>0</v>
      </c>
      <c r="K335" s="263">
        <v>1780675</v>
      </c>
      <c r="L335" s="263">
        <v>1654005</v>
      </c>
      <c r="M335" s="263">
        <v>2162183</v>
      </c>
      <c r="N335" s="263">
        <v>2162183</v>
      </c>
    </row>
    <row r="336" spans="1:14" s="156" customFormat="1" x14ac:dyDescent="0.25">
      <c r="A336" s="262" t="s">
        <v>546</v>
      </c>
      <c r="B336" s="262" t="s">
        <v>139</v>
      </c>
      <c r="C336" s="262" t="s">
        <v>140</v>
      </c>
      <c r="D336" s="262" t="s">
        <v>541</v>
      </c>
      <c r="E336" s="263">
        <v>753229000</v>
      </c>
      <c r="F336" s="263">
        <v>753229000</v>
      </c>
      <c r="G336" s="263">
        <v>753229000</v>
      </c>
      <c r="H336" s="263">
        <v>0</v>
      </c>
      <c r="I336" s="263">
        <v>0</v>
      </c>
      <c r="J336" s="263">
        <v>0</v>
      </c>
      <c r="K336" s="263">
        <v>555887835.37</v>
      </c>
      <c r="L336" s="263">
        <v>526721519.70999998</v>
      </c>
      <c r="M336" s="263">
        <v>197341164.63</v>
      </c>
      <c r="N336" s="263">
        <v>197341164.63</v>
      </c>
    </row>
    <row r="337" spans="1:14" s="156" customFormat="1" x14ac:dyDescent="0.25">
      <c r="A337" s="262" t="s">
        <v>546</v>
      </c>
      <c r="B337" s="262" t="s">
        <v>141</v>
      </c>
      <c r="C337" s="262" t="s">
        <v>142</v>
      </c>
      <c r="D337" s="262" t="s">
        <v>541</v>
      </c>
      <c r="E337" s="263">
        <v>94848408</v>
      </c>
      <c r="F337" s="263">
        <v>96158408</v>
      </c>
      <c r="G337" s="263">
        <v>96158408</v>
      </c>
      <c r="H337" s="263">
        <v>0</v>
      </c>
      <c r="I337" s="263">
        <v>0</v>
      </c>
      <c r="J337" s="263">
        <v>0</v>
      </c>
      <c r="K337" s="263">
        <v>79847010.640000001</v>
      </c>
      <c r="L337" s="263">
        <v>76654660.640000001</v>
      </c>
      <c r="M337" s="263">
        <v>16311397.359999999</v>
      </c>
      <c r="N337" s="263">
        <v>16311397.359999999</v>
      </c>
    </row>
    <row r="338" spans="1:14" s="156" customFormat="1" x14ac:dyDescent="0.25">
      <c r="A338" s="262" t="s">
        <v>546</v>
      </c>
      <c r="B338" s="262" t="s">
        <v>141</v>
      </c>
      <c r="C338" s="262" t="s">
        <v>142</v>
      </c>
      <c r="D338" s="262" t="s">
        <v>543</v>
      </c>
      <c r="E338" s="263">
        <v>0</v>
      </c>
      <c r="F338" s="263">
        <v>20000000</v>
      </c>
      <c r="G338" s="263">
        <v>20000000</v>
      </c>
      <c r="H338" s="263">
        <v>0</v>
      </c>
      <c r="I338" s="263">
        <v>0</v>
      </c>
      <c r="J338" s="263">
        <v>0</v>
      </c>
      <c r="K338" s="263">
        <v>17456380</v>
      </c>
      <c r="L338" s="263">
        <v>17456380</v>
      </c>
      <c r="M338" s="263">
        <v>2543620</v>
      </c>
      <c r="N338" s="263">
        <v>2543620</v>
      </c>
    </row>
    <row r="339" spans="1:14" s="156" customFormat="1" x14ac:dyDescent="0.25">
      <c r="A339" s="262" t="s">
        <v>546</v>
      </c>
      <c r="B339" s="262" t="s">
        <v>143</v>
      </c>
      <c r="C339" s="262" t="s">
        <v>144</v>
      </c>
      <c r="D339" s="262" t="s">
        <v>541</v>
      </c>
      <c r="E339" s="263">
        <v>4451091</v>
      </c>
      <c r="F339" s="263">
        <v>3141091</v>
      </c>
      <c r="G339" s="263">
        <v>3141091</v>
      </c>
      <c r="H339" s="263">
        <v>0</v>
      </c>
      <c r="I339" s="263">
        <v>0</v>
      </c>
      <c r="J339" s="263">
        <v>0</v>
      </c>
      <c r="K339" s="263">
        <v>1878214.13</v>
      </c>
      <c r="L339" s="263">
        <v>1763374.13</v>
      </c>
      <c r="M339" s="263">
        <v>1262876.8700000001</v>
      </c>
      <c r="N339" s="263">
        <v>1262876.8700000001</v>
      </c>
    </row>
    <row r="340" spans="1:14" s="156" customFormat="1" x14ac:dyDescent="0.25">
      <c r="A340" s="262" t="s">
        <v>546</v>
      </c>
      <c r="B340" s="262" t="s">
        <v>145</v>
      </c>
      <c r="C340" s="262" t="s">
        <v>146</v>
      </c>
      <c r="D340" s="262" t="s">
        <v>541</v>
      </c>
      <c r="E340" s="263">
        <v>1831091</v>
      </c>
      <c r="F340" s="263">
        <v>1831091</v>
      </c>
      <c r="G340" s="263">
        <v>1831091</v>
      </c>
      <c r="H340" s="263">
        <v>0</v>
      </c>
      <c r="I340" s="263">
        <v>0</v>
      </c>
      <c r="J340" s="263">
        <v>0</v>
      </c>
      <c r="K340" s="263">
        <v>1766214.13</v>
      </c>
      <c r="L340" s="263">
        <v>1651374.13</v>
      </c>
      <c r="M340" s="263">
        <v>64876.87</v>
      </c>
      <c r="N340" s="263">
        <v>64876.87</v>
      </c>
    </row>
    <row r="341" spans="1:14" s="156" customFormat="1" x14ac:dyDescent="0.25">
      <c r="A341" s="262" t="s">
        <v>546</v>
      </c>
      <c r="B341" s="262" t="s">
        <v>147</v>
      </c>
      <c r="C341" s="262" t="s">
        <v>148</v>
      </c>
      <c r="D341" s="262" t="s">
        <v>541</v>
      </c>
      <c r="E341" s="263">
        <v>2620000</v>
      </c>
      <c r="F341" s="263">
        <v>1310000</v>
      </c>
      <c r="G341" s="263">
        <v>1310000</v>
      </c>
      <c r="H341" s="263">
        <v>0</v>
      </c>
      <c r="I341" s="263">
        <v>0</v>
      </c>
      <c r="J341" s="263">
        <v>0</v>
      </c>
      <c r="K341" s="263">
        <v>112000</v>
      </c>
      <c r="L341" s="263">
        <v>112000</v>
      </c>
      <c r="M341" s="263">
        <v>1198000</v>
      </c>
      <c r="N341" s="263">
        <v>1198000</v>
      </c>
    </row>
    <row r="342" spans="1:14" s="156" customFormat="1" x14ac:dyDescent="0.25">
      <c r="A342" s="262" t="s">
        <v>546</v>
      </c>
      <c r="B342" s="262" t="s">
        <v>151</v>
      </c>
      <c r="C342" s="262" t="s">
        <v>152</v>
      </c>
      <c r="D342" s="262" t="s">
        <v>541</v>
      </c>
      <c r="E342" s="263">
        <v>310063679</v>
      </c>
      <c r="F342" s="263">
        <v>304648679</v>
      </c>
      <c r="G342" s="263">
        <v>304648679</v>
      </c>
      <c r="H342" s="263">
        <v>0</v>
      </c>
      <c r="I342" s="263">
        <v>0</v>
      </c>
      <c r="J342" s="263">
        <v>0</v>
      </c>
      <c r="K342" s="263">
        <v>245536758.00999999</v>
      </c>
      <c r="L342" s="263">
        <v>220444536.22</v>
      </c>
      <c r="M342" s="263">
        <v>59111920.990000002</v>
      </c>
      <c r="N342" s="263">
        <v>59111920.990000002</v>
      </c>
    </row>
    <row r="343" spans="1:14" s="156" customFormat="1" x14ac:dyDescent="0.25">
      <c r="A343" s="262" t="s">
        <v>546</v>
      </c>
      <c r="B343" s="262" t="s">
        <v>359</v>
      </c>
      <c r="C343" s="262" t="s">
        <v>605</v>
      </c>
      <c r="D343" s="262" t="s">
        <v>541</v>
      </c>
      <c r="E343" s="263">
        <v>21381819</v>
      </c>
      <c r="F343" s="263">
        <v>21381819</v>
      </c>
      <c r="G343" s="263">
        <v>21381819</v>
      </c>
      <c r="H343" s="263">
        <v>0</v>
      </c>
      <c r="I343" s="263">
        <v>0</v>
      </c>
      <c r="J343" s="263">
        <v>0</v>
      </c>
      <c r="K343" s="263">
        <v>21114352</v>
      </c>
      <c r="L343" s="263">
        <v>19964352</v>
      </c>
      <c r="M343" s="263">
        <v>267467</v>
      </c>
      <c r="N343" s="263">
        <v>267467</v>
      </c>
    </row>
    <row r="344" spans="1:14" s="156" customFormat="1" x14ac:dyDescent="0.25">
      <c r="A344" s="262" t="s">
        <v>546</v>
      </c>
      <c r="B344" s="262" t="s">
        <v>330</v>
      </c>
      <c r="C344" s="262" t="s">
        <v>604</v>
      </c>
      <c r="D344" s="262" t="s">
        <v>541</v>
      </c>
      <c r="E344" s="263">
        <v>106119000</v>
      </c>
      <c r="F344" s="263">
        <v>96242333</v>
      </c>
      <c r="G344" s="263">
        <v>96242333</v>
      </c>
      <c r="H344" s="263">
        <v>0</v>
      </c>
      <c r="I344" s="263">
        <v>0</v>
      </c>
      <c r="J344" s="263">
        <v>0</v>
      </c>
      <c r="K344" s="263">
        <v>63144258.32</v>
      </c>
      <c r="L344" s="263">
        <v>57811424.990000002</v>
      </c>
      <c r="M344" s="263">
        <v>33098074.68</v>
      </c>
      <c r="N344" s="263">
        <v>33098074.68</v>
      </c>
    </row>
    <row r="345" spans="1:14" s="156" customFormat="1" x14ac:dyDescent="0.25">
      <c r="A345" s="262" t="s">
        <v>546</v>
      </c>
      <c r="B345" s="262" t="s">
        <v>154</v>
      </c>
      <c r="C345" s="262" t="s">
        <v>155</v>
      </c>
      <c r="D345" s="262" t="s">
        <v>541</v>
      </c>
      <c r="E345" s="263">
        <v>126000000</v>
      </c>
      <c r="F345" s="263">
        <v>120000000</v>
      </c>
      <c r="G345" s="263">
        <v>120000000</v>
      </c>
      <c r="H345" s="263">
        <v>0</v>
      </c>
      <c r="I345" s="263">
        <v>0</v>
      </c>
      <c r="J345" s="263">
        <v>0</v>
      </c>
      <c r="K345" s="263">
        <v>97486040.379999995</v>
      </c>
      <c r="L345" s="263">
        <v>88352358.680000007</v>
      </c>
      <c r="M345" s="263">
        <v>22513959.620000001</v>
      </c>
      <c r="N345" s="263">
        <v>22513959.620000001</v>
      </c>
    </row>
    <row r="346" spans="1:14" s="156" customFormat="1" x14ac:dyDescent="0.25">
      <c r="A346" s="262" t="s">
        <v>546</v>
      </c>
      <c r="B346" s="262" t="s">
        <v>156</v>
      </c>
      <c r="C346" s="262" t="s">
        <v>157</v>
      </c>
      <c r="D346" s="262" t="s">
        <v>541</v>
      </c>
      <c r="E346" s="263">
        <v>56562860</v>
      </c>
      <c r="F346" s="263">
        <v>67024527</v>
      </c>
      <c r="G346" s="263">
        <v>67024527</v>
      </c>
      <c r="H346" s="263">
        <v>0</v>
      </c>
      <c r="I346" s="263">
        <v>0</v>
      </c>
      <c r="J346" s="263">
        <v>0</v>
      </c>
      <c r="K346" s="263">
        <v>63792107.310000002</v>
      </c>
      <c r="L346" s="263">
        <v>54316400.549999997</v>
      </c>
      <c r="M346" s="263">
        <v>3232419.69</v>
      </c>
      <c r="N346" s="263">
        <v>3232419.69</v>
      </c>
    </row>
    <row r="347" spans="1:14" s="156" customFormat="1" x14ac:dyDescent="0.25">
      <c r="A347" s="262" t="s">
        <v>546</v>
      </c>
      <c r="B347" s="262" t="s">
        <v>158</v>
      </c>
      <c r="C347" s="262" t="s">
        <v>159</v>
      </c>
      <c r="D347" s="262" t="s">
        <v>541</v>
      </c>
      <c r="E347" s="263">
        <v>128523280</v>
      </c>
      <c r="F347" s="263">
        <v>123983137</v>
      </c>
      <c r="G347" s="263">
        <v>123983137</v>
      </c>
      <c r="H347" s="263">
        <v>0</v>
      </c>
      <c r="I347" s="263">
        <v>0</v>
      </c>
      <c r="J347" s="263">
        <v>0</v>
      </c>
      <c r="K347" s="263">
        <v>91040030</v>
      </c>
      <c r="L347" s="263">
        <v>91040030</v>
      </c>
      <c r="M347" s="263">
        <v>32943107</v>
      </c>
      <c r="N347" s="263">
        <v>32943107</v>
      </c>
    </row>
    <row r="348" spans="1:14" s="156" customFormat="1" x14ac:dyDescent="0.25">
      <c r="A348" s="262" t="s">
        <v>546</v>
      </c>
      <c r="B348" s="262" t="s">
        <v>160</v>
      </c>
      <c r="C348" s="262" t="s">
        <v>161</v>
      </c>
      <c r="D348" s="262" t="s">
        <v>541</v>
      </c>
      <c r="E348" s="263">
        <v>4829000</v>
      </c>
      <c r="F348" s="263">
        <v>4829000</v>
      </c>
      <c r="G348" s="263">
        <v>4829000</v>
      </c>
      <c r="H348" s="263">
        <v>0</v>
      </c>
      <c r="I348" s="263">
        <v>0</v>
      </c>
      <c r="J348" s="263">
        <v>0</v>
      </c>
      <c r="K348" s="263">
        <v>2711085</v>
      </c>
      <c r="L348" s="263">
        <v>2711085</v>
      </c>
      <c r="M348" s="263">
        <v>2117915</v>
      </c>
      <c r="N348" s="263">
        <v>2117915</v>
      </c>
    </row>
    <row r="349" spans="1:14" s="156" customFormat="1" x14ac:dyDescent="0.25">
      <c r="A349" s="262" t="s">
        <v>546</v>
      </c>
      <c r="B349" s="262" t="s">
        <v>162</v>
      </c>
      <c r="C349" s="262" t="s">
        <v>163</v>
      </c>
      <c r="D349" s="262" t="s">
        <v>541</v>
      </c>
      <c r="E349" s="263">
        <v>119154137</v>
      </c>
      <c r="F349" s="263">
        <v>119154137</v>
      </c>
      <c r="G349" s="263">
        <v>119154137</v>
      </c>
      <c r="H349" s="263">
        <v>0</v>
      </c>
      <c r="I349" s="263">
        <v>0</v>
      </c>
      <c r="J349" s="263">
        <v>0</v>
      </c>
      <c r="K349" s="263">
        <v>88328945</v>
      </c>
      <c r="L349" s="263">
        <v>88328945</v>
      </c>
      <c r="M349" s="263">
        <v>30825192</v>
      </c>
      <c r="N349" s="263">
        <v>30825192</v>
      </c>
    </row>
    <row r="350" spans="1:14" s="156" customFormat="1" x14ac:dyDescent="0.25">
      <c r="A350" s="262" t="s">
        <v>546</v>
      </c>
      <c r="B350" s="262" t="s">
        <v>164</v>
      </c>
      <c r="C350" s="262" t="s">
        <v>165</v>
      </c>
      <c r="D350" s="262" t="s">
        <v>541</v>
      </c>
      <c r="E350" s="263">
        <v>2851000</v>
      </c>
      <c r="F350" s="263">
        <v>0</v>
      </c>
      <c r="G350" s="263">
        <v>0</v>
      </c>
      <c r="H350" s="263">
        <v>0</v>
      </c>
      <c r="I350" s="263">
        <v>0</v>
      </c>
      <c r="J350" s="263">
        <v>0</v>
      </c>
      <c r="K350" s="263">
        <v>0</v>
      </c>
      <c r="L350" s="263">
        <v>0</v>
      </c>
      <c r="M350" s="263">
        <v>0</v>
      </c>
      <c r="N350" s="263">
        <v>0</v>
      </c>
    </row>
    <row r="351" spans="1:14" s="156" customFormat="1" x14ac:dyDescent="0.25">
      <c r="A351" s="262" t="s">
        <v>546</v>
      </c>
      <c r="B351" s="262" t="s">
        <v>166</v>
      </c>
      <c r="C351" s="262" t="s">
        <v>167</v>
      </c>
      <c r="D351" s="262" t="s">
        <v>541</v>
      </c>
      <c r="E351" s="263">
        <v>1689143</v>
      </c>
      <c r="F351" s="263">
        <v>0</v>
      </c>
      <c r="G351" s="263">
        <v>0</v>
      </c>
      <c r="H351" s="263">
        <v>0</v>
      </c>
      <c r="I351" s="263">
        <v>0</v>
      </c>
      <c r="J351" s="263">
        <v>0</v>
      </c>
      <c r="K351" s="263">
        <v>0</v>
      </c>
      <c r="L351" s="263">
        <v>0</v>
      </c>
      <c r="M351" s="263">
        <v>0</v>
      </c>
      <c r="N351" s="263">
        <v>0</v>
      </c>
    </row>
    <row r="352" spans="1:14" s="156" customFormat="1" x14ac:dyDescent="0.25">
      <c r="A352" s="262" t="s">
        <v>546</v>
      </c>
      <c r="B352" s="262" t="s">
        <v>168</v>
      </c>
      <c r="C352" s="262" t="s">
        <v>169</v>
      </c>
      <c r="D352" s="262" t="s">
        <v>541</v>
      </c>
      <c r="E352" s="263">
        <v>1290997262</v>
      </c>
      <c r="F352" s="263">
        <v>1244459372.29</v>
      </c>
      <c r="G352" s="263">
        <v>1244459372.29</v>
      </c>
      <c r="H352" s="263">
        <v>0</v>
      </c>
      <c r="I352" s="263">
        <v>0</v>
      </c>
      <c r="J352" s="263">
        <v>0</v>
      </c>
      <c r="K352" s="263">
        <v>1199969230.9000001</v>
      </c>
      <c r="L352" s="263">
        <v>1094978894.9000001</v>
      </c>
      <c r="M352" s="263">
        <v>44490141.390000001</v>
      </c>
      <c r="N352" s="263">
        <v>44490141.390000001</v>
      </c>
    </row>
    <row r="353" spans="1:14" s="156" customFormat="1" x14ac:dyDescent="0.25">
      <c r="A353" s="262" t="s">
        <v>546</v>
      </c>
      <c r="B353" s="262" t="s">
        <v>170</v>
      </c>
      <c r="C353" s="262" t="s">
        <v>171</v>
      </c>
      <c r="D353" s="262" t="s">
        <v>541</v>
      </c>
      <c r="E353" s="263">
        <v>1290997262</v>
      </c>
      <c r="F353" s="263">
        <v>1244459372.29</v>
      </c>
      <c r="G353" s="263">
        <v>1244459372.29</v>
      </c>
      <c r="H353" s="263">
        <v>0</v>
      </c>
      <c r="I353" s="263">
        <v>0</v>
      </c>
      <c r="J353" s="263">
        <v>0</v>
      </c>
      <c r="K353" s="263">
        <v>1199969230.9000001</v>
      </c>
      <c r="L353" s="263">
        <v>1094978894.9000001</v>
      </c>
      <c r="M353" s="263">
        <v>44490141.390000001</v>
      </c>
      <c r="N353" s="263">
        <v>44490141.390000001</v>
      </c>
    </row>
    <row r="354" spans="1:14" s="156" customFormat="1" x14ac:dyDescent="0.25">
      <c r="A354" s="262" t="s">
        <v>546</v>
      </c>
      <c r="B354" s="262" t="s">
        <v>172</v>
      </c>
      <c r="C354" s="262" t="s">
        <v>173</v>
      </c>
      <c r="D354" s="262" t="s">
        <v>541</v>
      </c>
      <c r="E354" s="263">
        <v>1413715</v>
      </c>
      <c r="F354" s="263">
        <v>1413715</v>
      </c>
      <c r="G354" s="263">
        <v>1413715</v>
      </c>
      <c r="H354" s="263">
        <v>0</v>
      </c>
      <c r="I354" s="263">
        <v>0</v>
      </c>
      <c r="J354" s="263">
        <v>0</v>
      </c>
      <c r="K354" s="263">
        <v>1390780</v>
      </c>
      <c r="L354" s="263">
        <v>790780</v>
      </c>
      <c r="M354" s="263">
        <v>22935</v>
      </c>
      <c r="N354" s="263">
        <v>22935</v>
      </c>
    </row>
    <row r="355" spans="1:14" s="156" customFormat="1" x14ac:dyDescent="0.25">
      <c r="A355" s="262" t="s">
        <v>546</v>
      </c>
      <c r="B355" s="262" t="s">
        <v>309</v>
      </c>
      <c r="C355" s="262" t="s">
        <v>310</v>
      </c>
      <c r="D355" s="262" t="s">
        <v>541</v>
      </c>
      <c r="E355" s="263">
        <v>1413715</v>
      </c>
      <c r="F355" s="263">
        <v>1413715</v>
      </c>
      <c r="G355" s="263">
        <v>1413715</v>
      </c>
      <c r="H355" s="263">
        <v>0</v>
      </c>
      <c r="I355" s="263">
        <v>0</v>
      </c>
      <c r="J355" s="263">
        <v>0</v>
      </c>
      <c r="K355" s="263">
        <v>1390780</v>
      </c>
      <c r="L355" s="263">
        <v>790780</v>
      </c>
      <c r="M355" s="263">
        <v>22935</v>
      </c>
      <c r="N355" s="263">
        <v>22935</v>
      </c>
    </row>
    <row r="356" spans="1:14" s="156" customFormat="1" x14ac:dyDescent="0.25">
      <c r="A356" s="262" t="s">
        <v>546</v>
      </c>
      <c r="B356" s="262" t="s">
        <v>178</v>
      </c>
      <c r="C356" s="262" t="s">
        <v>179</v>
      </c>
      <c r="D356" s="262" t="s">
        <v>541</v>
      </c>
      <c r="E356" s="263">
        <v>594069615</v>
      </c>
      <c r="F356" s="263">
        <v>737484615</v>
      </c>
      <c r="G356" s="263">
        <v>732984615</v>
      </c>
      <c r="H356" s="263">
        <v>0</v>
      </c>
      <c r="I356" s="263">
        <v>0</v>
      </c>
      <c r="J356" s="263">
        <v>0</v>
      </c>
      <c r="K356" s="263">
        <v>510167889.81</v>
      </c>
      <c r="L356" s="263">
        <v>444168355.31999999</v>
      </c>
      <c r="M356" s="263">
        <v>227316725.19</v>
      </c>
      <c r="N356" s="263">
        <v>222816725.19</v>
      </c>
    </row>
    <row r="357" spans="1:14" s="156" customFormat="1" x14ac:dyDescent="0.25">
      <c r="A357" s="262" t="s">
        <v>546</v>
      </c>
      <c r="B357" s="262" t="s">
        <v>180</v>
      </c>
      <c r="C357" s="262" t="s">
        <v>181</v>
      </c>
      <c r="D357" s="262" t="s">
        <v>541</v>
      </c>
      <c r="E357" s="263">
        <v>125656000</v>
      </c>
      <c r="F357" s="263">
        <v>65656000</v>
      </c>
      <c r="G357" s="263">
        <v>65656000</v>
      </c>
      <c r="H357" s="263">
        <v>0</v>
      </c>
      <c r="I357" s="263">
        <v>0</v>
      </c>
      <c r="J357" s="263">
        <v>0</v>
      </c>
      <c r="K357" s="263">
        <v>14143084</v>
      </c>
      <c r="L357" s="263">
        <v>13454017</v>
      </c>
      <c r="M357" s="263">
        <v>51512916</v>
      </c>
      <c r="N357" s="263">
        <v>51512916</v>
      </c>
    </row>
    <row r="358" spans="1:14" s="156" customFormat="1" x14ac:dyDescent="0.25">
      <c r="A358" s="262" t="s">
        <v>546</v>
      </c>
      <c r="B358" s="262" t="s">
        <v>332</v>
      </c>
      <c r="C358" s="262" t="s">
        <v>333</v>
      </c>
      <c r="D358" s="262" t="s">
        <v>541</v>
      </c>
      <c r="E358" s="263">
        <v>188229817</v>
      </c>
      <c r="F358" s="263">
        <v>286179817</v>
      </c>
      <c r="G358" s="263">
        <v>286179817</v>
      </c>
      <c r="H358" s="263">
        <v>0</v>
      </c>
      <c r="I358" s="263">
        <v>0</v>
      </c>
      <c r="J358" s="263">
        <v>0</v>
      </c>
      <c r="K358" s="263">
        <v>227720719.21000001</v>
      </c>
      <c r="L358" s="263">
        <v>194306480.86000001</v>
      </c>
      <c r="M358" s="263">
        <v>58459097.789999999</v>
      </c>
      <c r="N358" s="263">
        <v>58459097.789999999</v>
      </c>
    </row>
    <row r="359" spans="1:14" s="156" customFormat="1" x14ac:dyDescent="0.25">
      <c r="A359" s="262" t="s">
        <v>546</v>
      </c>
      <c r="B359" s="262" t="s">
        <v>332</v>
      </c>
      <c r="C359" s="262" t="s">
        <v>333</v>
      </c>
      <c r="D359" s="262" t="s">
        <v>543</v>
      </c>
      <c r="E359" s="263">
        <v>0</v>
      </c>
      <c r="F359" s="263">
        <v>100000000</v>
      </c>
      <c r="G359" s="263">
        <v>100000000</v>
      </c>
      <c r="H359" s="263">
        <v>0</v>
      </c>
      <c r="I359" s="263">
        <v>0</v>
      </c>
      <c r="J359" s="263">
        <v>0</v>
      </c>
      <c r="K359" s="263">
        <v>80274610.219999999</v>
      </c>
      <c r="L359" s="263">
        <v>74793382.409999996</v>
      </c>
      <c r="M359" s="263">
        <v>19725389.780000001</v>
      </c>
      <c r="N359" s="263">
        <v>19725389.780000001</v>
      </c>
    </row>
    <row r="360" spans="1:14" s="156" customFormat="1" x14ac:dyDescent="0.25">
      <c r="A360" s="262" t="s">
        <v>546</v>
      </c>
      <c r="B360" s="262" t="s">
        <v>182</v>
      </c>
      <c r="C360" s="262" t="s">
        <v>183</v>
      </c>
      <c r="D360" s="262" t="s">
        <v>541</v>
      </c>
      <c r="E360" s="263">
        <v>95028648</v>
      </c>
      <c r="F360" s="263">
        <v>95028648</v>
      </c>
      <c r="G360" s="263">
        <v>95028648</v>
      </c>
      <c r="H360" s="263">
        <v>0</v>
      </c>
      <c r="I360" s="263">
        <v>0</v>
      </c>
      <c r="J360" s="263">
        <v>0</v>
      </c>
      <c r="K360" s="263">
        <v>66870848.289999999</v>
      </c>
      <c r="L360" s="263">
        <v>64766084.729999997</v>
      </c>
      <c r="M360" s="263">
        <v>28157799.710000001</v>
      </c>
      <c r="N360" s="263">
        <v>28157799.710000001</v>
      </c>
    </row>
    <row r="361" spans="1:14" s="156" customFormat="1" x14ac:dyDescent="0.25">
      <c r="A361" s="262" t="s">
        <v>546</v>
      </c>
      <c r="B361" s="262" t="s">
        <v>184</v>
      </c>
      <c r="C361" s="262" t="s">
        <v>185</v>
      </c>
      <c r="D361" s="262" t="s">
        <v>541</v>
      </c>
      <c r="E361" s="263">
        <v>6300000</v>
      </c>
      <c r="F361" s="263">
        <v>6300000</v>
      </c>
      <c r="G361" s="263">
        <v>1800000</v>
      </c>
      <c r="H361" s="263">
        <v>0</v>
      </c>
      <c r="I361" s="263">
        <v>0</v>
      </c>
      <c r="J361" s="263">
        <v>0</v>
      </c>
      <c r="K361" s="263">
        <v>0</v>
      </c>
      <c r="L361" s="263">
        <v>0</v>
      </c>
      <c r="M361" s="263">
        <v>6300000</v>
      </c>
      <c r="N361" s="263">
        <v>1800000</v>
      </c>
    </row>
    <row r="362" spans="1:14" s="156" customFormat="1" x14ac:dyDescent="0.25">
      <c r="A362" s="262" t="s">
        <v>546</v>
      </c>
      <c r="B362" s="262" t="s">
        <v>186</v>
      </c>
      <c r="C362" s="262" t="s">
        <v>187</v>
      </c>
      <c r="D362" s="262" t="s">
        <v>541</v>
      </c>
      <c r="E362" s="263">
        <v>11141667</v>
      </c>
      <c r="F362" s="263">
        <v>10606667</v>
      </c>
      <c r="G362" s="263">
        <v>10606667</v>
      </c>
      <c r="H362" s="263">
        <v>0</v>
      </c>
      <c r="I362" s="263">
        <v>0</v>
      </c>
      <c r="J362" s="263">
        <v>0</v>
      </c>
      <c r="K362" s="263">
        <v>5840214.8899999997</v>
      </c>
      <c r="L362" s="263">
        <v>5840214.8899999997</v>
      </c>
      <c r="M362" s="263">
        <v>4766452.1100000003</v>
      </c>
      <c r="N362" s="263">
        <v>4766452.1100000003</v>
      </c>
    </row>
    <row r="363" spans="1:14" s="156" customFormat="1" x14ac:dyDescent="0.25">
      <c r="A363" s="262" t="s">
        <v>546</v>
      </c>
      <c r="B363" s="262" t="s">
        <v>188</v>
      </c>
      <c r="C363" s="262" t="s">
        <v>189</v>
      </c>
      <c r="D363" s="262" t="s">
        <v>541</v>
      </c>
      <c r="E363" s="263">
        <v>40562000</v>
      </c>
      <c r="F363" s="263">
        <v>40562000</v>
      </c>
      <c r="G363" s="263">
        <v>40562000</v>
      </c>
      <c r="H363" s="263">
        <v>0</v>
      </c>
      <c r="I363" s="263">
        <v>0</v>
      </c>
      <c r="J363" s="263">
        <v>0</v>
      </c>
      <c r="K363" s="263">
        <v>22755570.280000001</v>
      </c>
      <c r="L363" s="263">
        <v>7666378.6699999999</v>
      </c>
      <c r="M363" s="263">
        <v>17806429.719999999</v>
      </c>
      <c r="N363" s="263">
        <v>17806429.719999999</v>
      </c>
    </row>
    <row r="364" spans="1:14" s="156" customFormat="1" x14ac:dyDescent="0.25">
      <c r="A364" s="262" t="s">
        <v>546</v>
      </c>
      <c r="B364" s="262" t="s">
        <v>190</v>
      </c>
      <c r="C364" s="262" t="s">
        <v>191</v>
      </c>
      <c r="D364" s="262" t="s">
        <v>541</v>
      </c>
      <c r="E364" s="263">
        <v>127151483</v>
      </c>
      <c r="F364" s="263">
        <v>133151483</v>
      </c>
      <c r="G364" s="263">
        <v>133151483</v>
      </c>
      <c r="H364" s="263">
        <v>0</v>
      </c>
      <c r="I364" s="263">
        <v>0</v>
      </c>
      <c r="J364" s="263">
        <v>0</v>
      </c>
      <c r="K364" s="263">
        <v>92562842.920000002</v>
      </c>
      <c r="L364" s="263">
        <v>83341796.760000005</v>
      </c>
      <c r="M364" s="263">
        <v>40588640.079999998</v>
      </c>
      <c r="N364" s="263">
        <v>40588640.079999998</v>
      </c>
    </row>
    <row r="365" spans="1:14" s="156" customFormat="1" x14ac:dyDescent="0.25">
      <c r="A365" s="262" t="s">
        <v>546</v>
      </c>
      <c r="B365" s="262" t="s">
        <v>192</v>
      </c>
      <c r="C365" s="262" t="s">
        <v>193</v>
      </c>
      <c r="D365" s="262" t="s">
        <v>541</v>
      </c>
      <c r="E365" s="263">
        <v>11126154</v>
      </c>
      <c r="F365" s="263">
        <v>11126154</v>
      </c>
      <c r="G365" s="263">
        <v>11126154</v>
      </c>
      <c r="H365" s="263">
        <v>0</v>
      </c>
      <c r="I365" s="263">
        <v>0</v>
      </c>
      <c r="J365" s="263">
        <v>0</v>
      </c>
      <c r="K365" s="263">
        <v>10386530</v>
      </c>
      <c r="L365" s="263">
        <v>397220</v>
      </c>
      <c r="M365" s="263">
        <v>739624</v>
      </c>
      <c r="N365" s="263">
        <v>739624</v>
      </c>
    </row>
    <row r="366" spans="1:14" s="156" customFormat="1" x14ac:dyDescent="0.25">
      <c r="A366" s="262" t="s">
        <v>546</v>
      </c>
      <c r="B366" s="262" t="s">
        <v>194</v>
      </c>
      <c r="C366" s="262" t="s">
        <v>195</v>
      </c>
      <c r="D366" s="262" t="s">
        <v>541</v>
      </c>
      <c r="E366" s="263">
        <v>11126154</v>
      </c>
      <c r="F366" s="263">
        <v>11126154</v>
      </c>
      <c r="G366" s="263">
        <v>11126154</v>
      </c>
      <c r="H366" s="263">
        <v>0</v>
      </c>
      <c r="I366" s="263">
        <v>0</v>
      </c>
      <c r="J366" s="263">
        <v>0</v>
      </c>
      <c r="K366" s="263">
        <v>10386530</v>
      </c>
      <c r="L366" s="263">
        <v>397220</v>
      </c>
      <c r="M366" s="263">
        <v>739624</v>
      </c>
      <c r="N366" s="263">
        <v>739624</v>
      </c>
    </row>
    <row r="367" spans="1:14" s="156" customFormat="1" x14ac:dyDescent="0.25">
      <c r="A367" s="262" t="s">
        <v>546</v>
      </c>
      <c r="B367" s="262" t="s">
        <v>196</v>
      </c>
      <c r="C367" s="262" t="s">
        <v>197</v>
      </c>
      <c r="D367" s="262" t="s">
        <v>541</v>
      </c>
      <c r="E367" s="263">
        <v>18666301</v>
      </c>
      <c r="F367" s="263">
        <v>67204190.709999993</v>
      </c>
      <c r="G367" s="263">
        <v>67204190.709999993</v>
      </c>
      <c r="H367" s="263">
        <v>0</v>
      </c>
      <c r="I367" s="263">
        <v>0</v>
      </c>
      <c r="J367" s="263">
        <v>0</v>
      </c>
      <c r="K367" s="263">
        <v>19152169.27</v>
      </c>
      <c r="L367" s="263">
        <v>19152169.27</v>
      </c>
      <c r="M367" s="263">
        <v>48052021.439999998</v>
      </c>
      <c r="N367" s="263">
        <v>48052021.439999998</v>
      </c>
    </row>
    <row r="368" spans="1:14" s="156" customFormat="1" x14ac:dyDescent="0.25">
      <c r="A368" s="262" t="s">
        <v>546</v>
      </c>
      <c r="B368" s="262" t="s">
        <v>360</v>
      </c>
      <c r="C368" s="262" t="s">
        <v>361</v>
      </c>
      <c r="D368" s="262" t="s">
        <v>541</v>
      </c>
      <c r="E368" s="263">
        <v>3000000</v>
      </c>
      <c r="F368" s="263">
        <v>5000000</v>
      </c>
      <c r="G368" s="263">
        <v>5000000</v>
      </c>
      <c r="H368" s="263">
        <v>0</v>
      </c>
      <c r="I368" s="263">
        <v>0</v>
      </c>
      <c r="J368" s="263">
        <v>0</v>
      </c>
      <c r="K368" s="263">
        <v>3986646.23</v>
      </c>
      <c r="L368" s="263">
        <v>3986646.23</v>
      </c>
      <c r="M368" s="263">
        <v>1013353.77</v>
      </c>
      <c r="N368" s="263">
        <v>1013353.77</v>
      </c>
    </row>
    <row r="369" spans="1:14" s="156" customFormat="1" x14ac:dyDescent="0.25">
      <c r="A369" s="262" t="s">
        <v>546</v>
      </c>
      <c r="B369" s="262" t="s">
        <v>334</v>
      </c>
      <c r="C369" s="262" t="s">
        <v>335</v>
      </c>
      <c r="D369" s="262" t="s">
        <v>541</v>
      </c>
      <c r="E369" s="263">
        <v>1275676</v>
      </c>
      <c r="F369" s="263">
        <v>47166460.710000001</v>
      </c>
      <c r="G369" s="263">
        <v>47166460.710000001</v>
      </c>
      <c r="H369" s="263">
        <v>0</v>
      </c>
      <c r="I369" s="263">
        <v>0</v>
      </c>
      <c r="J369" s="263">
        <v>0</v>
      </c>
      <c r="K369" s="263">
        <v>3313284.04</v>
      </c>
      <c r="L369" s="263">
        <v>3313284.04</v>
      </c>
      <c r="M369" s="263">
        <v>43853176.670000002</v>
      </c>
      <c r="N369" s="263">
        <v>43853176.670000002</v>
      </c>
    </row>
    <row r="370" spans="1:14" s="156" customFormat="1" x14ac:dyDescent="0.25">
      <c r="A370" s="262" t="s">
        <v>546</v>
      </c>
      <c r="B370" s="262" t="s">
        <v>198</v>
      </c>
      <c r="C370" s="262" t="s">
        <v>199</v>
      </c>
      <c r="D370" s="262" t="s">
        <v>541</v>
      </c>
      <c r="E370" s="263">
        <v>14390625</v>
      </c>
      <c r="F370" s="263">
        <v>15037730</v>
      </c>
      <c r="G370" s="263">
        <v>15037730</v>
      </c>
      <c r="H370" s="263">
        <v>0</v>
      </c>
      <c r="I370" s="263">
        <v>0</v>
      </c>
      <c r="J370" s="263">
        <v>0</v>
      </c>
      <c r="K370" s="263">
        <v>11852239</v>
      </c>
      <c r="L370" s="263">
        <v>11852239</v>
      </c>
      <c r="M370" s="263">
        <v>3185491</v>
      </c>
      <c r="N370" s="263">
        <v>3185491</v>
      </c>
    </row>
    <row r="371" spans="1:14" s="156" customFormat="1" x14ac:dyDescent="0.25">
      <c r="A371" s="262" t="s">
        <v>546</v>
      </c>
      <c r="B371" s="262" t="s">
        <v>200</v>
      </c>
      <c r="C371" s="262" t="s">
        <v>201</v>
      </c>
      <c r="D371" s="262" t="s">
        <v>541</v>
      </c>
      <c r="E371" s="263">
        <v>14015826994</v>
      </c>
      <c r="F371" s="263">
        <v>14073326994</v>
      </c>
      <c r="G371" s="263">
        <v>14073326994</v>
      </c>
      <c r="H371" s="263">
        <v>0</v>
      </c>
      <c r="I371" s="263">
        <v>0</v>
      </c>
      <c r="J371" s="263">
        <v>0</v>
      </c>
      <c r="K371" s="263">
        <v>12682610328.059999</v>
      </c>
      <c r="L371" s="263">
        <v>12273381572.58</v>
      </c>
      <c r="M371" s="263">
        <v>1390716665.9400001</v>
      </c>
      <c r="N371" s="263">
        <v>1390716665.9400001</v>
      </c>
    </row>
    <row r="372" spans="1:14" s="156" customFormat="1" x14ac:dyDescent="0.25">
      <c r="A372" s="262" t="s">
        <v>546</v>
      </c>
      <c r="B372" s="262" t="s">
        <v>202</v>
      </c>
      <c r="C372" s="262" t="s">
        <v>203</v>
      </c>
      <c r="D372" s="262" t="s">
        <v>541</v>
      </c>
      <c r="E372" s="263">
        <v>777682724</v>
      </c>
      <c r="F372" s="263">
        <v>806533224</v>
      </c>
      <c r="G372" s="263">
        <v>806533224</v>
      </c>
      <c r="H372" s="263">
        <v>0</v>
      </c>
      <c r="I372" s="263">
        <v>0</v>
      </c>
      <c r="J372" s="263">
        <v>0</v>
      </c>
      <c r="K372" s="263">
        <v>737036902.36000001</v>
      </c>
      <c r="L372" s="263">
        <v>716589567.08000004</v>
      </c>
      <c r="M372" s="263">
        <v>69496321.640000001</v>
      </c>
      <c r="N372" s="263">
        <v>69496321.640000001</v>
      </c>
    </row>
    <row r="373" spans="1:14" s="156" customFormat="1" x14ac:dyDescent="0.25">
      <c r="A373" s="262" t="s">
        <v>546</v>
      </c>
      <c r="B373" s="262" t="s">
        <v>204</v>
      </c>
      <c r="C373" s="262" t="s">
        <v>205</v>
      </c>
      <c r="D373" s="262" t="s">
        <v>541</v>
      </c>
      <c r="E373" s="263">
        <v>543016724</v>
      </c>
      <c r="F373" s="263">
        <v>589345224</v>
      </c>
      <c r="G373" s="263">
        <v>589345224</v>
      </c>
      <c r="H373" s="263">
        <v>0</v>
      </c>
      <c r="I373" s="263">
        <v>0</v>
      </c>
      <c r="J373" s="263">
        <v>0</v>
      </c>
      <c r="K373" s="263">
        <v>556505273</v>
      </c>
      <c r="L373" s="263">
        <v>552694086.72000003</v>
      </c>
      <c r="M373" s="263">
        <v>32839951</v>
      </c>
      <c r="N373" s="263">
        <v>32839951</v>
      </c>
    </row>
    <row r="374" spans="1:14" s="156" customFormat="1" x14ac:dyDescent="0.25">
      <c r="A374" s="262" t="s">
        <v>546</v>
      </c>
      <c r="B374" s="262" t="s">
        <v>206</v>
      </c>
      <c r="C374" s="262" t="s">
        <v>207</v>
      </c>
      <c r="D374" s="262" t="s">
        <v>541</v>
      </c>
      <c r="E374" s="263">
        <v>195656000</v>
      </c>
      <c r="F374" s="263">
        <v>181276000</v>
      </c>
      <c r="G374" s="263">
        <v>181276000</v>
      </c>
      <c r="H374" s="263">
        <v>0</v>
      </c>
      <c r="I374" s="263">
        <v>0</v>
      </c>
      <c r="J374" s="263">
        <v>0</v>
      </c>
      <c r="K374" s="263">
        <v>152531800</v>
      </c>
      <c r="L374" s="263">
        <v>137527800</v>
      </c>
      <c r="M374" s="263">
        <v>28744200</v>
      </c>
      <c r="N374" s="263">
        <v>28744200</v>
      </c>
    </row>
    <row r="375" spans="1:14" s="156" customFormat="1" x14ac:dyDescent="0.25">
      <c r="A375" s="262" t="s">
        <v>546</v>
      </c>
      <c r="B375" s="262" t="s">
        <v>362</v>
      </c>
      <c r="C375" s="262" t="s">
        <v>363</v>
      </c>
      <c r="D375" s="262" t="s">
        <v>541</v>
      </c>
      <c r="E375" s="263">
        <v>2674000</v>
      </c>
      <c r="F375" s="263">
        <v>2674000</v>
      </c>
      <c r="G375" s="263">
        <v>2674000</v>
      </c>
      <c r="H375" s="263">
        <v>0</v>
      </c>
      <c r="I375" s="263">
        <v>0</v>
      </c>
      <c r="J375" s="263">
        <v>0</v>
      </c>
      <c r="K375" s="263">
        <v>77925</v>
      </c>
      <c r="L375" s="263">
        <v>77925</v>
      </c>
      <c r="M375" s="263">
        <v>2596075</v>
      </c>
      <c r="N375" s="263">
        <v>2596075</v>
      </c>
    </row>
    <row r="376" spans="1:14" s="156" customFormat="1" x14ac:dyDescent="0.25">
      <c r="A376" s="262" t="s">
        <v>546</v>
      </c>
      <c r="B376" s="262" t="s">
        <v>208</v>
      </c>
      <c r="C376" s="262" t="s">
        <v>209</v>
      </c>
      <c r="D376" s="262" t="s">
        <v>541</v>
      </c>
      <c r="E376" s="263">
        <v>30373000</v>
      </c>
      <c r="F376" s="263">
        <v>30373000</v>
      </c>
      <c r="G376" s="263">
        <v>30373000</v>
      </c>
      <c r="H376" s="263">
        <v>0</v>
      </c>
      <c r="I376" s="263">
        <v>0</v>
      </c>
      <c r="J376" s="263">
        <v>0</v>
      </c>
      <c r="K376" s="263">
        <v>26289755.359999999</v>
      </c>
      <c r="L376" s="263">
        <v>26289755.359999999</v>
      </c>
      <c r="M376" s="263">
        <v>4083244.64</v>
      </c>
      <c r="N376" s="263">
        <v>4083244.64</v>
      </c>
    </row>
    <row r="377" spans="1:14" s="156" customFormat="1" x14ac:dyDescent="0.25">
      <c r="A377" s="262" t="s">
        <v>546</v>
      </c>
      <c r="B377" s="262" t="s">
        <v>210</v>
      </c>
      <c r="C377" s="262" t="s">
        <v>211</v>
      </c>
      <c r="D377" s="262" t="s">
        <v>541</v>
      </c>
      <c r="E377" s="263">
        <v>5963000</v>
      </c>
      <c r="F377" s="263">
        <v>2865000</v>
      </c>
      <c r="G377" s="263">
        <v>2865000</v>
      </c>
      <c r="H377" s="263">
        <v>0</v>
      </c>
      <c r="I377" s="263">
        <v>0</v>
      </c>
      <c r="J377" s="263">
        <v>0</v>
      </c>
      <c r="K377" s="263">
        <v>1632149</v>
      </c>
      <c r="L377" s="263">
        <v>0</v>
      </c>
      <c r="M377" s="263">
        <v>1232851</v>
      </c>
      <c r="N377" s="263">
        <v>1232851</v>
      </c>
    </row>
    <row r="378" spans="1:14" s="156" customFormat="1" x14ac:dyDescent="0.25">
      <c r="A378" s="262" t="s">
        <v>546</v>
      </c>
      <c r="B378" s="262" t="s">
        <v>212</v>
      </c>
      <c r="C378" s="262" t="s">
        <v>213</v>
      </c>
      <c r="D378" s="262" t="s">
        <v>541</v>
      </c>
      <c r="E378" s="263">
        <v>10984366500</v>
      </c>
      <c r="F378" s="263">
        <v>11074366500</v>
      </c>
      <c r="G378" s="263">
        <v>11074366500</v>
      </c>
      <c r="H378" s="263">
        <v>0</v>
      </c>
      <c r="I378" s="263">
        <v>0</v>
      </c>
      <c r="J378" s="263">
        <v>0</v>
      </c>
      <c r="K378" s="263">
        <v>10090792540.24</v>
      </c>
      <c r="L378" s="263">
        <v>10076911510.24</v>
      </c>
      <c r="M378" s="263">
        <v>983573959.75999999</v>
      </c>
      <c r="N378" s="263">
        <v>983573959.75999999</v>
      </c>
    </row>
    <row r="379" spans="1:14" s="156" customFormat="1" x14ac:dyDescent="0.25">
      <c r="A379" s="262" t="s">
        <v>546</v>
      </c>
      <c r="B379" s="262" t="s">
        <v>214</v>
      </c>
      <c r="C379" s="262" t="s">
        <v>215</v>
      </c>
      <c r="D379" s="262" t="s">
        <v>541</v>
      </c>
      <c r="E379" s="263">
        <v>10972726000</v>
      </c>
      <c r="F379" s="263">
        <v>11062726000</v>
      </c>
      <c r="G379" s="263">
        <v>11062726000</v>
      </c>
      <c r="H379" s="263">
        <v>0</v>
      </c>
      <c r="I379" s="263">
        <v>0</v>
      </c>
      <c r="J379" s="263">
        <v>0</v>
      </c>
      <c r="K379" s="263">
        <v>10079224690.24</v>
      </c>
      <c r="L379" s="263">
        <v>10071091660.24</v>
      </c>
      <c r="M379" s="263">
        <v>983501309.75999999</v>
      </c>
      <c r="N379" s="263">
        <v>983501309.75999999</v>
      </c>
    </row>
    <row r="380" spans="1:14" s="156" customFormat="1" x14ac:dyDescent="0.25">
      <c r="A380" s="262" t="s">
        <v>546</v>
      </c>
      <c r="B380" s="262" t="s">
        <v>364</v>
      </c>
      <c r="C380" s="262" t="s">
        <v>365</v>
      </c>
      <c r="D380" s="262" t="s">
        <v>541</v>
      </c>
      <c r="E380" s="263">
        <v>11640500</v>
      </c>
      <c r="F380" s="263">
        <v>11640500</v>
      </c>
      <c r="G380" s="263">
        <v>11640500</v>
      </c>
      <c r="H380" s="263">
        <v>0</v>
      </c>
      <c r="I380" s="263">
        <v>0</v>
      </c>
      <c r="J380" s="263">
        <v>0</v>
      </c>
      <c r="K380" s="263">
        <v>11567850</v>
      </c>
      <c r="L380" s="263">
        <v>5819850</v>
      </c>
      <c r="M380" s="263">
        <v>72650</v>
      </c>
      <c r="N380" s="263">
        <v>72650</v>
      </c>
    </row>
    <row r="381" spans="1:14" s="156" customFormat="1" x14ac:dyDescent="0.25">
      <c r="A381" s="262" t="s">
        <v>546</v>
      </c>
      <c r="B381" s="262" t="s">
        <v>216</v>
      </c>
      <c r="C381" s="262" t="s">
        <v>217</v>
      </c>
      <c r="D381" s="262" t="s">
        <v>541</v>
      </c>
      <c r="E381" s="263">
        <v>446867786</v>
      </c>
      <c r="F381" s="263">
        <v>449167969</v>
      </c>
      <c r="G381" s="263">
        <v>449167969</v>
      </c>
      <c r="H381" s="263">
        <v>0</v>
      </c>
      <c r="I381" s="263">
        <v>0</v>
      </c>
      <c r="J381" s="263">
        <v>0</v>
      </c>
      <c r="K381" s="263">
        <v>350690498.00999999</v>
      </c>
      <c r="L381" s="263">
        <v>329559310.18000001</v>
      </c>
      <c r="M381" s="263">
        <v>98477470.989999995</v>
      </c>
      <c r="N381" s="263">
        <v>98477470.989999995</v>
      </c>
    </row>
    <row r="382" spans="1:14" s="156" customFormat="1" x14ac:dyDescent="0.25">
      <c r="A382" s="262" t="s">
        <v>546</v>
      </c>
      <c r="B382" s="262" t="s">
        <v>218</v>
      </c>
      <c r="C382" s="262" t="s">
        <v>219</v>
      </c>
      <c r="D382" s="262" t="s">
        <v>541</v>
      </c>
      <c r="E382" s="263">
        <v>122902000</v>
      </c>
      <c r="F382" s="263">
        <v>122902000</v>
      </c>
      <c r="G382" s="263">
        <v>122902000</v>
      </c>
      <c r="H382" s="263">
        <v>0</v>
      </c>
      <c r="I382" s="263">
        <v>0</v>
      </c>
      <c r="J382" s="263">
        <v>0</v>
      </c>
      <c r="K382" s="263">
        <v>104551681.95999999</v>
      </c>
      <c r="L382" s="263">
        <v>104551681.95999999</v>
      </c>
      <c r="M382" s="263">
        <v>18350318.039999999</v>
      </c>
      <c r="N382" s="263">
        <v>18350318.039999999</v>
      </c>
    </row>
    <row r="383" spans="1:14" s="156" customFormat="1" x14ac:dyDescent="0.25">
      <c r="A383" s="262" t="s">
        <v>546</v>
      </c>
      <c r="B383" s="262" t="s">
        <v>336</v>
      </c>
      <c r="C383" s="262" t="s">
        <v>337</v>
      </c>
      <c r="D383" s="262" t="s">
        <v>541</v>
      </c>
      <c r="E383" s="263">
        <v>50168000</v>
      </c>
      <c r="F383" s="263">
        <v>81471000</v>
      </c>
      <c r="G383" s="263">
        <v>81471000</v>
      </c>
      <c r="H383" s="263">
        <v>0</v>
      </c>
      <c r="I383" s="263">
        <v>0</v>
      </c>
      <c r="J383" s="263">
        <v>0</v>
      </c>
      <c r="K383" s="263">
        <v>39558196</v>
      </c>
      <c r="L383" s="263">
        <v>36822196</v>
      </c>
      <c r="M383" s="263">
        <v>41912804</v>
      </c>
      <c r="N383" s="263">
        <v>41912804</v>
      </c>
    </row>
    <row r="384" spans="1:14" s="156" customFormat="1" x14ac:dyDescent="0.25">
      <c r="A384" s="262" t="s">
        <v>546</v>
      </c>
      <c r="B384" s="262" t="s">
        <v>338</v>
      </c>
      <c r="C384" s="262" t="s">
        <v>339</v>
      </c>
      <c r="D384" s="262" t="s">
        <v>541</v>
      </c>
      <c r="E384" s="263">
        <v>89195672</v>
      </c>
      <c r="F384" s="263">
        <v>89195672</v>
      </c>
      <c r="G384" s="263">
        <v>89195672</v>
      </c>
      <c r="H384" s="263">
        <v>0</v>
      </c>
      <c r="I384" s="263">
        <v>0</v>
      </c>
      <c r="J384" s="263">
        <v>0</v>
      </c>
      <c r="K384" s="263">
        <v>89193388</v>
      </c>
      <c r="L384" s="263">
        <v>89193388</v>
      </c>
      <c r="M384" s="263">
        <v>2284</v>
      </c>
      <c r="N384" s="263">
        <v>2284</v>
      </c>
    </row>
    <row r="385" spans="1:14" s="156" customFormat="1" x14ac:dyDescent="0.25">
      <c r="A385" s="262" t="s">
        <v>546</v>
      </c>
      <c r="B385" s="262" t="s">
        <v>220</v>
      </c>
      <c r="C385" s="262" t="s">
        <v>221</v>
      </c>
      <c r="D385" s="262" t="s">
        <v>541</v>
      </c>
      <c r="E385" s="263">
        <v>90316000</v>
      </c>
      <c r="F385" s="263">
        <v>90316000</v>
      </c>
      <c r="G385" s="263">
        <v>90316000</v>
      </c>
      <c r="H385" s="263">
        <v>0</v>
      </c>
      <c r="I385" s="263">
        <v>0</v>
      </c>
      <c r="J385" s="263">
        <v>0</v>
      </c>
      <c r="K385" s="263">
        <v>73439297.549999997</v>
      </c>
      <c r="L385" s="263">
        <v>55044109.719999999</v>
      </c>
      <c r="M385" s="263">
        <v>16876702.449999999</v>
      </c>
      <c r="N385" s="263">
        <v>16876702.449999999</v>
      </c>
    </row>
    <row r="386" spans="1:14" s="156" customFormat="1" x14ac:dyDescent="0.25">
      <c r="A386" s="262" t="s">
        <v>546</v>
      </c>
      <c r="B386" s="262" t="s">
        <v>222</v>
      </c>
      <c r="C386" s="262" t="s">
        <v>223</v>
      </c>
      <c r="D386" s="262" t="s">
        <v>541</v>
      </c>
      <c r="E386" s="263">
        <v>7059000</v>
      </c>
      <c r="F386" s="263">
        <v>2481183</v>
      </c>
      <c r="G386" s="263">
        <v>2481183</v>
      </c>
      <c r="H386" s="263">
        <v>0</v>
      </c>
      <c r="I386" s="263">
        <v>0</v>
      </c>
      <c r="J386" s="263">
        <v>0</v>
      </c>
      <c r="K386" s="263">
        <v>2327835.92</v>
      </c>
      <c r="L386" s="263">
        <v>2327835.92</v>
      </c>
      <c r="M386" s="263">
        <v>153347.07999999999</v>
      </c>
      <c r="N386" s="263">
        <v>153347.07999999999</v>
      </c>
    </row>
    <row r="387" spans="1:14" s="156" customFormat="1" x14ac:dyDescent="0.25">
      <c r="A387" s="262" t="s">
        <v>546</v>
      </c>
      <c r="B387" s="262" t="s">
        <v>224</v>
      </c>
      <c r="C387" s="262" t="s">
        <v>225</v>
      </c>
      <c r="D387" s="262" t="s">
        <v>541</v>
      </c>
      <c r="E387" s="263">
        <v>61279000</v>
      </c>
      <c r="F387" s="263">
        <v>49954000</v>
      </c>
      <c r="G387" s="263">
        <v>49954000</v>
      </c>
      <c r="H387" s="263">
        <v>0</v>
      </c>
      <c r="I387" s="263">
        <v>0</v>
      </c>
      <c r="J387" s="263">
        <v>0</v>
      </c>
      <c r="K387" s="263">
        <v>41620098.579999998</v>
      </c>
      <c r="L387" s="263">
        <v>41620098.579999998</v>
      </c>
      <c r="M387" s="263">
        <v>8333901.4199999999</v>
      </c>
      <c r="N387" s="263">
        <v>8333901.4199999999</v>
      </c>
    </row>
    <row r="388" spans="1:14" s="156" customFormat="1" x14ac:dyDescent="0.25">
      <c r="A388" s="262" t="s">
        <v>546</v>
      </c>
      <c r="B388" s="262" t="s">
        <v>226</v>
      </c>
      <c r="C388" s="262" t="s">
        <v>227</v>
      </c>
      <c r="D388" s="262" t="s">
        <v>541</v>
      </c>
      <c r="E388" s="263">
        <v>25948114</v>
      </c>
      <c r="F388" s="263">
        <v>12848114</v>
      </c>
      <c r="G388" s="263">
        <v>12848114</v>
      </c>
      <c r="H388" s="263">
        <v>0</v>
      </c>
      <c r="I388" s="263">
        <v>0</v>
      </c>
      <c r="J388" s="263">
        <v>0</v>
      </c>
      <c r="K388" s="263">
        <v>0</v>
      </c>
      <c r="L388" s="263">
        <v>0</v>
      </c>
      <c r="M388" s="263">
        <v>12848114</v>
      </c>
      <c r="N388" s="263">
        <v>12848114</v>
      </c>
    </row>
    <row r="389" spans="1:14" s="156" customFormat="1" x14ac:dyDescent="0.25">
      <c r="A389" s="262" t="s">
        <v>546</v>
      </c>
      <c r="B389" s="262" t="s">
        <v>228</v>
      </c>
      <c r="C389" s="262" t="s">
        <v>229</v>
      </c>
      <c r="D389" s="262" t="s">
        <v>541</v>
      </c>
      <c r="E389" s="263">
        <v>150560000</v>
      </c>
      <c r="F389" s="263">
        <v>157684500</v>
      </c>
      <c r="G389" s="263">
        <v>157684500</v>
      </c>
      <c r="H389" s="263">
        <v>0</v>
      </c>
      <c r="I389" s="263">
        <v>0</v>
      </c>
      <c r="J389" s="263">
        <v>0</v>
      </c>
      <c r="K389" s="263">
        <v>110727383.45</v>
      </c>
      <c r="L389" s="263">
        <v>101793223.58</v>
      </c>
      <c r="M389" s="263">
        <v>46957116.549999997</v>
      </c>
      <c r="N389" s="263">
        <v>46957116.549999997</v>
      </c>
    </row>
    <row r="390" spans="1:14" s="156" customFormat="1" x14ac:dyDescent="0.25">
      <c r="A390" s="262" t="s">
        <v>546</v>
      </c>
      <c r="B390" s="262" t="s">
        <v>230</v>
      </c>
      <c r="C390" s="262" t="s">
        <v>231</v>
      </c>
      <c r="D390" s="262" t="s">
        <v>541</v>
      </c>
      <c r="E390" s="263">
        <v>53615000</v>
      </c>
      <c r="F390" s="263">
        <v>51812500</v>
      </c>
      <c r="G390" s="263">
        <v>51812500</v>
      </c>
      <c r="H390" s="263">
        <v>0</v>
      </c>
      <c r="I390" s="263">
        <v>0</v>
      </c>
      <c r="J390" s="263">
        <v>0</v>
      </c>
      <c r="K390" s="263">
        <v>18345982</v>
      </c>
      <c r="L390" s="263">
        <v>18345982</v>
      </c>
      <c r="M390" s="263">
        <v>33466518</v>
      </c>
      <c r="N390" s="263">
        <v>33466518</v>
      </c>
    </row>
    <row r="391" spans="1:14" s="156" customFormat="1" x14ac:dyDescent="0.25">
      <c r="A391" s="262" t="s">
        <v>546</v>
      </c>
      <c r="B391" s="262" t="s">
        <v>232</v>
      </c>
      <c r="C391" s="262" t="s">
        <v>233</v>
      </c>
      <c r="D391" s="262" t="s">
        <v>541</v>
      </c>
      <c r="E391" s="263">
        <v>96945000</v>
      </c>
      <c r="F391" s="263">
        <v>105872000</v>
      </c>
      <c r="G391" s="263">
        <v>105872000</v>
      </c>
      <c r="H391" s="263">
        <v>0</v>
      </c>
      <c r="I391" s="263">
        <v>0</v>
      </c>
      <c r="J391" s="263">
        <v>0</v>
      </c>
      <c r="K391" s="263">
        <v>92381401.450000003</v>
      </c>
      <c r="L391" s="263">
        <v>83447241.579999998</v>
      </c>
      <c r="M391" s="263">
        <v>13490598.550000001</v>
      </c>
      <c r="N391" s="263">
        <v>13490598.550000001</v>
      </c>
    </row>
    <row r="392" spans="1:14" s="156" customFormat="1" x14ac:dyDescent="0.25">
      <c r="A392" s="262" t="s">
        <v>546</v>
      </c>
      <c r="B392" s="262" t="s">
        <v>609</v>
      </c>
      <c r="C392" s="262" t="s">
        <v>610</v>
      </c>
      <c r="D392" s="262" t="s">
        <v>541</v>
      </c>
      <c r="E392" s="263">
        <v>0</v>
      </c>
      <c r="F392" s="263">
        <v>4577817</v>
      </c>
      <c r="G392" s="263">
        <v>4577817</v>
      </c>
      <c r="H392" s="263">
        <v>0</v>
      </c>
      <c r="I392" s="263">
        <v>0</v>
      </c>
      <c r="J392" s="263">
        <v>0</v>
      </c>
      <c r="K392" s="263">
        <v>0</v>
      </c>
      <c r="L392" s="263">
        <v>0</v>
      </c>
      <c r="M392" s="263">
        <v>4577817</v>
      </c>
      <c r="N392" s="263">
        <v>4577817</v>
      </c>
    </row>
    <row r="393" spans="1:14" s="156" customFormat="1" x14ac:dyDescent="0.25">
      <c r="A393" s="262" t="s">
        <v>546</v>
      </c>
      <c r="B393" s="262" t="s">
        <v>611</v>
      </c>
      <c r="C393" s="262" t="s">
        <v>612</v>
      </c>
      <c r="D393" s="262" t="s">
        <v>541</v>
      </c>
      <c r="E393" s="263">
        <v>0</v>
      </c>
      <c r="F393" s="263">
        <v>4577817</v>
      </c>
      <c r="G393" s="263">
        <v>4577817</v>
      </c>
      <c r="H393" s="263">
        <v>0</v>
      </c>
      <c r="I393" s="263">
        <v>0</v>
      </c>
      <c r="J393" s="263">
        <v>0</v>
      </c>
      <c r="K393" s="263">
        <v>0</v>
      </c>
      <c r="L393" s="263">
        <v>0</v>
      </c>
      <c r="M393" s="263">
        <v>4577817</v>
      </c>
      <c r="N393" s="263">
        <v>4577817</v>
      </c>
    </row>
    <row r="394" spans="1:14" s="156" customFormat="1" x14ac:dyDescent="0.25">
      <c r="A394" s="262" t="s">
        <v>546</v>
      </c>
      <c r="B394" s="262" t="s">
        <v>234</v>
      </c>
      <c r="C394" s="262" t="s">
        <v>601</v>
      </c>
      <c r="D394" s="262" t="s">
        <v>541</v>
      </c>
      <c r="E394" s="263">
        <v>1656349984</v>
      </c>
      <c r="F394" s="263">
        <v>1580996984</v>
      </c>
      <c r="G394" s="263">
        <v>1580996984</v>
      </c>
      <c r="H394" s="263">
        <v>0</v>
      </c>
      <c r="I394" s="263">
        <v>0</v>
      </c>
      <c r="J394" s="263">
        <v>0</v>
      </c>
      <c r="K394" s="263">
        <v>1393363004</v>
      </c>
      <c r="L394" s="263">
        <v>1048527961.5</v>
      </c>
      <c r="M394" s="263">
        <v>187633980</v>
      </c>
      <c r="N394" s="263">
        <v>187633980</v>
      </c>
    </row>
    <row r="395" spans="1:14" s="156" customFormat="1" x14ac:dyDescent="0.25">
      <c r="A395" s="262" t="s">
        <v>546</v>
      </c>
      <c r="B395" s="262" t="s">
        <v>235</v>
      </c>
      <c r="C395" s="262" t="s">
        <v>236</v>
      </c>
      <c r="D395" s="262" t="s">
        <v>541</v>
      </c>
      <c r="E395" s="263">
        <v>34070136</v>
      </c>
      <c r="F395" s="263">
        <v>19870136</v>
      </c>
      <c r="G395" s="263">
        <v>19870136</v>
      </c>
      <c r="H395" s="263">
        <v>0</v>
      </c>
      <c r="I395" s="263">
        <v>0</v>
      </c>
      <c r="J395" s="263">
        <v>0</v>
      </c>
      <c r="K395" s="263">
        <v>10249465.75</v>
      </c>
      <c r="L395" s="263">
        <v>10069465.75</v>
      </c>
      <c r="M395" s="263">
        <v>9620670.25</v>
      </c>
      <c r="N395" s="263">
        <v>9620670.25</v>
      </c>
    </row>
    <row r="396" spans="1:14" s="156" customFormat="1" x14ac:dyDescent="0.25">
      <c r="A396" s="262" t="s">
        <v>546</v>
      </c>
      <c r="B396" s="262" t="s">
        <v>237</v>
      </c>
      <c r="C396" s="262" t="s">
        <v>238</v>
      </c>
      <c r="D396" s="262" t="s">
        <v>541</v>
      </c>
      <c r="E396" s="263">
        <v>65363019</v>
      </c>
      <c r="F396" s="263">
        <v>49911019</v>
      </c>
      <c r="G396" s="263">
        <v>49911019</v>
      </c>
      <c r="H396" s="263">
        <v>0</v>
      </c>
      <c r="I396" s="263">
        <v>0</v>
      </c>
      <c r="J396" s="263">
        <v>0</v>
      </c>
      <c r="K396" s="263">
        <v>30219518.079999998</v>
      </c>
      <c r="L396" s="263">
        <v>22421642.600000001</v>
      </c>
      <c r="M396" s="263">
        <v>19691500.920000002</v>
      </c>
      <c r="N396" s="263">
        <v>19691500.920000002</v>
      </c>
    </row>
    <row r="397" spans="1:14" s="156" customFormat="1" x14ac:dyDescent="0.25">
      <c r="A397" s="262" t="s">
        <v>546</v>
      </c>
      <c r="B397" s="262" t="s">
        <v>239</v>
      </c>
      <c r="C397" s="262" t="s">
        <v>240</v>
      </c>
      <c r="D397" s="262" t="s">
        <v>541</v>
      </c>
      <c r="E397" s="263">
        <v>146259000</v>
      </c>
      <c r="F397" s="263">
        <v>113759000</v>
      </c>
      <c r="G397" s="263">
        <v>113759000</v>
      </c>
      <c r="H397" s="263">
        <v>0</v>
      </c>
      <c r="I397" s="263">
        <v>0</v>
      </c>
      <c r="J397" s="263">
        <v>0</v>
      </c>
      <c r="K397" s="263">
        <v>76716846.129999995</v>
      </c>
      <c r="L397" s="263">
        <v>49050232.090000004</v>
      </c>
      <c r="M397" s="263">
        <v>37042153.869999997</v>
      </c>
      <c r="N397" s="263">
        <v>37042153.869999997</v>
      </c>
    </row>
    <row r="398" spans="1:14" s="156" customFormat="1" x14ac:dyDescent="0.25">
      <c r="A398" s="262" t="s">
        <v>546</v>
      </c>
      <c r="B398" s="262" t="s">
        <v>241</v>
      </c>
      <c r="C398" s="262" t="s">
        <v>242</v>
      </c>
      <c r="D398" s="262" t="s">
        <v>541</v>
      </c>
      <c r="E398" s="263">
        <v>643150000</v>
      </c>
      <c r="F398" s="263">
        <v>634223000</v>
      </c>
      <c r="G398" s="263">
        <v>634223000</v>
      </c>
      <c r="H398" s="263">
        <v>0</v>
      </c>
      <c r="I398" s="263">
        <v>0</v>
      </c>
      <c r="J398" s="263">
        <v>0</v>
      </c>
      <c r="K398" s="263">
        <v>562555922.28999996</v>
      </c>
      <c r="L398" s="263">
        <v>323191060.19999999</v>
      </c>
      <c r="M398" s="263">
        <v>71667077.709999993</v>
      </c>
      <c r="N398" s="263">
        <v>71667077.709999993</v>
      </c>
    </row>
    <row r="399" spans="1:14" s="156" customFormat="1" x14ac:dyDescent="0.25">
      <c r="A399" s="262" t="s">
        <v>546</v>
      </c>
      <c r="B399" s="262" t="s">
        <v>243</v>
      </c>
      <c r="C399" s="262" t="s">
        <v>244</v>
      </c>
      <c r="D399" s="262" t="s">
        <v>541</v>
      </c>
      <c r="E399" s="263">
        <v>302355000</v>
      </c>
      <c r="F399" s="263">
        <v>302355000</v>
      </c>
      <c r="G399" s="263">
        <v>302355000</v>
      </c>
      <c r="H399" s="263">
        <v>0</v>
      </c>
      <c r="I399" s="263">
        <v>0</v>
      </c>
      <c r="J399" s="263">
        <v>0</v>
      </c>
      <c r="K399" s="263">
        <v>293521498.24000001</v>
      </c>
      <c r="L399" s="263">
        <v>232817223.84</v>
      </c>
      <c r="M399" s="263">
        <v>8833501.7599999998</v>
      </c>
      <c r="N399" s="263">
        <v>8833501.7599999998</v>
      </c>
    </row>
    <row r="400" spans="1:14" s="156" customFormat="1" x14ac:dyDescent="0.25">
      <c r="A400" s="262" t="s">
        <v>546</v>
      </c>
      <c r="B400" s="262" t="s">
        <v>245</v>
      </c>
      <c r="C400" s="262" t="s">
        <v>246</v>
      </c>
      <c r="D400" s="262" t="s">
        <v>541</v>
      </c>
      <c r="E400" s="263">
        <v>182921000</v>
      </c>
      <c r="F400" s="263">
        <v>180421000</v>
      </c>
      <c r="G400" s="263">
        <v>180421000</v>
      </c>
      <c r="H400" s="263">
        <v>0</v>
      </c>
      <c r="I400" s="263">
        <v>0</v>
      </c>
      <c r="J400" s="263">
        <v>0</v>
      </c>
      <c r="K400" s="263">
        <v>171130811.25999999</v>
      </c>
      <c r="L400" s="263">
        <v>167291531.25999999</v>
      </c>
      <c r="M400" s="263">
        <v>9290188.7400000002</v>
      </c>
      <c r="N400" s="263">
        <v>9290188.7400000002</v>
      </c>
    </row>
    <row r="401" spans="1:14" s="156" customFormat="1" x14ac:dyDescent="0.25">
      <c r="A401" s="262" t="s">
        <v>546</v>
      </c>
      <c r="B401" s="262" t="s">
        <v>247</v>
      </c>
      <c r="C401" s="262" t="s">
        <v>248</v>
      </c>
      <c r="D401" s="262" t="s">
        <v>541</v>
      </c>
      <c r="E401" s="263">
        <v>92727347</v>
      </c>
      <c r="F401" s="263">
        <v>92727347</v>
      </c>
      <c r="G401" s="263">
        <v>92727347</v>
      </c>
      <c r="H401" s="263">
        <v>0</v>
      </c>
      <c r="I401" s="263">
        <v>0</v>
      </c>
      <c r="J401" s="263">
        <v>0</v>
      </c>
      <c r="K401" s="263">
        <v>82400982.469999999</v>
      </c>
      <c r="L401" s="263">
        <v>77508375.980000004</v>
      </c>
      <c r="M401" s="263">
        <v>10326364.529999999</v>
      </c>
      <c r="N401" s="263">
        <v>10326364.529999999</v>
      </c>
    </row>
    <row r="402" spans="1:14" s="156" customFormat="1" x14ac:dyDescent="0.25">
      <c r="A402" s="262" t="s">
        <v>546</v>
      </c>
      <c r="B402" s="262" t="s">
        <v>249</v>
      </c>
      <c r="C402" s="262" t="s">
        <v>250</v>
      </c>
      <c r="D402" s="262" t="s">
        <v>541</v>
      </c>
      <c r="E402" s="263">
        <v>189504482</v>
      </c>
      <c r="F402" s="263">
        <v>187730482</v>
      </c>
      <c r="G402" s="263">
        <v>187730482</v>
      </c>
      <c r="H402" s="263">
        <v>0</v>
      </c>
      <c r="I402" s="263">
        <v>0</v>
      </c>
      <c r="J402" s="263">
        <v>0</v>
      </c>
      <c r="K402" s="263">
        <v>166567959.78</v>
      </c>
      <c r="L402" s="263">
        <v>166178429.78</v>
      </c>
      <c r="M402" s="263">
        <v>21162522.219999999</v>
      </c>
      <c r="N402" s="263">
        <v>21162522.219999999</v>
      </c>
    </row>
    <row r="403" spans="1:14" s="156" customFormat="1" x14ac:dyDescent="0.25">
      <c r="A403" s="262" t="s">
        <v>546</v>
      </c>
      <c r="B403" s="262" t="s">
        <v>279</v>
      </c>
      <c r="C403" s="262" t="s">
        <v>280</v>
      </c>
      <c r="D403" s="262" t="s">
        <v>541</v>
      </c>
      <c r="E403" s="263">
        <v>883769579</v>
      </c>
      <c r="F403" s="263">
        <v>1856565037</v>
      </c>
      <c r="G403" s="263">
        <v>1856565037</v>
      </c>
      <c r="H403" s="263">
        <v>0</v>
      </c>
      <c r="I403" s="263">
        <v>0</v>
      </c>
      <c r="J403" s="263">
        <v>0</v>
      </c>
      <c r="K403" s="263">
        <v>1333488345.4400001</v>
      </c>
      <c r="L403" s="263">
        <v>1028610992.85</v>
      </c>
      <c r="M403" s="263">
        <v>523076691.56</v>
      </c>
      <c r="N403" s="263">
        <v>523076691.56</v>
      </c>
    </row>
    <row r="404" spans="1:14" s="156" customFormat="1" x14ac:dyDescent="0.25">
      <c r="A404" s="262" t="s">
        <v>546</v>
      </c>
      <c r="B404" s="262" t="s">
        <v>281</v>
      </c>
      <c r="C404" s="262" t="s">
        <v>282</v>
      </c>
      <c r="D404" s="262" t="s">
        <v>541</v>
      </c>
      <c r="E404" s="263">
        <v>667187579</v>
      </c>
      <c r="F404" s="263">
        <v>646404248</v>
      </c>
      <c r="G404" s="263">
        <v>646404248</v>
      </c>
      <c r="H404" s="263">
        <v>0</v>
      </c>
      <c r="I404" s="263">
        <v>0</v>
      </c>
      <c r="J404" s="263">
        <v>0</v>
      </c>
      <c r="K404" s="263">
        <v>469679297.55000001</v>
      </c>
      <c r="L404" s="263">
        <v>357818442.19</v>
      </c>
      <c r="M404" s="263">
        <v>176724950.44999999</v>
      </c>
      <c r="N404" s="263">
        <v>176724950.44999999</v>
      </c>
    </row>
    <row r="405" spans="1:14" s="156" customFormat="1" x14ac:dyDescent="0.25">
      <c r="A405" s="262" t="s">
        <v>546</v>
      </c>
      <c r="B405" s="262" t="s">
        <v>283</v>
      </c>
      <c r="C405" s="262" t="s">
        <v>284</v>
      </c>
      <c r="D405" s="262" t="s">
        <v>543</v>
      </c>
      <c r="E405" s="263">
        <v>33062000</v>
      </c>
      <c r="F405" s="263">
        <v>10198794</v>
      </c>
      <c r="G405" s="263">
        <v>10198794</v>
      </c>
      <c r="H405" s="263">
        <v>0</v>
      </c>
      <c r="I405" s="263">
        <v>0</v>
      </c>
      <c r="J405" s="263">
        <v>0</v>
      </c>
      <c r="K405" s="263">
        <v>6551172.9400000004</v>
      </c>
      <c r="L405" s="263">
        <v>6551172.9400000004</v>
      </c>
      <c r="M405" s="263">
        <v>3647621.06</v>
      </c>
      <c r="N405" s="263">
        <v>3647621.06</v>
      </c>
    </row>
    <row r="406" spans="1:14" s="156" customFormat="1" x14ac:dyDescent="0.25">
      <c r="A406" s="262" t="s">
        <v>546</v>
      </c>
      <c r="B406" s="262" t="s">
        <v>398</v>
      </c>
      <c r="C406" s="262" t="s">
        <v>501</v>
      </c>
      <c r="D406" s="262" t="s">
        <v>543</v>
      </c>
      <c r="E406" s="263">
        <v>72100000</v>
      </c>
      <c r="F406" s="263">
        <v>71925000</v>
      </c>
      <c r="G406" s="263">
        <v>71925000</v>
      </c>
      <c r="H406" s="263">
        <v>0</v>
      </c>
      <c r="I406" s="263">
        <v>0</v>
      </c>
      <c r="J406" s="263">
        <v>0</v>
      </c>
      <c r="K406" s="263">
        <v>57773247.5</v>
      </c>
      <c r="L406" s="263">
        <v>16883370</v>
      </c>
      <c r="M406" s="263">
        <v>14151752.5</v>
      </c>
      <c r="N406" s="263">
        <v>14151752.5</v>
      </c>
    </row>
    <row r="407" spans="1:14" s="156" customFormat="1" x14ac:dyDescent="0.25">
      <c r="A407" s="262" t="s">
        <v>546</v>
      </c>
      <c r="B407" s="262" t="s">
        <v>285</v>
      </c>
      <c r="C407" s="262" t="s">
        <v>286</v>
      </c>
      <c r="D407" s="262" t="s">
        <v>541</v>
      </c>
      <c r="E407" s="263">
        <v>0</v>
      </c>
      <c r="F407" s="263">
        <v>0</v>
      </c>
      <c r="G407" s="263">
        <v>0</v>
      </c>
      <c r="H407" s="263">
        <v>0</v>
      </c>
      <c r="I407" s="263">
        <v>0</v>
      </c>
      <c r="J407" s="263">
        <v>0</v>
      </c>
      <c r="K407" s="263">
        <v>0</v>
      </c>
      <c r="L407" s="263">
        <v>0</v>
      </c>
      <c r="M407" s="263">
        <v>0</v>
      </c>
      <c r="N407" s="263">
        <v>0</v>
      </c>
    </row>
    <row r="408" spans="1:14" s="156" customFormat="1" x14ac:dyDescent="0.25">
      <c r="A408" s="262" t="s">
        <v>546</v>
      </c>
      <c r="B408" s="262" t="s">
        <v>285</v>
      </c>
      <c r="C408" s="262" t="s">
        <v>286</v>
      </c>
      <c r="D408" s="262" t="s">
        <v>543</v>
      </c>
      <c r="E408" s="263">
        <v>147248000</v>
      </c>
      <c r="F408" s="263">
        <v>131022659</v>
      </c>
      <c r="G408" s="263">
        <v>131022659</v>
      </c>
      <c r="H408" s="263">
        <v>0</v>
      </c>
      <c r="I408" s="263">
        <v>0</v>
      </c>
      <c r="J408" s="263">
        <v>0</v>
      </c>
      <c r="K408" s="263">
        <v>114292105.36</v>
      </c>
      <c r="L408" s="263">
        <v>114292105.36</v>
      </c>
      <c r="M408" s="263">
        <v>16730553.640000001</v>
      </c>
      <c r="N408" s="263">
        <v>16730553.640000001</v>
      </c>
    </row>
    <row r="409" spans="1:14" s="156" customFormat="1" x14ac:dyDescent="0.25">
      <c r="A409" s="262" t="s">
        <v>546</v>
      </c>
      <c r="B409" s="262" t="s">
        <v>287</v>
      </c>
      <c r="C409" s="262" t="s">
        <v>288</v>
      </c>
      <c r="D409" s="262" t="s">
        <v>541</v>
      </c>
      <c r="E409" s="263">
        <v>0</v>
      </c>
      <c r="F409" s="263">
        <v>0</v>
      </c>
      <c r="G409" s="263">
        <v>0</v>
      </c>
      <c r="H409" s="263">
        <v>0</v>
      </c>
      <c r="I409" s="263">
        <v>0</v>
      </c>
      <c r="J409" s="263">
        <v>0</v>
      </c>
      <c r="K409" s="263">
        <v>0</v>
      </c>
      <c r="L409" s="263">
        <v>0</v>
      </c>
      <c r="M409" s="263">
        <v>0</v>
      </c>
      <c r="N409" s="263">
        <v>0</v>
      </c>
    </row>
    <row r="410" spans="1:14" s="156" customFormat="1" x14ac:dyDescent="0.25">
      <c r="A410" s="262" t="s">
        <v>546</v>
      </c>
      <c r="B410" s="262" t="s">
        <v>287</v>
      </c>
      <c r="C410" s="262" t="s">
        <v>288</v>
      </c>
      <c r="D410" s="262" t="s">
        <v>543</v>
      </c>
      <c r="E410" s="263">
        <v>69415579</v>
      </c>
      <c r="F410" s="263">
        <v>88250855</v>
      </c>
      <c r="G410" s="263">
        <v>88250855</v>
      </c>
      <c r="H410" s="263">
        <v>0</v>
      </c>
      <c r="I410" s="263">
        <v>0</v>
      </c>
      <c r="J410" s="263">
        <v>0</v>
      </c>
      <c r="K410" s="263">
        <v>41922562.829999998</v>
      </c>
      <c r="L410" s="263">
        <v>39072562.829999998</v>
      </c>
      <c r="M410" s="263">
        <v>46328292.170000002</v>
      </c>
      <c r="N410" s="263">
        <v>46328292.170000002</v>
      </c>
    </row>
    <row r="411" spans="1:14" s="156" customFormat="1" x14ac:dyDescent="0.25">
      <c r="A411" s="262" t="s">
        <v>546</v>
      </c>
      <c r="B411" s="262" t="s">
        <v>289</v>
      </c>
      <c r="C411" s="262" t="s">
        <v>290</v>
      </c>
      <c r="D411" s="262" t="s">
        <v>543</v>
      </c>
      <c r="E411" s="263">
        <v>21137000</v>
      </c>
      <c r="F411" s="263">
        <v>21137000</v>
      </c>
      <c r="G411" s="263">
        <v>21137000</v>
      </c>
      <c r="H411" s="263">
        <v>0</v>
      </c>
      <c r="I411" s="263">
        <v>0</v>
      </c>
      <c r="J411" s="263">
        <v>0</v>
      </c>
      <c r="K411" s="263">
        <v>19262190.649999999</v>
      </c>
      <c r="L411" s="263">
        <v>13982594.789999999</v>
      </c>
      <c r="M411" s="263">
        <v>1874809.35</v>
      </c>
      <c r="N411" s="263">
        <v>1874809.35</v>
      </c>
    </row>
    <row r="412" spans="1:14" s="156" customFormat="1" x14ac:dyDescent="0.25">
      <c r="A412" s="262" t="s">
        <v>546</v>
      </c>
      <c r="B412" s="262" t="s">
        <v>291</v>
      </c>
      <c r="C412" s="262" t="s">
        <v>292</v>
      </c>
      <c r="D412" s="262" t="s">
        <v>543</v>
      </c>
      <c r="E412" s="263">
        <v>29458000</v>
      </c>
      <c r="F412" s="263">
        <v>29448040</v>
      </c>
      <c r="G412" s="263">
        <v>29448040</v>
      </c>
      <c r="H412" s="263">
        <v>0</v>
      </c>
      <c r="I412" s="263">
        <v>0</v>
      </c>
      <c r="J412" s="263">
        <v>0</v>
      </c>
      <c r="K412" s="263">
        <v>28048639.210000001</v>
      </c>
      <c r="L412" s="263">
        <v>26037574.210000001</v>
      </c>
      <c r="M412" s="263">
        <v>1399400.79</v>
      </c>
      <c r="N412" s="263">
        <v>1399400.79</v>
      </c>
    </row>
    <row r="413" spans="1:14" s="156" customFormat="1" x14ac:dyDescent="0.25">
      <c r="A413" s="262" t="s">
        <v>546</v>
      </c>
      <c r="B413" s="262" t="s">
        <v>293</v>
      </c>
      <c r="C413" s="262" t="s">
        <v>294</v>
      </c>
      <c r="D413" s="262" t="s">
        <v>543</v>
      </c>
      <c r="E413" s="263">
        <v>5405000</v>
      </c>
      <c r="F413" s="263">
        <v>5379700</v>
      </c>
      <c r="G413" s="263">
        <v>5379700</v>
      </c>
      <c r="H413" s="263">
        <v>0</v>
      </c>
      <c r="I413" s="263">
        <v>0</v>
      </c>
      <c r="J413" s="263">
        <v>0</v>
      </c>
      <c r="K413" s="263">
        <v>5356450</v>
      </c>
      <c r="L413" s="263">
        <v>5356450</v>
      </c>
      <c r="M413" s="263">
        <v>23250</v>
      </c>
      <c r="N413" s="263">
        <v>23250</v>
      </c>
    </row>
    <row r="414" spans="1:14" s="156" customFormat="1" x14ac:dyDescent="0.25">
      <c r="A414" s="262" t="s">
        <v>546</v>
      </c>
      <c r="B414" s="262" t="s">
        <v>295</v>
      </c>
      <c r="C414" s="262" t="s">
        <v>296</v>
      </c>
      <c r="D414" s="262" t="s">
        <v>543</v>
      </c>
      <c r="E414" s="263">
        <v>289362000</v>
      </c>
      <c r="F414" s="263">
        <v>289042200</v>
      </c>
      <c r="G414" s="263">
        <v>289042200</v>
      </c>
      <c r="H414" s="263">
        <v>0</v>
      </c>
      <c r="I414" s="263">
        <v>0</v>
      </c>
      <c r="J414" s="263">
        <v>0</v>
      </c>
      <c r="K414" s="263">
        <v>196472929.06</v>
      </c>
      <c r="L414" s="263">
        <v>135642612.06</v>
      </c>
      <c r="M414" s="263">
        <v>92569270.939999998</v>
      </c>
      <c r="N414" s="263">
        <v>92569270.939999998</v>
      </c>
    </row>
    <row r="415" spans="1:14" s="156" customFormat="1" x14ac:dyDescent="0.25">
      <c r="A415" s="262" t="s">
        <v>546</v>
      </c>
      <c r="B415" s="262" t="s">
        <v>297</v>
      </c>
      <c r="C415" s="262" t="s">
        <v>298</v>
      </c>
      <c r="D415" s="262" t="s">
        <v>543</v>
      </c>
      <c r="E415" s="263">
        <v>8088000</v>
      </c>
      <c r="F415" s="263">
        <v>736558227</v>
      </c>
      <c r="G415" s="263">
        <v>736558227</v>
      </c>
      <c r="H415" s="263">
        <v>0</v>
      </c>
      <c r="I415" s="263">
        <v>0</v>
      </c>
      <c r="J415" s="263">
        <v>0</v>
      </c>
      <c r="K415" s="263">
        <v>661871325.41999996</v>
      </c>
      <c r="L415" s="263">
        <v>660518587.41999996</v>
      </c>
      <c r="M415" s="263">
        <v>74686901.579999998</v>
      </c>
      <c r="N415" s="263">
        <v>74686901.579999998</v>
      </c>
    </row>
    <row r="416" spans="1:14" s="156" customFormat="1" x14ac:dyDescent="0.25">
      <c r="A416" s="262" t="s">
        <v>546</v>
      </c>
      <c r="B416" s="262" t="s">
        <v>299</v>
      </c>
      <c r="C416" s="262" t="s">
        <v>300</v>
      </c>
      <c r="D416" s="262" t="s">
        <v>543</v>
      </c>
      <c r="E416" s="263">
        <v>0</v>
      </c>
      <c r="F416" s="263">
        <v>727750926</v>
      </c>
      <c r="G416" s="263">
        <v>727750926</v>
      </c>
      <c r="H416" s="263">
        <v>0</v>
      </c>
      <c r="I416" s="263">
        <v>0</v>
      </c>
      <c r="J416" s="263">
        <v>0</v>
      </c>
      <c r="K416" s="263">
        <v>653064148.41999996</v>
      </c>
      <c r="L416" s="263">
        <v>653064148.41999996</v>
      </c>
      <c r="M416" s="263">
        <v>74686777.579999998</v>
      </c>
      <c r="N416" s="263">
        <v>74686777.579999998</v>
      </c>
    </row>
    <row r="417" spans="1:14" s="156" customFormat="1" x14ac:dyDescent="0.25">
      <c r="A417" s="262" t="s">
        <v>546</v>
      </c>
      <c r="B417" s="262" t="s">
        <v>366</v>
      </c>
      <c r="C417" s="262" t="s">
        <v>367</v>
      </c>
      <c r="D417" s="262" t="s">
        <v>543</v>
      </c>
      <c r="E417" s="263">
        <v>8088000</v>
      </c>
      <c r="F417" s="263">
        <v>8807301</v>
      </c>
      <c r="G417" s="263">
        <v>8807301</v>
      </c>
      <c r="H417" s="263">
        <v>0</v>
      </c>
      <c r="I417" s="263">
        <v>0</v>
      </c>
      <c r="J417" s="263">
        <v>0</v>
      </c>
      <c r="K417" s="263">
        <v>8807177</v>
      </c>
      <c r="L417" s="263">
        <v>7454439</v>
      </c>
      <c r="M417" s="263">
        <v>124</v>
      </c>
      <c r="N417" s="263">
        <v>124</v>
      </c>
    </row>
    <row r="418" spans="1:14" s="156" customFormat="1" x14ac:dyDescent="0.25">
      <c r="A418" s="262" t="s">
        <v>546</v>
      </c>
      <c r="B418" s="262" t="s">
        <v>340</v>
      </c>
      <c r="C418" s="262" t="s">
        <v>341</v>
      </c>
      <c r="D418" s="262" t="s">
        <v>541</v>
      </c>
      <c r="E418" s="263">
        <v>208494000</v>
      </c>
      <c r="F418" s="263">
        <v>473602562</v>
      </c>
      <c r="G418" s="263">
        <v>473602562</v>
      </c>
      <c r="H418" s="263">
        <v>0</v>
      </c>
      <c r="I418" s="263">
        <v>0</v>
      </c>
      <c r="J418" s="263">
        <v>0</v>
      </c>
      <c r="K418" s="263">
        <v>201937722.47</v>
      </c>
      <c r="L418" s="263">
        <v>10273963.24</v>
      </c>
      <c r="M418" s="263">
        <v>271664839.52999997</v>
      </c>
      <c r="N418" s="263">
        <v>271664839.52999997</v>
      </c>
    </row>
    <row r="419" spans="1:14" s="156" customFormat="1" x14ac:dyDescent="0.25">
      <c r="A419" s="262" t="s">
        <v>546</v>
      </c>
      <c r="B419" s="262" t="s">
        <v>342</v>
      </c>
      <c r="C419" s="262" t="s">
        <v>343</v>
      </c>
      <c r="D419" s="262" t="s">
        <v>541</v>
      </c>
      <c r="E419" s="263">
        <v>0</v>
      </c>
      <c r="F419" s="263">
        <v>240044532</v>
      </c>
      <c r="G419" s="263">
        <v>240044532</v>
      </c>
      <c r="H419" s="263">
        <v>0</v>
      </c>
      <c r="I419" s="263">
        <v>0</v>
      </c>
      <c r="J419" s="263">
        <v>0</v>
      </c>
      <c r="K419" s="263">
        <v>0</v>
      </c>
      <c r="L419" s="263">
        <v>0</v>
      </c>
      <c r="M419" s="263">
        <v>240044532</v>
      </c>
      <c r="N419" s="263">
        <v>240044532</v>
      </c>
    </row>
    <row r="420" spans="1:14" s="156" customFormat="1" x14ac:dyDescent="0.25">
      <c r="A420" s="262" t="s">
        <v>546</v>
      </c>
      <c r="B420" s="262" t="s">
        <v>342</v>
      </c>
      <c r="C420" s="262" t="s">
        <v>343</v>
      </c>
      <c r="D420" s="262" t="s">
        <v>543</v>
      </c>
      <c r="E420" s="263">
        <v>208494000</v>
      </c>
      <c r="F420" s="263">
        <v>233558030</v>
      </c>
      <c r="G420" s="263">
        <v>233558030</v>
      </c>
      <c r="H420" s="263">
        <v>0</v>
      </c>
      <c r="I420" s="263">
        <v>0</v>
      </c>
      <c r="J420" s="263">
        <v>0</v>
      </c>
      <c r="K420" s="263">
        <v>201937722.47</v>
      </c>
      <c r="L420" s="263">
        <v>10273963.24</v>
      </c>
      <c r="M420" s="263">
        <v>31620307.530000001</v>
      </c>
      <c r="N420" s="263">
        <v>31620307.530000001</v>
      </c>
    </row>
    <row r="421" spans="1:14" s="156" customFormat="1" x14ac:dyDescent="0.25">
      <c r="A421" s="262" t="s">
        <v>546</v>
      </c>
      <c r="B421" s="262" t="s">
        <v>251</v>
      </c>
      <c r="C421" s="262" t="s">
        <v>252</v>
      </c>
      <c r="D421" s="262" t="s">
        <v>541</v>
      </c>
      <c r="E421" s="263">
        <v>11597046000</v>
      </c>
      <c r="F421" s="263">
        <v>11973417380</v>
      </c>
      <c r="G421" s="263">
        <v>11973417380</v>
      </c>
      <c r="H421" s="263">
        <v>0</v>
      </c>
      <c r="I421" s="263">
        <v>0</v>
      </c>
      <c r="J421" s="263">
        <v>0</v>
      </c>
      <c r="K421" s="263">
        <v>11716528010.66</v>
      </c>
      <c r="L421" s="263">
        <v>11716528010.66</v>
      </c>
      <c r="M421" s="263">
        <v>256889369.34</v>
      </c>
      <c r="N421" s="263">
        <v>256889369.34</v>
      </c>
    </row>
    <row r="422" spans="1:14" s="156" customFormat="1" x14ac:dyDescent="0.25">
      <c r="A422" s="262" t="s">
        <v>546</v>
      </c>
      <c r="B422" s="262" t="s">
        <v>253</v>
      </c>
      <c r="C422" s="262" t="s">
        <v>254</v>
      </c>
      <c r="D422" s="262" t="s">
        <v>541</v>
      </c>
      <c r="E422" s="263">
        <v>9955805000</v>
      </c>
      <c r="F422" s="263">
        <v>9871264208</v>
      </c>
      <c r="G422" s="263">
        <v>9871264208</v>
      </c>
      <c r="H422" s="263">
        <v>0</v>
      </c>
      <c r="I422" s="263">
        <v>0</v>
      </c>
      <c r="J422" s="263">
        <v>0</v>
      </c>
      <c r="K422" s="263">
        <v>9724323817.8999996</v>
      </c>
      <c r="L422" s="263">
        <v>9724323817.8999996</v>
      </c>
      <c r="M422" s="263">
        <v>146940390.09999999</v>
      </c>
      <c r="N422" s="263">
        <v>146940390.09999999</v>
      </c>
    </row>
    <row r="423" spans="1:14" s="156" customFormat="1" x14ac:dyDescent="0.25">
      <c r="A423" s="262" t="s">
        <v>546</v>
      </c>
      <c r="B423" s="262" t="s">
        <v>368</v>
      </c>
      <c r="C423" s="262" t="s">
        <v>369</v>
      </c>
      <c r="D423" s="262" t="s">
        <v>541</v>
      </c>
      <c r="E423" s="263">
        <v>80000000</v>
      </c>
      <c r="F423" s="263">
        <v>0</v>
      </c>
      <c r="G423" s="263">
        <v>0</v>
      </c>
      <c r="H423" s="263">
        <v>0</v>
      </c>
      <c r="I423" s="263">
        <v>0</v>
      </c>
      <c r="J423" s="263">
        <v>0</v>
      </c>
      <c r="K423" s="263">
        <v>0</v>
      </c>
      <c r="L423" s="263">
        <v>0</v>
      </c>
      <c r="M423" s="263">
        <v>0</v>
      </c>
      <c r="N423" s="263">
        <v>0</v>
      </c>
    </row>
    <row r="424" spans="1:14" s="156" customFormat="1" x14ac:dyDescent="0.25">
      <c r="A424" s="262" t="s">
        <v>546</v>
      </c>
      <c r="B424" s="262" t="s">
        <v>370</v>
      </c>
      <c r="C424" s="262" t="s">
        <v>602</v>
      </c>
      <c r="D424" s="262" t="s">
        <v>541</v>
      </c>
      <c r="E424" s="263">
        <v>673849000</v>
      </c>
      <c r="F424" s="263">
        <v>670070086</v>
      </c>
      <c r="G424" s="263">
        <v>670070086</v>
      </c>
      <c r="H424" s="263">
        <v>0</v>
      </c>
      <c r="I424" s="263">
        <v>0</v>
      </c>
      <c r="J424" s="263">
        <v>0</v>
      </c>
      <c r="K424" s="263">
        <v>637207182</v>
      </c>
      <c r="L424" s="263">
        <v>637207182</v>
      </c>
      <c r="M424" s="263">
        <v>32862904</v>
      </c>
      <c r="N424" s="263">
        <v>32862904</v>
      </c>
    </row>
    <row r="425" spans="1:14" s="156" customFormat="1" x14ac:dyDescent="0.25">
      <c r="A425" s="262" t="s">
        <v>546</v>
      </c>
      <c r="B425" s="262" t="s">
        <v>371</v>
      </c>
      <c r="C425" s="262" t="s">
        <v>603</v>
      </c>
      <c r="D425" s="262" t="s">
        <v>541</v>
      </c>
      <c r="E425" s="263">
        <v>135856000</v>
      </c>
      <c r="F425" s="263">
        <v>135094122</v>
      </c>
      <c r="G425" s="263">
        <v>135094122</v>
      </c>
      <c r="H425" s="263">
        <v>0</v>
      </c>
      <c r="I425" s="263">
        <v>0</v>
      </c>
      <c r="J425" s="263">
        <v>0</v>
      </c>
      <c r="K425" s="263">
        <v>128469189</v>
      </c>
      <c r="L425" s="263">
        <v>128469189</v>
      </c>
      <c r="M425" s="263">
        <v>6624933</v>
      </c>
      <c r="N425" s="263">
        <v>6624933</v>
      </c>
    </row>
    <row r="426" spans="1:14" s="156" customFormat="1" x14ac:dyDescent="0.25">
      <c r="A426" s="262" t="s">
        <v>546</v>
      </c>
      <c r="B426" s="262" t="s">
        <v>606</v>
      </c>
      <c r="C426" s="262" t="s">
        <v>608</v>
      </c>
      <c r="D426" s="262" t="s">
        <v>543</v>
      </c>
      <c r="E426" s="263">
        <v>9066100000</v>
      </c>
      <c r="F426" s="263">
        <v>9066100000</v>
      </c>
      <c r="G426" s="263">
        <v>9066100000</v>
      </c>
      <c r="H426" s="263">
        <v>0</v>
      </c>
      <c r="I426" s="263">
        <v>0</v>
      </c>
      <c r="J426" s="263">
        <v>0</v>
      </c>
      <c r="K426" s="263">
        <v>8958647446.8999996</v>
      </c>
      <c r="L426" s="263">
        <v>8958647446.8999996</v>
      </c>
      <c r="M426" s="263">
        <v>107452553.09999999</v>
      </c>
      <c r="N426" s="263">
        <v>107452553.09999999</v>
      </c>
    </row>
    <row r="427" spans="1:14" s="189" customFormat="1" x14ac:dyDescent="0.25">
      <c r="A427" s="262" t="s">
        <v>546</v>
      </c>
      <c r="B427" s="262" t="s">
        <v>372</v>
      </c>
      <c r="C427" s="262" t="s">
        <v>373</v>
      </c>
      <c r="D427" s="262" t="s">
        <v>541</v>
      </c>
      <c r="E427" s="263">
        <v>550000000</v>
      </c>
      <c r="F427" s="263">
        <v>530000000</v>
      </c>
      <c r="G427" s="263">
        <v>530000000</v>
      </c>
      <c r="H427" s="263">
        <v>0</v>
      </c>
      <c r="I427" s="263">
        <v>0</v>
      </c>
      <c r="J427" s="263">
        <v>0</v>
      </c>
      <c r="K427" s="263">
        <v>530000000</v>
      </c>
      <c r="L427" s="263">
        <v>530000000</v>
      </c>
      <c r="M427" s="263">
        <v>0</v>
      </c>
      <c r="N427" s="263">
        <v>0</v>
      </c>
    </row>
    <row r="428" spans="1:14" s="156" customFormat="1" x14ac:dyDescent="0.25">
      <c r="A428" s="262" t="s">
        <v>546</v>
      </c>
      <c r="B428" s="262" t="s">
        <v>374</v>
      </c>
      <c r="C428" s="262" t="s">
        <v>375</v>
      </c>
      <c r="D428" s="262" t="s">
        <v>541</v>
      </c>
      <c r="E428" s="263">
        <v>550000000</v>
      </c>
      <c r="F428" s="263">
        <v>530000000</v>
      </c>
      <c r="G428" s="263">
        <v>530000000</v>
      </c>
      <c r="H428" s="263">
        <v>0</v>
      </c>
      <c r="I428" s="263">
        <v>0</v>
      </c>
      <c r="J428" s="263">
        <v>0</v>
      </c>
      <c r="K428" s="263">
        <v>530000000</v>
      </c>
      <c r="L428" s="263">
        <v>530000000</v>
      </c>
      <c r="M428" s="263">
        <v>0</v>
      </c>
      <c r="N428" s="263">
        <v>0</v>
      </c>
    </row>
    <row r="429" spans="1:14" s="156" customFormat="1" x14ac:dyDescent="0.25">
      <c r="A429" s="262" t="s">
        <v>546</v>
      </c>
      <c r="B429" s="262" t="s">
        <v>261</v>
      </c>
      <c r="C429" s="262" t="s">
        <v>262</v>
      </c>
      <c r="D429" s="262" t="s">
        <v>541</v>
      </c>
      <c r="E429" s="263">
        <v>1002889000</v>
      </c>
      <c r="F429" s="263">
        <v>1333801172</v>
      </c>
      <c r="G429" s="263">
        <v>1333801172</v>
      </c>
      <c r="H429" s="263">
        <v>0</v>
      </c>
      <c r="I429" s="263">
        <v>0</v>
      </c>
      <c r="J429" s="263">
        <v>0</v>
      </c>
      <c r="K429" s="263">
        <v>1307821004.03</v>
      </c>
      <c r="L429" s="263">
        <v>1307821004.03</v>
      </c>
      <c r="M429" s="263">
        <v>25980167.969999999</v>
      </c>
      <c r="N429" s="263">
        <v>25980167.969999999</v>
      </c>
    </row>
    <row r="430" spans="1:14" s="156" customFormat="1" x14ac:dyDescent="0.25">
      <c r="A430" s="262" t="s">
        <v>546</v>
      </c>
      <c r="B430" s="262" t="s">
        <v>263</v>
      </c>
      <c r="C430" s="262" t="s">
        <v>264</v>
      </c>
      <c r="D430" s="262" t="s">
        <v>541</v>
      </c>
      <c r="E430" s="263">
        <v>657462000</v>
      </c>
      <c r="F430" s="263">
        <v>958374172</v>
      </c>
      <c r="G430" s="263">
        <v>958374172</v>
      </c>
      <c r="H430" s="263">
        <v>0</v>
      </c>
      <c r="I430" s="263">
        <v>0</v>
      </c>
      <c r="J430" s="263">
        <v>0</v>
      </c>
      <c r="K430" s="263">
        <v>940812980.33000004</v>
      </c>
      <c r="L430" s="263">
        <v>940812980.33000004</v>
      </c>
      <c r="M430" s="263">
        <v>17561191.670000002</v>
      </c>
      <c r="N430" s="263">
        <v>17561191.670000002</v>
      </c>
    </row>
    <row r="431" spans="1:14" s="156" customFormat="1" x14ac:dyDescent="0.25">
      <c r="A431" s="262" t="s">
        <v>546</v>
      </c>
      <c r="B431" s="262" t="s">
        <v>265</v>
      </c>
      <c r="C431" s="262" t="s">
        <v>266</v>
      </c>
      <c r="D431" s="262" t="s">
        <v>541</v>
      </c>
      <c r="E431" s="263">
        <v>345427000</v>
      </c>
      <c r="F431" s="263">
        <v>375427000</v>
      </c>
      <c r="G431" s="263">
        <v>375427000</v>
      </c>
      <c r="H431" s="263">
        <v>0</v>
      </c>
      <c r="I431" s="263">
        <v>0</v>
      </c>
      <c r="J431" s="263">
        <v>0</v>
      </c>
      <c r="K431" s="263">
        <v>367008023.69999999</v>
      </c>
      <c r="L431" s="263">
        <v>367008023.69999999</v>
      </c>
      <c r="M431" s="263">
        <v>8418976.3000000007</v>
      </c>
      <c r="N431" s="263">
        <v>8418976.3000000007</v>
      </c>
    </row>
    <row r="432" spans="1:14" s="156" customFormat="1" x14ac:dyDescent="0.25">
      <c r="A432" s="262" t="s">
        <v>546</v>
      </c>
      <c r="B432" s="262" t="s">
        <v>267</v>
      </c>
      <c r="C432" s="262" t="s">
        <v>268</v>
      </c>
      <c r="D432" s="262" t="s">
        <v>541</v>
      </c>
      <c r="E432" s="263">
        <v>88352000</v>
      </c>
      <c r="F432" s="263">
        <v>238352000</v>
      </c>
      <c r="G432" s="263">
        <v>238352000</v>
      </c>
      <c r="H432" s="263">
        <v>0</v>
      </c>
      <c r="I432" s="263">
        <v>0</v>
      </c>
      <c r="J432" s="263">
        <v>0</v>
      </c>
      <c r="K432" s="263">
        <v>154383188.72999999</v>
      </c>
      <c r="L432" s="263">
        <v>154383188.72999999</v>
      </c>
      <c r="M432" s="263">
        <v>83968811.269999996</v>
      </c>
      <c r="N432" s="263">
        <v>83968811.269999996</v>
      </c>
    </row>
    <row r="433" spans="1:14" s="156" customFormat="1" x14ac:dyDescent="0.25">
      <c r="A433" s="262" t="s">
        <v>546</v>
      </c>
      <c r="B433" s="262" t="s">
        <v>269</v>
      </c>
      <c r="C433" s="262" t="s">
        <v>270</v>
      </c>
      <c r="D433" s="262" t="s">
        <v>541</v>
      </c>
      <c r="E433" s="263">
        <v>65000000</v>
      </c>
      <c r="F433" s="263">
        <v>215000000</v>
      </c>
      <c r="G433" s="263">
        <v>215000000</v>
      </c>
      <c r="H433" s="263">
        <v>0</v>
      </c>
      <c r="I433" s="263">
        <v>0</v>
      </c>
      <c r="J433" s="263">
        <v>0</v>
      </c>
      <c r="K433" s="263">
        <v>145742817.68000001</v>
      </c>
      <c r="L433" s="263">
        <v>145742817.68000001</v>
      </c>
      <c r="M433" s="263">
        <v>69257182.319999993</v>
      </c>
      <c r="N433" s="263">
        <v>69257182.319999993</v>
      </c>
    </row>
    <row r="434" spans="1:14" s="156" customFormat="1" x14ac:dyDescent="0.25">
      <c r="A434" s="262" t="s">
        <v>546</v>
      </c>
      <c r="B434" s="262" t="s">
        <v>271</v>
      </c>
      <c r="C434" s="262" t="s">
        <v>272</v>
      </c>
      <c r="D434" s="262" t="s">
        <v>541</v>
      </c>
      <c r="E434" s="263">
        <v>23352000</v>
      </c>
      <c r="F434" s="263">
        <v>23352000</v>
      </c>
      <c r="G434" s="263">
        <v>23352000</v>
      </c>
      <c r="H434" s="263">
        <v>0</v>
      </c>
      <c r="I434" s="263">
        <v>0</v>
      </c>
      <c r="J434" s="263">
        <v>0</v>
      </c>
      <c r="K434" s="263">
        <v>8640371.0500000007</v>
      </c>
      <c r="L434" s="263">
        <v>8640371.0500000007</v>
      </c>
      <c r="M434" s="263">
        <v>14711628.949999999</v>
      </c>
      <c r="N434" s="263">
        <v>14711628.949999999</v>
      </c>
    </row>
    <row r="435" spans="1:14" s="156" customFormat="1" x14ac:dyDescent="0.25">
      <c r="A435" s="262" t="s">
        <v>546</v>
      </c>
      <c r="B435" s="262" t="s">
        <v>376</v>
      </c>
      <c r="C435" s="262" t="s">
        <v>377</v>
      </c>
      <c r="D435" s="262" t="s">
        <v>543</v>
      </c>
      <c r="E435" s="263">
        <v>573100000</v>
      </c>
      <c r="F435" s="263">
        <v>1938815591.4200001</v>
      </c>
      <c r="G435" s="263">
        <v>1938815591.4200001</v>
      </c>
      <c r="H435" s="263">
        <v>0</v>
      </c>
      <c r="I435" s="263">
        <v>93466512.689999998</v>
      </c>
      <c r="J435" s="263">
        <v>0</v>
      </c>
      <c r="K435" s="263">
        <v>1845349074</v>
      </c>
      <c r="L435" s="263">
        <v>1845349074</v>
      </c>
      <c r="M435" s="263">
        <v>4.7300000000000004</v>
      </c>
      <c r="N435" s="263">
        <v>4.7300000000000004</v>
      </c>
    </row>
    <row r="436" spans="1:14" s="156" customFormat="1" x14ac:dyDescent="0.25">
      <c r="A436" s="262" t="s">
        <v>546</v>
      </c>
      <c r="B436" s="262" t="s">
        <v>378</v>
      </c>
      <c r="C436" s="262" t="s">
        <v>379</v>
      </c>
      <c r="D436" s="262" t="s">
        <v>543</v>
      </c>
      <c r="E436" s="263">
        <v>573100000</v>
      </c>
      <c r="F436" s="263">
        <v>1938815591.4200001</v>
      </c>
      <c r="G436" s="263">
        <v>1938815591.4200001</v>
      </c>
      <c r="H436" s="263">
        <v>0</v>
      </c>
      <c r="I436" s="263">
        <v>93466512.689999998</v>
      </c>
      <c r="J436" s="263">
        <v>0</v>
      </c>
      <c r="K436" s="263">
        <v>1845349074</v>
      </c>
      <c r="L436" s="263">
        <v>1845349074</v>
      </c>
      <c r="M436" s="263">
        <v>4.7300000000000004</v>
      </c>
      <c r="N436" s="263">
        <v>4.7300000000000004</v>
      </c>
    </row>
    <row r="437" spans="1:14" s="156" customFormat="1" x14ac:dyDescent="0.25">
      <c r="A437" s="262" t="s">
        <v>546</v>
      </c>
      <c r="B437" s="262" t="s">
        <v>380</v>
      </c>
      <c r="C437" s="262" t="s">
        <v>381</v>
      </c>
      <c r="D437" s="262" t="s">
        <v>543</v>
      </c>
      <c r="E437" s="263">
        <v>573100000</v>
      </c>
      <c r="F437" s="263">
        <v>1845349074</v>
      </c>
      <c r="G437" s="263">
        <v>1845349074</v>
      </c>
      <c r="H437" s="263">
        <v>0</v>
      </c>
      <c r="I437" s="263">
        <v>0</v>
      </c>
      <c r="J437" s="263">
        <v>0</v>
      </c>
      <c r="K437" s="263">
        <v>1845349074</v>
      </c>
      <c r="L437" s="263">
        <v>1845349074</v>
      </c>
      <c r="M437" s="263">
        <v>0</v>
      </c>
      <c r="N437" s="263">
        <v>0</v>
      </c>
    </row>
    <row r="438" spans="1:14" s="156" customFormat="1" x14ac:dyDescent="0.25">
      <c r="A438" s="262" t="s">
        <v>546</v>
      </c>
      <c r="B438" s="262" t="s">
        <v>404</v>
      </c>
      <c r="C438" s="262" t="s">
        <v>656</v>
      </c>
      <c r="D438" s="262" t="s">
        <v>657</v>
      </c>
      <c r="E438" s="263">
        <v>0</v>
      </c>
      <c r="F438" s="263">
        <v>93466517.420000002</v>
      </c>
      <c r="G438" s="263">
        <v>93466517.420000002</v>
      </c>
      <c r="H438" s="263">
        <v>0</v>
      </c>
      <c r="I438" s="263">
        <v>93466512.689999998</v>
      </c>
      <c r="J438" s="263">
        <v>0</v>
      </c>
      <c r="K438" s="263">
        <v>0</v>
      </c>
      <c r="L438" s="263">
        <v>0</v>
      </c>
      <c r="M438" s="263">
        <v>4.7300000000000004</v>
      </c>
      <c r="N438" s="263">
        <v>4.7300000000000004</v>
      </c>
    </row>
    <row r="439" spans="1:14" s="156" customFormat="1" x14ac:dyDescent="0.25">
      <c r="A439" s="262">
        <v>214784</v>
      </c>
      <c r="B439" s="262" t="s">
        <v>587</v>
      </c>
      <c r="C439" s="262" t="s">
        <v>587</v>
      </c>
      <c r="D439" s="262" t="s">
        <v>541</v>
      </c>
      <c r="E439" s="263">
        <v>13837611334</v>
      </c>
      <c r="F439" s="263">
        <v>13423938467</v>
      </c>
      <c r="G439" s="263">
        <v>13422947262</v>
      </c>
      <c r="H439" s="263">
        <v>0</v>
      </c>
      <c r="I439" s="263">
        <v>0</v>
      </c>
      <c r="J439" s="263">
        <v>0</v>
      </c>
      <c r="K439" s="263">
        <v>12611805594.5</v>
      </c>
      <c r="L439" s="263">
        <v>12611805594.5</v>
      </c>
      <c r="M439" s="263">
        <v>812132872.5</v>
      </c>
      <c r="N439" s="263">
        <v>811141667.5</v>
      </c>
    </row>
    <row r="440" spans="1:14" s="156" customFormat="1" x14ac:dyDescent="0.25">
      <c r="A440" s="262" t="s">
        <v>547</v>
      </c>
      <c r="B440" s="262" t="s">
        <v>92</v>
      </c>
      <c r="C440" s="262" t="s">
        <v>93</v>
      </c>
      <c r="D440" s="262" t="s">
        <v>541</v>
      </c>
      <c r="E440" s="263">
        <v>13313316000</v>
      </c>
      <c r="F440" s="263">
        <v>12820517902</v>
      </c>
      <c r="G440" s="263">
        <v>12820057202</v>
      </c>
      <c r="H440" s="263">
        <v>0</v>
      </c>
      <c r="I440" s="263">
        <v>0</v>
      </c>
      <c r="J440" s="263">
        <v>0</v>
      </c>
      <c r="K440" s="263">
        <v>12038952284.389999</v>
      </c>
      <c r="L440" s="263">
        <v>12038952284.389999</v>
      </c>
      <c r="M440" s="263">
        <v>781565617.61000001</v>
      </c>
      <c r="N440" s="263">
        <v>781104917.61000001</v>
      </c>
    </row>
    <row r="441" spans="1:14" s="156" customFormat="1" x14ac:dyDescent="0.25">
      <c r="A441" s="262" t="s">
        <v>547</v>
      </c>
      <c r="B441" s="262" t="s">
        <v>94</v>
      </c>
      <c r="C441" s="262" t="s">
        <v>95</v>
      </c>
      <c r="D441" s="262" t="s">
        <v>541</v>
      </c>
      <c r="E441" s="263">
        <v>4473382000</v>
      </c>
      <c r="F441" s="263">
        <v>4227607925</v>
      </c>
      <c r="G441" s="263">
        <v>4227607925</v>
      </c>
      <c r="H441" s="263">
        <v>0</v>
      </c>
      <c r="I441" s="263">
        <v>0</v>
      </c>
      <c r="J441" s="263">
        <v>0</v>
      </c>
      <c r="K441" s="263">
        <v>3948115612.3699999</v>
      </c>
      <c r="L441" s="263">
        <v>3948115612.3699999</v>
      </c>
      <c r="M441" s="263">
        <v>279492312.63</v>
      </c>
      <c r="N441" s="263">
        <v>279492312.63</v>
      </c>
    </row>
    <row r="442" spans="1:14" s="156" customFormat="1" x14ac:dyDescent="0.25">
      <c r="A442" s="262" t="s">
        <v>547</v>
      </c>
      <c r="B442" s="262" t="s">
        <v>96</v>
      </c>
      <c r="C442" s="262" t="s">
        <v>97</v>
      </c>
      <c r="D442" s="262" t="s">
        <v>541</v>
      </c>
      <c r="E442" s="263">
        <v>4473382000</v>
      </c>
      <c r="F442" s="263">
        <v>4227607925</v>
      </c>
      <c r="G442" s="263">
        <v>4227607925</v>
      </c>
      <c r="H442" s="263">
        <v>0</v>
      </c>
      <c r="I442" s="263">
        <v>0</v>
      </c>
      <c r="J442" s="263">
        <v>0</v>
      </c>
      <c r="K442" s="263">
        <v>3948115612.3699999</v>
      </c>
      <c r="L442" s="263">
        <v>3948115612.3699999</v>
      </c>
      <c r="M442" s="263">
        <v>279492312.63</v>
      </c>
      <c r="N442" s="263">
        <v>279492312.63</v>
      </c>
    </row>
    <row r="443" spans="1:14" s="156" customFormat="1" x14ac:dyDescent="0.25">
      <c r="A443" s="262" t="s">
        <v>547</v>
      </c>
      <c r="B443" s="262" t="s">
        <v>102</v>
      </c>
      <c r="C443" s="262" t="s">
        <v>103</v>
      </c>
      <c r="D443" s="262" t="s">
        <v>541</v>
      </c>
      <c r="E443" s="263">
        <v>6745487000</v>
      </c>
      <c r="F443" s="263">
        <v>6561704118</v>
      </c>
      <c r="G443" s="263">
        <v>6561704118</v>
      </c>
      <c r="H443" s="263">
        <v>0</v>
      </c>
      <c r="I443" s="263">
        <v>0</v>
      </c>
      <c r="J443" s="263">
        <v>0</v>
      </c>
      <c r="K443" s="263">
        <v>6240606481.8800001</v>
      </c>
      <c r="L443" s="263">
        <v>6240606481.8800001</v>
      </c>
      <c r="M443" s="263">
        <v>321097636.12</v>
      </c>
      <c r="N443" s="263">
        <v>321097636.12</v>
      </c>
    </row>
    <row r="444" spans="1:14" s="156" customFormat="1" x14ac:dyDescent="0.25">
      <c r="A444" s="262" t="s">
        <v>547</v>
      </c>
      <c r="B444" s="262" t="s">
        <v>104</v>
      </c>
      <c r="C444" s="262" t="s">
        <v>105</v>
      </c>
      <c r="D444" s="262" t="s">
        <v>541</v>
      </c>
      <c r="E444" s="263">
        <v>1460185000</v>
      </c>
      <c r="F444" s="263">
        <v>1384875260</v>
      </c>
      <c r="G444" s="263">
        <v>1384875260</v>
      </c>
      <c r="H444" s="263">
        <v>0</v>
      </c>
      <c r="I444" s="263">
        <v>0</v>
      </c>
      <c r="J444" s="263">
        <v>0</v>
      </c>
      <c r="K444" s="263">
        <v>1302392594.24</v>
      </c>
      <c r="L444" s="263">
        <v>1302392594.24</v>
      </c>
      <c r="M444" s="263">
        <v>82482665.760000005</v>
      </c>
      <c r="N444" s="263">
        <v>82482665.760000005</v>
      </c>
    </row>
    <row r="445" spans="1:14" s="156" customFormat="1" x14ac:dyDescent="0.25">
      <c r="A445" s="262" t="s">
        <v>547</v>
      </c>
      <c r="B445" s="262" t="s">
        <v>106</v>
      </c>
      <c r="C445" s="262" t="s">
        <v>107</v>
      </c>
      <c r="D445" s="262" t="s">
        <v>541</v>
      </c>
      <c r="E445" s="263">
        <v>2519609000</v>
      </c>
      <c r="F445" s="263">
        <v>2470861258</v>
      </c>
      <c r="G445" s="263">
        <v>2470861258</v>
      </c>
      <c r="H445" s="263">
        <v>0</v>
      </c>
      <c r="I445" s="263">
        <v>0</v>
      </c>
      <c r="J445" s="263">
        <v>0</v>
      </c>
      <c r="K445" s="263">
        <v>2305003560.4899998</v>
      </c>
      <c r="L445" s="263">
        <v>2305003560.4899998</v>
      </c>
      <c r="M445" s="263">
        <v>165857697.50999999</v>
      </c>
      <c r="N445" s="263">
        <v>165857697.50999999</v>
      </c>
    </row>
    <row r="446" spans="1:14" s="156" customFormat="1" x14ac:dyDescent="0.25">
      <c r="A446" s="262" t="s">
        <v>547</v>
      </c>
      <c r="B446" s="262" t="s">
        <v>112</v>
      </c>
      <c r="C446" s="262" t="s">
        <v>113</v>
      </c>
      <c r="D446" s="262" t="s">
        <v>543</v>
      </c>
      <c r="E446" s="263">
        <v>830335000</v>
      </c>
      <c r="F446" s="263">
        <v>241669.22</v>
      </c>
      <c r="G446" s="263">
        <v>241669.22</v>
      </c>
      <c r="H446" s="263">
        <v>0</v>
      </c>
      <c r="I446" s="263">
        <v>0</v>
      </c>
      <c r="J446" s="263">
        <v>0</v>
      </c>
      <c r="K446" s="263">
        <v>241669.22</v>
      </c>
      <c r="L446" s="263">
        <v>241669.22</v>
      </c>
      <c r="M446" s="263">
        <v>0</v>
      </c>
      <c r="N446" s="263">
        <v>0</v>
      </c>
    </row>
    <row r="447" spans="1:14" s="156" customFormat="1" x14ac:dyDescent="0.25">
      <c r="A447" s="262" t="s">
        <v>547</v>
      </c>
      <c r="B447" s="262" t="s">
        <v>112</v>
      </c>
      <c r="C447" s="262" t="s">
        <v>113</v>
      </c>
      <c r="D447" s="262" t="s">
        <v>655</v>
      </c>
      <c r="E447" s="263">
        <v>0</v>
      </c>
      <c r="F447" s="263">
        <v>811702130.77999997</v>
      </c>
      <c r="G447" s="263">
        <v>811702130.77999997</v>
      </c>
      <c r="H447" s="263">
        <v>0</v>
      </c>
      <c r="I447" s="263">
        <v>0</v>
      </c>
      <c r="J447" s="263">
        <v>0</v>
      </c>
      <c r="K447" s="263">
        <v>796865379.09000003</v>
      </c>
      <c r="L447" s="263">
        <v>796865379.09000003</v>
      </c>
      <c r="M447" s="263">
        <v>14836751.689999999</v>
      </c>
      <c r="N447" s="263">
        <v>14836751.689999999</v>
      </c>
    </row>
    <row r="448" spans="1:14" s="156" customFormat="1" x14ac:dyDescent="0.25">
      <c r="A448" s="262" t="s">
        <v>547</v>
      </c>
      <c r="B448" s="262" t="s">
        <v>108</v>
      </c>
      <c r="C448" s="262" t="s">
        <v>109</v>
      </c>
      <c r="D448" s="262" t="s">
        <v>541</v>
      </c>
      <c r="E448" s="263">
        <v>738904000</v>
      </c>
      <c r="F448" s="263">
        <v>738904000</v>
      </c>
      <c r="G448" s="263">
        <v>738904000</v>
      </c>
      <c r="H448" s="263">
        <v>0</v>
      </c>
      <c r="I448" s="263">
        <v>0</v>
      </c>
      <c r="J448" s="263">
        <v>0</v>
      </c>
      <c r="K448" s="263">
        <v>737019487.25</v>
      </c>
      <c r="L448" s="263">
        <v>737019487.25</v>
      </c>
      <c r="M448" s="263">
        <v>1884512.75</v>
      </c>
      <c r="N448" s="263">
        <v>1884512.75</v>
      </c>
    </row>
    <row r="449" spans="1:14" s="156" customFormat="1" x14ac:dyDescent="0.25">
      <c r="A449" s="262" t="s">
        <v>547</v>
      </c>
      <c r="B449" s="262" t="s">
        <v>110</v>
      </c>
      <c r="C449" s="262" t="s">
        <v>111</v>
      </c>
      <c r="D449" s="262" t="s">
        <v>541</v>
      </c>
      <c r="E449" s="263">
        <v>1196454000</v>
      </c>
      <c r="F449" s="263">
        <v>1155119800</v>
      </c>
      <c r="G449" s="263">
        <v>1155119800</v>
      </c>
      <c r="H449" s="263">
        <v>0</v>
      </c>
      <c r="I449" s="263">
        <v>0</v>
      </c>
      <c r="J449" s="263">
        <v>0</v>
      </c>
      <c r="K449" s="263">
        <v>1099083791.5899999</v>
      </c>
      <c r="L449" s="263">
        <v>1099083791.5899999</v>
      </c>
      <c r="M449" s="263">
        <v>56036008.409999996</v>
      </c>
      <c r="N449" s="263">
        <v>56036008.409999996</v>
      </c>
    </row>
    <row r="450" spans="1:14" s="156" customFormat="1" x14ac:dyDescent="0.25">
      <c r="A450" s="262" t="s">
        <v>547</v>
      </c>
      <c r="B450" s="262" t="s">
        <v>114</v>
      </c>
      <c r="C450" s="262" t="s">
        <v>115</v>
      </c>
      <c r="D450" s="262" t="s">
        <v>541</v>
      </c>
      <c r="E450" s="263">
        <v>1012881000</v>
      </c>
      <c r="F450" s="263">
        <v>980982338</v>
      </c>
      <c r="G450" s="263">
        <v>980982338</v>
      </c>
      <c r="H450" s="263">
        <v>0</v>
      </c>
      <c r="I450" s="263">
        <v>0</v>
      </c>
      <c r="J450" s="263">
        <v>0</v>
      </c>
      <c r="K450" s="263">
        <v>919628014</v>
      </c>
      <c r="L450" s="263">
        <v>919628014</v>
      </c>
      <c r="M450" s="263">
        <v>61354324</v>
      </c>
      <c r="N450" s="263">
        <v>61354324</v>
      </c>
    </row>
    <row r="451" spans="1:14" s="156" customFormat="1" x14ac:dyDescent="0.25">
      <c r="A451" s="262" t="s">
        <v>547</v>
      </c>
      <c r="B451" s="262" t="s">
        <v>382</v>
      </c>
      <c r="C451" s="262" t="s">
        <v>597</v>
      </c>
      <c r="D451" s="262" t="s">
        <v>541</v>
      </c>
      <c r="E451" s="263">
        <v>960939000</v>
      </c>
      <c r="F451" s="263">
        <v>930676167</v>
      </c>
      <c r="G451" s="263">
        <v>930676167</v>
      </c>
      <c r="H451" s="263">
        <v>0</v>
      </c>
      <c r="I451" s="263">
        <v>0</v>
      </c>
      <c r="J451" s="263">
        <v>0</v>
      </c>
      <c r="K451" s="263">
        <v>872469916</v>
      </c>
      <c r="L451" s="263">
        <v>872469916</v>
      </c>
      <c r="M451" s="263">
        <v>58206251</v>
      </c>
      <c r="N451" s="263">
        <v>58206251</v>
      </c>
    </row>
    <row r="452" spans="1:14" x14ac:dyDescent="0.25">
      <c r="A452" s="262" t="s">
        <v>547</v>
      </c>
      <c r="B452" s="262" t="s">
        <v>383</v>
      </c>
      <c r="C452" s="262" t="s">
        <v>583</v>
      </c>
      <c r="D452" s="262" t="s">
        <v>541</v>
      </c>
      <c r="E452" s="263">
        <v>51942000</v>
      </c>
      <c r="F452" s="263">
        <v>50306171</v>
      </c>
      <c r="G452" s="263">
        <v>50306171</v>
      </c>
      <c r="H452" s="263">
        <v>0</v>
      </c>
      <c r="I452" s="263">
        <v>0</v>
      </c>
      <c r="J452" s="263">
        <v>0</v>
      </c>
      <c r="K452" s="263">
        <v>47158098</v>
      </c>
      <c r="L452" s="263">
        <v>47158098</v>
      </c>
      <c r="M452" s="263">
        <v>3148073</v>
      </c>
      <c r="N452" s="263">
        <v>3148073</v>
      </c>
    </row>
    <row r="453" spans="1:14" x14ac:dyDescent="0.25">
      <c r="A453" s="262" t="s">
        <v>547</v>
      </c>
      <c r="B453" s="262" t="s">
        <v>118</v>
      </c>
      <c r="C453" s="262" t="s">
        <v>119</v>
      </c>
      <c r="D453" s="262" t="s">
        <v>541</v>
      </c>
      <c r="E453" s="263">
        <v>1081566000</v>
      </c>
      <c r="F453" s="263">
        <v>1050223521</v>
      </c>
      <c r="G453" s="263">
        <v>1049762821</v>
      </c>
      <c r="H453" s="263">
        <v>0</v>
      </c>
      <c r="I453" s="263">
        <v>0</v>
      </c>
      <c r="J453" s="263">
        <v>0</v>
      </c>
      <c r="K453" s="263">
        <v>930602176.13999999</v>
      </c>
      <c r="L453" s="263">
        <v>930602176.13999999</v>
      </c>
      <c r="M453" s="263">
        <v>119621344.86</v>
      </c>
      <c r="N453" s="263">
        <v>119160644.86</v>
      </c>
    </row>
    <row r="454" spans="1:14" x14ac:dyDescent="0.25">
      <c r="A454" s="262" t="s">
        <v>547</v>
      </c>
      <c r="B454" s="262" t="s">
        <v>384</v>
      </c>
      <c r="C454" s="262" t="s">
        <v>598</v>
      </c>
      <c r="D454" s="262" t="s">
        <v>541</v>
      </c>
      <c r="E454" s="263">
        <v>527737000</v>
      </c>
      <c r="F454" s="263">
        <v>511116980</v>
      </c>
      <c r="G454" s="263">
        <v>510656280</v>
      </c>
      <c r="H454" s="263">
        <v>0</v>
      </c>
      <c r="I454" s="263">
        <v>0</v>
      </c>
      <c r="J454" s="263">
        <v>0</v>
      </c>
      <c r="K454" s="263">
        <v>423304300</v>
      </c>
      <c r="L454" s="263">
        <v>423304300</v>
      </c>
      <c r="M454" s="263">
        <v>87812680</v>
      </c>
      <c r="N454" s="263">
        <v>87351980</v>
      </c>
    </row>
    <row r="455" spans="1:14" s="156" customFormat="1" x14ac:dyDescent="0.25">
      <c r="A455" s="262" t="s">
        <v>547</v>
      </c>
      <c r="B455" s="262" t="s">
        <v>385</v>
      </c>
      <c r="C455" s="262" t="s">
        <v>599</v>
      </c>
      <c r="D455" s="262" t="s">
        <v>541</v>
      </c>
      <c r="E455" s="263">
        <v>155828000</v>
      </c>
      <c r="F455" s="263">
        <v>150920514</v>
      </c>
      <c r="G455" s="263">
        <v>150920514</v>
      </c>
      <c r="H455" s="263">
        <v>0</v>
      </c>
      <c r="I455" s="263">
        <v>0</v>
      </c>
      <c r="J455" s="263">
        <v>0</v>
      </c>
      <c r="K455" s="263">
        <v>141474337</v>
      </c>
      <c r="L455" s="263">
        <v>141474337</v>
      </c>
      <c r="M455" s="263">
        <v>9446177</v>
      </c>
      <c r="N455" s="263">
        <v>9446177</v>
      </c>
    </row>
    <row r="456" spans="1:14" x14ac:dyDescent="0.25">
      <c r="A456" s="262" t="s">
        <v>547</v>
      </c>
      <c r="B456" s="262" t="s">
        <v>386</v>
      </c>
      <c r="C456" s="262" t="s">
        <v>600</v>
      </c>
      <c r="D456" s="262" t="s">
        <v>541</v>
      </c>
      <c r="E456" s="263">
        <v>311656000</v>
      </c>
      <c r="F456" s="263">
        <v>301841027</v>
      </c>
      <c r="G456" s="263">
        <v>301841027</v>
      </c>
      <c r="H456" s="263">
        <v>0</v>
      </c>
      <c r="I456" s="263">
        <v>0</v>
      </c>
      <c r="J456" s="263">
        <v>0</v>
      </c>
      <c r="K456" s="263">
        <v>282948524</v>
      </c>
      <c r="L456" s="263">
        <v>282948524</v>
      </c>
      <c r="M456" s="263">
        <v>18892503</v>
      </c>
      <c r="N456" s="263">
        <v>18892503</v>
      </c>
    </row>
    <row r="457" spans="1:14" x14ac:dyDescent="0.25">
      <c r="A457" s="262" t="s">
        <v>547</v>
      </c>
      <c r="B457" s="262" t="s">
        <v>387</v>
      </c>
      <c r="C457" s="262" t="s">
        <v>388</v>
      </c>
      <c r="D457" s="262" t="s">
        <v>541</v>
      </c>
      <c r="E457" s="263">
        <v>86345000</v>
      </c>
      <c r="F457" s="263">
        <v>86345000</v>
      </c>
      <c r="G457" s="263">
        <v>86345000</v>
      </c>
      <c r="H457" s="263">
        <v>0</v>
      </c>
      <c r="I457" s="263">
        <v>0</v>
      </c>
      <c r="J457" s="263">
        <v>0</v>
      </c>
      <c r="K457" s="263">
        <v>82875015.140000001</v>
      </c>
      <c r="L457" s="263">
        <v>82875015.140000001</v>
      </c>
      <c r="M457" s="263">
        <v>3469984.86</v>
      </c>
      <c r="N457" s="263">
        <v>3469984.86</v>
      </c>
    </row>
    <row r="458" spans="1:14" x14ac:dyDescent="0.25">
      <c r="A458" s="262" t="s">
        <v>547</v>
      </c>
      <c r="B458" s="262" t="s">
        <v>123</v>
      </c>
      <c r="C458" s="262" t="s">
        <v>124</v>
      </c>
      <c r="D458" s="262" t="s">
        <v>541</v>
      </c>
      <c r="E458" s="263">
        <v>31730334</v>
      </c>
      <c r="F458" s="263">
        <v>43352799</v>
      </c>
      <c r="G458" s="263">
        <v>43352799</v>
      </c>
      <c r="H458" s="263">
        <v>0</v>
      </c>
      <c r="I458" s="263">
        <v>0</v>
      </c>
      <c r="J458" s="263">
        <v>0</v>
      </c>
      <c r="K458" s="263">
        <v>42465999</v>
      </c>
      <c r="L458" s="263">
        <v>42465999</v>
      </c>
      <c r="M458" s="263">
        <v>886800</v>
      </c>
      <c r="N458" s="263">
        <v>886800</v>
      </c>
    </row>
    <row r="459" spans="1:14" x14ac:dyDescent="0.25">
      <c r="A459" s="262" t="s">
        <v>547</v>
      </c>
      <c r="B459" s="262" t="s">
        <v>168</v>
      </c>
      <c r="C459" s="262" t="s">
        <v>169</v>
      </c>
      <c r="D459" s="262" t="s">
        <v>541</v>
      </c>
      <c r="E459" s="263">
        <v>31730334</v>
      </c>
      <c r="F459" s="263">
        <v>43352799</v>
      </c>
      <c r="G459" s="263">
        <v>43352799</v>
      </c>
      <c r="H459" s="263">
        <v>0</v>
      </c>
      <c r="I459" s="263">
        <v>0</v>
      </c>
      <c r="J459" s="263">
        <v>0</v>
      </c>
      <c r="K459" s="263">
        <v>42465999</v>
      </c>
      <c r="L459" s="263">
        <v>42465999</v>
      </c>
      <c r="M459" s="263">
        <v>886800</v>
      </c>
      <c r="N459" s="263">
        <v>886800</v>
      </c>
    </row>
    <row r="460" spans="1:14" x14ac:dyDescent="0.25">
      <c r="A460" s="262" t="s">
        <v>547</v>
      </c>
      <c r="B460" s="262" t="s">
        <v>170</v>
      </c>
      <c r="C460" s="262" t="s">
        <v>171</v>
      </c>
      <c r="D460" s="262" t="s">
        <v>541</v>
      </c>
      <c r="E460" s="263">
        <v>31730334</v>
      </c>
      <c r="F460" s="263">
        <v>43352799</v>
      </c>
      <c r="G460" s="263">
        <v>43352799</v>
      </c>
      <c r="H460" s="263">
        <v>0</v>
      </c>
      <c r="I460" s="263">
        <v>0</v>
      </c>
      <c r="J460" s="263">
        <v>0</v>
      </c>
      <c r="K460" s="263">
        <v>42465999</v>
      </c>
      <c r="L460" s="263">
        <v>42465999</v>
      </c>
      <c r="M460" s="263">
        <v>886800</v>
      </c>
      <c r="N460" s="263">
        <v>886800</v>
      </c>
    </row>
    <row r="461" spans="1:14" x14ac:dyDescent="0.25">
      <c r="A461" s="262" t="s">
        <v>547</v>
      </c>
      <c r="B461" s="262" t="s">
        <v>251</v>
      </c>
      <c r="C461" s="262" t="s">
        <v>252</v>
      </c>
      <c r="D461" s="262" t="s">
        <v>541</v>
      </c>
      <c r="E461" s="263">
        <v>492565000</v>
      </c>
      <c r="F461" s="263">
        <v>560067766</v>
      </c>
      <c r="G461" s="263">
        <v>559537261</v>
      </c>
      <c r="H461" s="263">
        <v>0</v>
      </c>
      <c r="I461" s="263">
        <v>0</v>
      </c>
      <c r="J461" s="263">
        <v>0</v>
      </c>
      <c r="K461" s="263">
        <v>530387311.11000001</v>
      </c>
      <c r="L461" s="263">
        <v>530387311.11000001</v>
      </c>
      <c r="M461" s="263">
        <v>29680454.890000001</v>
      </c>
      <c r="N461" s="263">
        <v>29149949.890000001</v>
      </c>
    </row>
    <row r="462" spans="1:14" x14ac:dyDescent="0.25">
      <c r="A462" s="262" t="s">
        <v>547</v>
      </c>
      <c r="B462" s="262" t="s">
        <v>253</v>
      </c>
      <c r="C462" s="262" t="s">
        <v>254</v>
      </c>
      <c r="D462" s="262" t="s">
        <v>541</v>
      </c>
      <c r="E462" s="263">
        <v>154788000</v>
      </c>
      <c r="F462" s="263">
        <v>149913231</v>
      </c>
      <c r="G462" s="263">
        <v>149382726</v>
      </c>
      <c r="H462" s="263">
        <v>0</v>
      </c>
      <c r="I462" s="263">
        <v>0</v>
      </c>
      <c r="J462" s="263">
        <v>0</v>
      </c>
      <c r="K462" s="263">
        <v>130738775.48999999</v>
      </c>
      <c r="L462" s="263">
        <v>130738775.48999999</v>
      </c>
      <c r="M462" s="263">
        <v>19174455.510000002</v>
      </c>
      <c r="N462" s="263">
        <v>18643950.510000002</v>
      </c>
    </row>
    <row r="463" spans="1:14" x14ac:dyDescent="0.25">
      <c r="A463" s="262" t="s">
        <v>547</v>
      </c>
      <c r="B463" s="262" t="s">
        <v>389</v>
      </c>
      <c r="C463" s="262" t="s">
        <v>602</v>
      </c>
      <c r="D463" s="262" t="s">
        <v>541</v>
      </c>
      <c r="E463" s="263">
        <v>128817000</v>
      </c>
      <c r="F463" s="263">
        <v>124760145</v>
      </c>
      <c r="G463" s="263">
        <v>124229640</v>
      </c>
      <c r="H463" s="263">
        <v>0</v>
      </c>
      <c r="I463" s="263">
        <v>0</v>
      </c>
      <c r="J463" s="263">
        <v>0</v>
      </c>
      <c r="K463" s="263">
        <v>107159661.66</v>
      </c>
      <c r="L463" s="263">
        <v>107159661.66</v>
      </c>
      <c r="M463" s="263">
        <v>17600483.34</v>
      </c>
      <c r="N463" s="263">
        <v>17069978.34</v>
      </c>
    </row>
    <row r="464" spans="1:14" x14ac:dyDescent="0.25">
      <c r="A464" s="262" t="s">
        <v>547</v>
      </c>
      <c r="B464" s="262" t="s">
        <v>390</v>
      </c>
      <c r="C464" s="262" t="s">
        <v>603</v>
      </c>
      <c r="D464" s="262" t="s">
        <v>541</v>
      </c>
      <c r="E464" s="263">
        <v>25971000</v>
      </c>
      <c r="F464" s="263">
        <v>25153086</v>
      </c>
      <c r="G464" s="263">
        <v>25153086</v>
      </c>
      <c r="H464" s="263">
        <v>0</v>
      </c>
      <c r="I464" s="263">
        <v>0</v>
      </c>
      <c r="J464" s="263">
        <v>0</v>
      </c>
      <c r="K464" s="263">
        <v>23579113.829999998</v>
      </c>
      <c r="L464" s="263">
        <v>23579113.829999998</v>
      </c>
      <c r="M464" s="263">
        <v>1573972.17</v>
      </c>
      <c r="N464" s="263">
        <v>1573972.17</v>
      </c>
    </row>
    <row r="465" spans="1:14" x14ac:dyDescent="0.25">
      <c r="A465" s="262" t="s">
        <v>547</v>
      </c>
      <c r="B465" s="262" t="s">
        <v>261</v>
      </c>
      <c r="C465" s="262" t="s">
        <v>262</v>
      </c>
      <c r="D465" s="262" t="s">
        <v>541</v>
      </c>
      <c r="E465" s="263">
        <v>312777000</v>
      </c>
      <c r="F465" s="263">
        <v>307154535</v>
      </c>
      <c r="G465" s="263">
        <v>307154535</v>
      </c>
      <c r="H465" s="263">
        <v>0</v>
      </c>
      <c r="I465" s="263">
        <v>0</v>
      </c>
      <c r="J465" s="263">
        <v>0</v>
      </c>
      <c r="K465" s="263">
        <v>297509470.75999999</v>
      </c>
      <c r="L465" s="263">
        <v>297509470.75999999</v>
      </c>
      <c r="M465" s="263">
        <v>9645064.2400000002</v>
      </c>
      <c r="N465" s="263">
        <v>9645064.2400000002</v>
      </c>
    </row>
    <row r="466" spans="1:14" x14ac:dyDescent="0.25">
      <c r="A466" s="262" t="s">
        <v>547</v>
      </c>
      <c r="B466" s="262" t="s">
        <v>263</v>
      </c>
      <c r="C466" s="262" t="s">
        <v>264</v>
      </c>
      <c r="D466" s="262" t="s">
        <v>541</v>
      </c>
      <c r="E466" s="263">
        <v>239389000</v>
      </c>
      <c r="F466" s="263">
        <v>250389000</v>
      </c>
      <c r="G466" s="263">
        <v>250389000</v>
      </c>
      <c r="H466" s="263">
        <v>0</v>
      </c>
      <c r="I466" s="263">
        <v>0</v>
      </c>
      <c r="J466" s="263">
        <v>0</v>
      </c>
      <c r="K466" s="263">
        <v>248622313.47</v>
      </c>
      <c r="L466" s="263">
        <v>248622313.47</v>
      </c>
      <c r="M466" s="263">
        <v>1766686.53</v>
      </c>
      <c r="N466" s="263">
        <v>1766686.53</v>
      </c>
    </row>
    <row r="467" spans="1:14" x14ac:dyDescent="0.25">
      <c r="A467" s="262" t="s">
        <v>547</v>
      </c>
      <c r="B467" s="262" t="s">
        <v>265</v>
      </c>
      <c r="C467" s="262" t="s">
        <v>266</v>
      </c>
      <c r="D467" s="262" t="s">
        <v>541</v>
      </c>
      <c r="E467" s="263">
        <v>73388000</v>
      </c>
      <c r="F467" s="263">
        <v>56765535</v>
      </c>
      <c r="G467" s="263">
        <v>56765535</v>
      </c>
      <c r="H467" s="263">
        <v>0</v>
      </c>
      <c r="I467" s="263">
        <v>0</v>
      </c>
      <c r="J467" s="263">
        <v>0</v>
      </c>
      <c r="K467" s="263">
        <v>48887157.289999999</v>
      </c>
      <c r="L467" s="263">
        <v>48887157.289999999</v>
      </c>
      <c r="M467" s="263">
        <v>7878377.71</v>
      </c>
      <c r="N467" s="263">
        <v>7878377.71</v>
      </c>
    </row>
    <row r="468" spans="1:14" x14ac:dyDescent="0.25">
      <c r="A468" s="262" t="s">
        <v>547</v>
      </c>
      <c r="B468" s="262" t="s">
        <v>267</v>
      </c>
      <c r="C468" s="262" t="s">
        <v>268</v>
      </c>
      <c r="D468" s="262" t="s">
        <v>541</v>
      </c>
      <c r="E468" s="263">
        <v>25000000</v>
      </c>
      <c r="F468" s="263">
        <v>103000000</v>
      </c>
      <c r="G468" s="263">
        <v>103000000</v>
      </c>
      <c r="H468" s="263">
        <v>0</v>
      </c>
      <c r="I468" s="263">
        <v>0</v>
      </c>
      <c r="J468" s="263">
        <v>0</v>
      </c>
      <c r="K468" s="263">
        <v>102139064.86</v>
      </c>
      <c r="L468" s="263">
        <v>102139064.86</v>
      </c>
      <c r="M468" s="263">
        <v>860935.14</v>
      </c>
      <c r="N468" s="263">
        <v>860935.14</v>
      </c>
    </row>
    <row r="469" spans="1:14" x14ac:dyDescent="0.25">
      <c r="A469" s="262" t="s">
        <v>547</v>
      </c>
      <c r="B469" s="262" t="s">
        <v>269</v>
      </c>
      <c r="C469" s="262" t="s">
        <v>270</v>
      </c>
      <c r="D469" s="262" t="s">
        <v>541</v>
      </c>
      <c r="E469" s="263">
        <v>10000000</v>
      </c>
      <c r="F469" s="263">
        <v>10000000</v>
      </c>
      <c r="G469" s="263">
        <v>10000000</v>
      </c>
      <c r="H469" s="263">
        <v>0</v>
      </c>
      <c r="I469" s="263">
        <v>0</v>
      </c>
      <c r="J469" s="263">
        <v>0</v>
      </c>
      <c r="K469" s="263">
        <v>9898616.3300000001</v>
      </c>
      <c r="L469" s="263">
        <v>9898616.3300000001</v>
      </c>
      <c r="M469" s="263">
        <v>101383.67</v>
      </c>
      <c r="N469" s="263">
        <v>101383.67</v>
      </c>
    </row>
    <row r="470" spans="1:14" x14ac:dyDescent="0.25">
      <c r="A470" s="262" t="s">
        <v>547</v>
      </c>
      <c r="B470" s="262" t="s">
        <v>271</v>
      </c>
      <c r="C470" s="262" t="s">
        <v>272</v>
      </c>
      <c r="D470" s="262" t="s">
        <v>541</v>
      </c>
      <c r="E470" s="263">
        <v>15000000</v>
      </c>
      <c r="F470" s="263">
        <v>93000000</v>
      </c>
      <c r="G470" s="263">
        <v>93000000</v>
      </c>
      <c r="H470" s="263">
        <v>0</v>
      </c>
      <c r="I470" s="263">
        <v>0</v>
      </c>
      <c r="J470" s="263">
        <v>0</v>
      </c>
      <c r="K470" s="263">
        <v>92240448.530000001</v>
      </c>
      <c r="L470" s="263">
        <v>92240448.530000001</v>
      </c>
      <c r="M470" s="263">
        <v>759551.47</v>
      </c>
      <c r="N470" s="263">
        <v>759551.47</v>
      </c>
    </row>
    <row r="471" spans="1:14" x14ac:dyDescent="0.25">
      <c r="A471" s="274" t="s">
        <v>587</v>
      </c>
      <c r="B471" s="274" t="s">
        <v>587</v>
      </c>
      <c r="C471" s="274" t="s">
        <v>587</v>
      </c>
      <c r="D471" s="274" t="s">
        <v>587</v>
      </c>
      <c r="E471" s="275">
        <v>675435665000</v>
      </c>
      <c r="F471" s="275">
        <v>715557025662.09998</v>
      </c>
      <c r="G471" s="275">
        <v>715492801467.09998</v>
      </c>
      <c r="H471" s="275">
        <v>0</v>
      </c>
      <c r="I471" s="275">
        <v>467332563.44999999</v>
      </c>
      <c r="J471" s="275">
        <v>0</v>
      </c>
      <c r="K471" s="275">
        <v>668762972407.5</v>
      </c>
      <c r="L471" s="275">
        <v>657007105367.84998</v>
      </c>
      <c r="M471" s="275">
        <v>46326720691.150002</v>
      </c>
      <c r="N471" s="275">
        <v>46262496496.150002</v>
      </c>
    </row>
  </sheetData>
  <conditionalFormatting sqref="K2:K451">
    <cfRule type="cellIs" dxfId="9" priority="1" operator="lessThan">
      <formula>0</formula>
    </cfRule>
  </conditionalFormatting>
  <pageMargins left="0.7" right="0.7" top="0.75" bottom="0.75" header="0.3" footer="0.3"/>
  <pageSetup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5"/>
  <sheetViews>
    <sheetView topLeftCell="A139" zoomScale="86" zoomScaleNormal="86" workbookViewId="0">
      <selection activeCell="C23" sqref="C23"/>
    </sheetView>
  </sheetViews>
  <sheetFormatPr baseColWidth="10" defaultRowHeight="15" x14ac:dyDescent="0.25"/>
  <cols>
    <col min="1" max="1" width="8.5703125" style="24" bestFit="1" customWidth="1"/>
    <col min="2" max="2" width="45.7109375" style="24" bestFit="1" customWidth="1"/>
    <col min="3" max="4" width="20.28515625" style="24" bestFit="1" customWidth="1"/>
    <col min="5" max="5" width="19.7109375" style="24" bestFit="1" customWidth="1"/>
    <col min="6" max="6" width="20.28515625" style="24" bestFit="1" customWidth="1"/>
    <col min="7" max="7" width="20.7109375" style="89" customWidth="1"/>
    <col min="8" max="8" width="12.85546875" style="24" customWidth="1"/>
    <col min="9" max="9" width="14.28515625" style="24" customWidth="1"/>
    <col min="10" max="10" width="17.140625" style="25" bestFit="1" customWidth="1"/>
    <col min="11" max="11" width="20" style="25" customWidth="1"/>
    <col min="12" max="16384" width="11.42578125" style="24"/>
  </cols>
  <sheetData>
    <row r="1" spans="1:11" ht="15.75" x14ac:dyDescent="0.25">
      <c r="A1" s="279" t="s">
        <v>57</v>
      </c>
      <c r="B1" s="280"/>
      <c r="C1" s="280"/>
      <c r="D1" s="280"/>
      <c r="E1" s="280"/>
      <c r="F1" s="280"/>
      <c r="G1" s="280"/>
      <c r="H1" s="280"/>
      <c r="I1" s="280"/>
    </row>
    <row r="2" spans="1:11" ht="15.75" x14ac:dyDescent="0.25">
      <c r="A2" s="279" t="str">
        <f>+Estado!A4</f>
        <v xml:space="preserve">AL 31 DE DICIEMBRE 2019        </v>
      </c>
      <c r="B2" s="280"/>
      <c r="C2" s="280"/>
      <c r="D2" s="280"/>
      <c r="E2" s="280"/>
      <c r="F2" s="280"/>
      <c r="G2" s="280"/>
      <c r="H2" s="280"/>
      <c r="I2" s="280"/>
    </row>
    <row r="3" spans="1:11" ht="15.75" x14ac:dyDescent="0.25">
      <c r="A3" s="279" t="s">
        <v>55</v>
      </c>
      <c r="B3" s="280"/>
      <c r="C3" s="280"/>
      <c r="D3" s="280"/>
      <c r="E3" s="280"/>
      <c r="F3" s="280"/>
      <c r="G3" s="280"/>
      <c r="H3" s="280"/>
      <c r="I3" s="280"/>
    </row>
    <row r="4" spans="1:11" ht="15.75" thickBot="1" x14ac:dyDescent="0.3"/>
    <row r="5" spans="1:11" x14ac:dyDescent="0.25">
      <c r="A5" s="309" t="s">
        <v>0</v>
      </c>
      <c r="B5" s="313" t="s">
        <v>536</v>
      </c>
      <c r="C5" s="300" t="s">
        <v>537</v>
      </c>
      <c r="D5" s="300" t="s">
        <v>2</v>
      </c>
      <c r="E5" s="300" t="s">
        <v>3</v>
      </c>
      <c r="F5" s="69" t="s">
        <v>4</v>
      </c>
      <c r="G5" s="311" t="s">
        <v>6</v>
      </c>
      <c r="H5" s="300" t="s">
        <v>7</v>
      </c>
      <c r="I5" s="307" t="s">
        <v>8</v>
      </c>
    </row>
    <row r="6" spans="1:11" x14ac:dyDescent="0.25">
      <c r="A6" s="310"/>
      <c r="B6" s="314"/>
      <c r="C6" s="301"/>
      <c r="D6" s="301"/>
      <c r="E6" s="301"/>
      <c r="F6" s="70" t="s">
        <v>5</v>
      </c>
      <c r="G6" s="312"/>
      <c r="H6" s="301"/>
      <c r="I6" s="308"/>
    </row>
    <row r="7" spans="1:11" s="23" customFormat="1" x14ac:dyDescent="0.25">
      <c r="A7" s="144" t="str">
        <f>+Hoja4!B3</f>
        <v>E-0</v>
      </c>
      <c r="B7" s="145" t="str">
        <f>+Hoja4!C3</f>
        <v>REMUNERACIONES</v>
      </c>
      <c r="C7" s="146">
        <f>+C8+C12+C16+C22+C25+C30</f>
        <v>93001065494</v>
      </c>
      <c r="D7" s="146">
        <f t="shared" ref="D7:G7" si="0">+D8+D12+D16+D22+D25+D30</f>
        <v>92993551160</v>
      </c>
      <c r="E7" s="146">
        <f t="shared" si="0"/>
        <v>0</v>
      </c>
      <c r="F7" s="146">
        <f t="shared" si="0"/>
        <v>88405349792.529999</v>
      </c>
      <c r="G7" s="146">
        <f t="shared" si="0"/>
        <v>4595715701.4700003</v>
      </c>
      <c r="H7" s="147">
        <f>+IFERROR(Hoja4!L3,0)</f>
        <v>0.95058426828704989</v>
      </c>
      <c r="I7" s="147">
        <f>+IFERROR(Hoja4!M3,0)</f>
        <v>4.9415731712950037E-2</v>
      </c>
      <c r="J7" s="126">
        <f>+F7-Hoja4!J3</f>
        <v>0</v>
      </c>
      <c r="K7" s="126">
        <f>+C7-Estado!C11</f>
        <v>0</v>
      </c>
    </row>
    <row r="8" spans="1:11" x14ac:dyDescent="0.25">
      <c r="A8" s="71" t="str">
        <f>+Hoja4!B4</f>
        <v>E-001</v>
      </c>
      <c r="B8" s="101" t="str">
        <f>+Hoja4!C4</f>
        <v>REMUNERACIONES BASIC</v>
      </c>
      <c r="C8" s="72">
        <f>SUM(C9:C11)</f>
        <v>33487303627</v>
      </c>
      <c r="D8" s="72">
        <f t="shared" ref="D8:G8" si="1">SUM(D9:D11)</f>
        <v>33481785377</v>
      </c>
      <c r="E8" s="72">
        <f t="shared" si="1"/>
        <v>0</v>
      </c>
      <c r="F8" s="72">
        <f t="shared" si="1"/>
        <v>31580969504.849998</v>
      </c>
      <c r="G8" s="72">
        <f t="shared" si="1"/>
        <v>1906334122.1500001</v>
      </c>
      <c r="H8" s="140">
        <f>+IFERROR(Hoja4!L4,0)</f>
        <v>0.94307292867219772</v>
      </c>
      <c r="I8" s="140">
        <f>+IFERROR(Hoja4!M4,0)</f>
        <v>5.6927071327802253E-2</v>
      </c>
    </row>
    <row r="9" spans="1:11" x14ac:dyDescent="0.25">
      <c r="A9" s="73" t="str">
        <f>+Hoja4!B5</f>
        <v>E-00101</v>
      </c>
      <c r="B9" s="102" t="str">
        <f>+Hoja4!C5</f>
        <v>SUELDOS P/ C. FIJOS</v>
      </c>
      <c r="C9" s="99">
        <f>+SUMIF(Hoja4!$B$3:$B$166,$A9,Hoja4!$D$3:$D$166)</f>
        <v>33465187627</v>
      </c>
      <c r="D9" s="99">
        <f>+SUMIF(Hoja4!$B$3:$B$166,$A9,Hoja4!$E$3:$E$166)</f>
        <v>33459669377</v>
      </c>
      <c r="E9" s="99">
        <f>+SUMIF(Hoja4!$B$3:$B$166,$A9,Hoja4!$F$3:$F$166)</f>
        <v>0</v>
      </c>
      <c r="F9" s="99">
        <f>+SUMIF(Hoja4!$B$3:$B$166,$A9,Hoja4!$J$3:$J$166)</f>
        <v>31565697704.849998</v>
      </c>
      <c r="G9" s="99">
        <f>+SUMIF(Hoja4!$B$3:$B$166,$A9,Hoja4!$K$3:$K$166)</f>
        <v>1899489922.1500001</v>
      </c>
      <c r="H9" s="135">
        <f>+IFERROR(Hoja4!L5,0)</f>
        <v>0.94323982452088584</v>
      </c>
      <c r="I9" s="135">
        <f>+IFERROR(Hoja4!M5,0)</f>
        <v>5.6760175479114161E-2</v>
      </c>
    </row>
    <row r="10" spans="1:11" x14ac:dyDescent="0.25">
      <c r="A10" s="73" t="str">
        <f>+Hoja4!B6</f>
        <v>E-00103</v>
      </c>
      <c r="B10" s="102" t="str">
        <f>+Hoja4!C6</f>
        <v>SERVICIOS ESPECIALES</v>
      </c>
      <c r="C10" s="99">
        <f>+SUMIF(Hoja4!$B$3:$B$166,$A10,Hoja4!$D$3:$D$166)</f>
        <v>17116000</v>
      </c>
      <c r="D10" s="99">
        <f>+SUMIF(Hoja4!$B$3:$B$166,$A10,Hoja4!$E$3:$E$166)</f>
        <v>17116000</v>
      </c>
      <c r="E10" s="99">
        <f>+SUMIF(Hoja4!$B$3:$B$166,$A10,Hoja4!$F$3:$F$166)</f>
        <v>0</v>
      </c>
      <c r="F10" s="99">
        <f>+SUMIF(Hoja4!$B$3:$B$166,$A10,Hoja4!$J$3:$J$166)</f>
        <v>15271800</v>
      </c>
      <c r="G10" s="99">
        <f>+SUMIF(Hoja4!$B$3:$B$166,$A10,Hoja4!$K$3:$K$166)</f>
        <v>1844200</v>
      </c>
      <c r="H10" s="135">
        <f>+IFERROR(Hoja4!L6,0)</f>
        <v>0.89225286281841554</v>
      </c>
      <c r="I10" s="135">
        <f>+IFERROR(Hoja4!M6,0)</f>
        <v>0.10774713718158448</v>
      </c>
    </row>
    <row r="11" spans="1:11" x14ac:dyDescent="0.25">
      <c r="A11" s="73" t="str">
        <f>+Hoja4!B7</f>
        <v>E-00105</v>
      </c>
      <c r="B11" s="102" t="str">
        <f>+Hoja4!C7</f>
        <v>SUPLENCIAS</v>
      </c>
      <c r="C11" s="99">
        <f>+SUMIF(Hoja4!$B$3:$B$166,$A11,Hoja4!$D$3:$D$166)</f>
        <v>5000000</v>
      </c>
      <c r="D11" s="99">
        <f>+SUMIF(Hoja4!$B$3:$B$166,$A11,Hoja4!$E$3:$E$166)</f>
        <v>5000000</v>
      </c>
      <c r="E11" s="99">
        <f>+SUMIF(Hoja4!$B$3:$B$166,$A11,Hoja4!$F$3:$F$166)</f>
        <v>0</v>
      </c>
      <c r="F11" s="99">
        <f>+SUMIF(Hoja4!$B$3:$B$166,$A11,Hoja4!$J$3:$J$166)</f>
        <v>0</v>
      </c>
      <c r="G11" s="99">
        <f>+SUMIF(Hoja4!$B$3:$B$166,$A11,Hoja4!$K$3:$K$166)</f>
        <v>5000000</v>
      </c>
      <c r="H11" s="135">
        <f>+IFERROR(Hoja4!L7,0)</f>
        <v>0</v>
      </c>
      <c r="I11" s="135">
        <f>+IFERROR(Hoja4!M7,0)</f>
        <v>1</v>
      </c>
    </row>
    <row r="12" spans="1:11" x14ac:dyDescent="0.25">
      <c r="A12" s="71" t="str">
        <f>+Hoja4!B8</f>
        <v>E-002</v>
      </c>
      <c r="B12" s="101" t="str">
        <f>+Hoja4!C8</f>
        <v>REMUNERACIONES EVENT</v>
      </c>
      <c r="C12" s="72">
        <f>SUM(C13:C15)</f>
        <v>3707791000</v>
      </c>
      <c r="D12" s="72">
        <f t="shared" ref="D12:G12" si="2">SUM(D13:D15)</f>
        <v>3707791000</v>
      </c>
      <c r="E12" s="72">
        <f t="shared" si="2"/>
        <v>0</v>
      </c>
      <c r="F12" s="72">
        <f t="shared" si="2"/>
        <v>3622201506.9300003</v>
      </c>
      <c r="G12" s="72">
        <f t="shared" si="2"/>
        <v>85589493.069999993</v>
      </c>
      <c r="H12" s="140">
        <f>+IFERROR(Hoja4!L8,0)</f>
        <v>0.97691631133739731</v>
      </c>
      <c r="I12" s="140">
        <f>+IFERROR(Hoja4!M8,0)</f>
        <v>2.3083688662602613E-2</v>
      </c>
    </row>
    <row r="13" spans="1:11" x14ac:dyDescent="0.25">
      <c r="A13" s="73" t="str">
        <f>+Hoja4!B9</f>
        <v>E-00201</v>
      </c>
      <c r="B13" s="102" t="str">
        <f>+Hoja4!C9</f>
        <v>TIEMPO EXTRAORD.</v>
      </c>
      <c r="C13" s="99">
        <f>+SUMIF(Hoja4!$B$3:$B$166,$A13,Hoja4!$D$3:$D$166)</f>
        <v>19000000</v>
      </c>
      <c r="D13" s="99">
        <f>+SUMIF(Hoja4!$B$3:$B$166,$A13,Hoja4!$E$3:$E$166)</f>
        <v>19000000</v>
      </c>
      <c r="E13" s="99">
        <f>+SUMIF(Hoja4!$B$3:$B$166,$A13,Hoja4!$F$3:$F$166)</f>
        <v>0</v>
      </c>
      <c r="F13" s="99">
        <f>+SUMIF(Hoja4!$B$3:$B$166,$A13,Hoja4!$J$3:$J$166)</f>
        <v>13030495.280000001</v>
      </c>
      <c r="G13" s="99">
        <f>+SUMIF(Hoja4!$B$3:$B$166,$A13,Hoja4!$K$3:$K$166)</f>
        <v>5969504.7199999997</v>
      </c>
      <c r="H13" s="135">
        <f>+IFERROR(Hoja4!L9,0)</f>
        <v>0.68581554105263165</v>
      </c>
      <c r="I13" s="135">
        <f>+IFERROR(Hoja4!M9,0)</f>
        <v>0.31418445894736841</v>
      </c>
    </row>
    <row r="14" spans="1:11" x14ac:dyDescent="0.25">
      <c r="A14" s="73" t="str">
        <f>+Hoja4!B10</f>
        <v>E-00202</v>
      </c>
      <c r="B14" s="102" t="str">
        <f>+Hoja4!C10</f>
        <v>RECARGO DE FUNCIONES</v>
      </c>
      <c r="C14" s="99">
        <f>+SUMIF(Hoja4!$B$3:$B$166,$A14,Hoja4!$D$3:$D$166)</f>
        <v>14994000</v>
      </c>
      <c r="D14" s="99">
        <f>+SUMIF(Hoja4!$B$3:$B$166,$A14,Hoja4!$E$3:$E$166)</f>
        <v>14994000</v>
      </c>
      <c r="E14" s="99">
        <f>+SUMIF(Hoja4!$B$3:$B$166,$A14,Hoja4!$F$3:$F$166)</f>
        <v>0</v>
      </c>
      <c r="F14" s="99">
        <f>+SUMIF(Hoja4!$B$3:$B$166,$A14,Hoja4!$J$3:$J$166)</f>
        <v>5854231</v>
      </c>
      <c r="G14" s="99">
        <f>+SUMIF(Hoja4!$B$3:$B$166,$A14,Hoja4!$K$3:$K$166)</f>
        <v>9139769</v>
      </c>
      <c r="H14" s="135">
        <f>+IFERROR(Hoja4!L10,0)</f>
        <v>0.39043824196345206</v>
      </c>
      <c r="I14" s="135">
        <f>+IFERROR(Hoja4!M10,0)</f>
        <v>0.609561758036548</v>
      </c>
    </row>
    <row r="15" spans="1:11" x14ac:dyDescent="0.25">
      <c r="A15" s="73" t="str">
        <f>+Hoja4!B11</f>
        <v>E-00203</v>
      </c>
      <c r="B15" s="102" t="str">
        <f>+Hoja4!C11</f>
        <v>DISPONIBILIDAD LAB.</v>
      </c>
      <c r="C15" s="99">
        <f>+SUMIF(Hoja4!$B$3:$B$166,$A15,Hoja4!$D$3:$D$166)</f>
        <v>3673797000</v>
      </c>
      <c r="D15" s="99">
        <f>+SUMIF(Hoja4!$B$3:$B$166,$A15,Hoja4!$E$3:$E$166)</f>
        <v>3673797000</v>
      </c>
      <c r="E15" s="99">
        <f>+SUMIF(Hoja4!$B$3:$B$166,$A15,Hoja4!$F$3:$F$166)</f>
        <v>0</v>
      </c>
      <c r="F15" s="99">
        <f>+SUMIF(Hoja4!$B$3:$B$166,$A15,Hoja4!$J$3:$J$166)</f>
        <v>3603316780.6500001</v>
      </c>
      <c r="G15" s="99">
        <f>+SUMIF(Hoja4!$B$3:$B$166,$A15,Hoja4!$K$3:$K$166)</f>
        <v>70480219.349999994</v>
      </c>
      <c r="H15" s="135">
        <f>+IFERROR(Hoja4!L11,0)</f>
        <v>0.98081542900982288</v>
      </c>
      <c r="I15" s="135">
        <f>+IFERROR(Hoja4!M11,0)</f>
        <v>1.9184570990177192E-2</v>
      </c>
    </row>
    <row r="16" spans="1:11" x14ac:dyDescent="0.25">
      <c r="A16" s="71" t="str">
        <f>+Hoja4!B12</f>
        <v>E-003</v>
      </c>
      <c r="B16" s="101" t="str">
        <f>+Hoja4!C12</f>
        <v>INCENTIVOS SALARIAL</v>
      </c>
      <c r="C16" s="72">
        <f>SUM(C17:C21)</f>
        <v>41584847642</v>
      </c>
      <c r="D16" s="72">
        <f t="shared" ref="D16:G16" si="3">SUM(D17:D21)</f>
        <v>41584647642</v>
      </c>
      <c r="E16" s="72">
        <f t="shared" si="3"/>
        <v>0</v>
      </c>
      <c r="F16" s="72">
        <f t="shared" si="3"/>
        <v>39827501474.610001</v>
      </c>
      <c r="G16" s="72">
        <f t="shared" si="3"/>
        <v>1757346167.3900001</v>
      </c>
      <c r="H16" s="140">
        <f>+IFERROR(Hoja4!L12,0)</f>
        <v>0.95774070924778121</v>
      </c>
      <c r="I16" s="140">
        <f>+IFERROR(Hoja4!M12,0)</f>
        <v>4.2259290752218834E-2</v>
      </c>
    </row>
    <row r="17" spans="1:11" x14ac:dyDescent="0.25">
      <c r="A17" s="73" t="str">
        <f>+Hoja4!B13</f>
        <v>E-00301</v>
      </c>
      <c r="B17" s="102" t="str">
        <f>+Hoja4!C13</f>
        <v>RETRIB AÑOS SERVIDOS</v>
      </c>
      <c r="C17" s="99">
        <f>+SUMIF(Hoja4!$B$3:$B$166,$A17,Hoja4!$D$3:$D$166)</f>
        <v>12125073994</v>
      </c>
      <c r="D17" s="99">
        <f>+SUMIF(Hoja4!$B$3:$B$166,$A17,Hoja4!$E$3:$E$166)</f>
        <v>12125073994</v>
      </c>
      <c r="E17" s="99">
        <f>+SUMIF(Hoja4!$B$3:$B$166,$A17,Hoja4!$F$3:$F$166)</f>
        <v>0</v>
      </c>
      <c r="F17" s="99">
        <f>+SUMIF(Hoja4!$B$3:$B$166,$A17,Hoja4!$J$3:$J$166)</f>
        <v>11623419233.99</v>
      </c>
      <c r="G17" s="99">
        <f>+SUMIF(Hoja4!$B$3:$B$166,$A17,Hoja4!$K$3:$K$166)</f>
        <v>501654760.00999999</v>
      </c>
      <c r="H17" s="135">
        <f>+IFERROR(Hoja4!L13,0)</f>
        <v>0.95862666403040175</v>
      </c>
      <c r="I17" s="135">
        <f>+IFERROR(Hoja4!M13,0)</f>
        <v>4.1373335969598204E-2</v>
      </c>
    </row>
    <row r="18" spans="1:11" x14ac:dyDescent="0.25">
      <c r="A18" s="73" t="str">
        <f>+Hoja4!B14</f>
        <v>E-00302</v>
      </c>
      <c r="B18" s="102" t="str">
        <f>+Hoja4!C14</f>
        <v>REST. EJERC LIB PROF</v>
      </c>
      <c r="C18" s="99">
        <f>+SUMIF(Hoja4!$B$3:$B$166,$A18,Hoja4!$D$3:$D$166)</f>
        <v>8431886629</v>
      </c>
      <c r="D18" s="99">
        <f>+SUMIF(Hoja4!$B$3:$B$166,$A18,Hoja4!$E$3:$E$166)</f>
        <v>8431886629</v>
      </c>
      <c r="E18" s="99">
        <f>+SUMIF(Hoja4!$B$3:$B$166,$A18,Hoja4!$F$3:$F$166)</f>
        <v>0</v>
      </c>
      <c r="F18" s="99">
        <f>+SUMIF(Hoja4!$B$3:$B$166,$A18,Hoja4!$J$3:$J$166)</f>
        <v>7927265350.0100002</v>
      </c>
      <c r="G18" s="99">
        <f>+SUMIF(Hoja4!$B$3:$B$166,$A18,Hoja4!$K$3:$K$166)</f>
        <v>504621278.99000001</v>
      </c>
      <c r="H18" s="135">
        <f>+IFERROR(Hoja4!L14,0)</f>
        <v>0.94015321823061004</v>
      </c>
      <c r="I18" s="135">
        <f>+IFERROR(Hoja4!M14,0)</f>
        <v>5.9846781769389942E-2</v>
      </c>
    </row>
    <row r="19" spans="1:11" x14ac:dyDescent="0.25">
      <c r="A19" s="73" t="str">
        <f>+Hoja4!B15</f>
        <v>E-00303</v>
      </c>
      <c r="B19" s="102" t="str">
        <f>+Hoja4!C15</f>
        <v>DECIMOTERCER MES</v>
      </c>
      <c r="C19" s="99">
        <f>+SUMIF(Hoja4!$B$3:$B$166,$A19,Hoja4!$D$3:$D$166)</f>
        <v>5965099864</v>
      </c>
      <c r="D19" s="99">
        <f>+SUMIF(Hoja4!$B$3:$B$166,$A19,Hoja4!$E$3:$E$166)</f>
        <v>5965099864</v>
      </c>
      <c r="E19" s="99">
        <f>+SUMIF(Hoja4!$B$3:$B$166,$A19,Hoja4!$F$3:$F$166)</f>
        <v>0</v>
      </c>
      <c r="F19" s="99">
        <f>+SUMIF(Hoja4!$B$3:$B$166,$A19,Hoja4!$J$3:$J$166)</f>
        <v>5822303546.3600006</v>
      </c>
      <c r="G19" s="99">
        <f>+SUMIF(Hoja4!$B$3:$B$166,$A19,Hoja4!$K$3:$K$166)</f>
        <v>142796317.64000002</v>
      </c>
      <c r="H19" s="135">
        <f>+IFERROR(Hoja4!L15,0)</f>
        <v>0.97606137015378569</v>
      </c>
      <c r="I19" s="135">
        <f>+IFERROR(Hoja4!M15,0)</f>
        <v>2.3938629846214428E-2</v>
      </c>
    </row>
    <row r="20" spans="1:11" x14ac:dyDescent="0.25">
      <c r="A20" s="73" t="str">
        <f>+Hoja4!B16</f>
        <v>E-00304</v>
      </c>
      <c r="B20" s="102" t="str">
        <f>+Hoja4!C16</f>
        <v>SALARIO ESCOLAR</v>
      </c>
      <c r="C20" s="99">
        <f>+SUMIF(Hoja4!$B$3:$B$166,$A20,Hoja4!$D$3:$D$166)</f>
        <v>5257187000</v>
      </c>
      <c r="D20" s="99">
        <f>+SUMIF(Hoja4!$B$3:$B$166,$A20,Hoja4!$E$3:$E$166)</f>
        <v>5257187000</v>
      </c>
      <c r="E20" s="99">
        <f>+SUMIF(Hoja4!$B$3:$B$166,$A20,Hoja4!$F$3:$F$166)</f>
        <v>0</v>
      </c>
      <c r="F20" s="99">
        <f>+SUMIF(Hoja4!$B$3:$B$166,$A20,Hoja4!$J$3:$J$166)</f>
        <v>5193564474.46</v>
      </c>
      <c r="G20" s="99">
        <f>+SUMIF(Hoja4!$B$3:$B$166,$A20,Hoja4!$K$3:$K$166)</f>
        <v>63622525.539999999</v>
      </c>
      <c r="H20" s="135">
        <f>+IFERROR(Hoja4!L16,0)</f>
        <v>0.98789799078100138</v>
      </c>
      <c r="I20" s="135">
        <f>+IFERROR(Hoja4!M16,0)</f>
        <v>1.2102009218998677E-2</v>
      </c>
    </row>
    <row r="21" spans="1:11" x14ac:dyDescent="0.25">
      <c r="A21" s="73" t="str">
        <f>+Hoja4!B17</f>
        <v>E-00399</v>
      </c>
      <c r="B21" s="102" t="str">
        <f>+Hoja4!C17</f>
        <v>OTROS INCENT SALAR.</v>
      </c>
      <c r="C21" s="99">
        <f>+SUMIF(Hoja4!$B$3:$B$166,$A21,Hoja4!$D$3:$D$166)</f>
        <v>9805600155</v>
      </c>
      <c r="D21" s="99">
        <f>+SUMIF(Hoja4!$B$3:$B$166,$A21,Hoja4!$E$3:$E$166)</f>
        <v>9805400155</v>
      </c>
      <c r="E21" s="99">
        <f>+SUMIF(Hoja4!$B$3:$B$166,$A21,Hoja4!$F$3:$F$166)</f>
        <v>0</v>
      </c>
      <c r="F21" s="99">
        <f>+SUMIF(Hoja4!$B$3:$B$166,$A21,Hoja4!$J$3:$J$166)</f>
        <v>9260948869.7900009</v>
      </c>
      <c r="G21" s="99">
        <f>+SUMIF(Hoja4!$B$3:$B$166,$A21,Hoja4!$K$3:$K$166)</f>
        <v>544651285.21000004</v>
      </c>
      <c r="H21" s="135">
        <f>+IFERROR(Hoja4!L17,0)</f>
        <v>0.94445507907720727</v>
      </c>
      <c r="I21" s="135">
        <f>+IFERROR(Hoja4!M17,0)</f>
        <v>5.5544920922792819E-2</v>
      </c>
    </row>
    <row r="22" spans="1:11" x14ac:dyDescent="0.25">
      <c r="A22" s="71" t="str">
        <f>+Hoja4!B18</f>
        <v>E-004</v>
      </c>
      <c r="B22" s="101" t="str">
        <f>+Hoja4!C18</f>
        <v>CONT PATR DESA S.SOC</v>
      </c>
      <c r="C22" s="72">
        <f>SUM(C23:C24)</f>
        <v>7114180923</v>
      </c>
      <c r="D22" s="72">
        <f t="shared" ref="D22:G22" si="4">SUM(D23:D24)</f>
        <v>7114106004</v>
      </c>
      <c r="E22" s="72">
        <f t="shared" si="4"/>
        <v>0</v>
      </c>
      <c r="F22" s="72">
        <f t="shared" si="4"/>
        <v>6737313265</v>
      </c>
      <c r="G22" s="72">
        <f t="shared" si="4"/>
        <v>376867658</v>
      </c>
      <c r="H22" s="140">
        <f>+IFERROR(Hoja4!L18,0)</f>
        <v>0.94702585412445806</v>
      </c>
      <c r="I22" s="140">
        <f>+IFERROR(Hoja4!M18,0)</f>
        <v>5.2974145875541993E-2</v>
      </c>
    </row>
    <row r="23" spans="1:11" x14ac:dyDescent="0.25">
      <c r="A23" s="73" t="str">
        <f>+Hoja4!B19</f>
        <v>E-00401</v>
      </c>
      <c r="B23" s="102" t="str">
        <f>+Hoja4!C19</f>
        <v>CONT P.SEG.S C.C.S.S</v>
      </c>
      <c r="C23" s="99">
        <f>+SUMIF(Hoja4!$B$3:$B$166,$A23,Hoja4!$D$3:$D$166)</f>
        <v>6747763463</v>
      </c>
      <c r="D23" s="99">
        <f>+SUMIF(Hoja4!$B$3:$B$166,$A23,Hoja4!$E$3:$E$166)</f>
        <v>6747688544</v>
      </c>
      <c r="E23" s="99">
        <f>+SUMIF(Hoja4!$B$3:$B$166,$A23,Hoja4!$F$3:$F$166)</f>
        <v>0</v>
      </c>
      <c r="F23" s="99">
        <f>+SUMIF(Hoja4!$B$3:$B$166,$A23,Hoja4!$J$3:$J$166)</f>
        <v>6391861931</v>
      </c>
      <c r="G23" s="99">
        <f>+SUMIF(Hoja4!$B$3:$B$166,$A23,Hoja4!$K$3:$K$166)</f>
        <v>355901532</v>
      </c>
      <c r="H23" s="135">
        <f>+IFERROR(Hoja4!L19,0)</f>
        <v>0.94725637109962224</v>
      </c>
      <c r="I23" s="135">
        <f>+IFERROR(Hoja4!M19,0)</f>
        <v>5.2743628900377773E-2</v>
      </c>
    </row>
    <row r="24" spans="1:11" x14ac:dyDescent="0.25">
      <c r="A24" s="73" t="str">
        <f>+Hoja4!B20</f>
        <v>E-00405</v>
      </c>
      <c r="B24" s="102" t="str">
        <f>+Hoja4!C20</f>
        <v>CONTRIB PAT B.P.D.C.</v>
      </c>
      <c r="C24" s="99">
        <f>+SUMIF(Hoja4!$B$3:$B$166,$A24,Hoja4!$D$3:$D$166)</f>
        <v>366417460</v>
      </c>
      <c r="D24" s="99">
        <f>+SUMIF(Hoja4!$B$3:$B$166,$A24,Hoja4!$E$3:$E$166)</f>
        <v>366417460</v>
      </c>
      <c r="E24" s="99">
        <f>+SUMIF(Hoja4!$B$3:$B$166,$A24,Hoja4!$F$3:$F$166)</f>
        <v>0</v>
      </c>
      <c r="F24" s="99">
        <f>+SUMIF(Hoja4!$B$3:$B$166,$A24,Hoja4!$J$3:$J$166)</f>
        <v>345451334</v>
      </c>
      <c r="G24" s="99">
        <f>+SUMIF(Hoja4!$B$3:$B$166,$A24,Hoja4!$K$3:$K$166)</f>
        <v>20966126</v>
      </c>
      <c r="H24" s="135">
        <f>+IFERROR(Hoja4!L20,0)</f>
        <v>0.94278076705187575</v>
      </c>
      <c r="I24" s="135">
        <f>+IFERROR(Hoja4!M20,0)</f>
        <v>5.7219232948124255E-2</v>
      </c>
    </row>
    <row r="25" spans="1:11" x14ac:dyDescent="0.25">
      <c r="A25" s="71" t="str">
        <f>+Hoja4!B21</f>
        <v>E-005</v>
      </c>
      <c r="B25" s="101" t="str">
        <f>+Hoja4!C21</f>
        <v>CONT PATR F.PENS OTR</v>
      </c>
      <c r="C25" s="72">
        <f>SUM(C26:C29)</f>
        <v>7106942302</v>
      </c>
      <c r="D25" s="72">
        <f t="shared" ref="D25:G25" si="5">SUM(D26:D29)</f>
        <v>7105221137</v>
      </c>
      <c r="E25" s="72">
        <f t="shared" si="5"/>
        <v>0</v>
      </c>
      <c r="F25" s="72">
        <f t="shared" si="5"/>
        <v>6637364041.1400003</v>
      </c>
      <c r="G25" s="72">
        <f t="shared" si="5"/>
        <v>469578260.86000001</v>
      </c>
      <c r="H25" s="140">
        <f>+IFERROR(Hoja4!L21,0)</f>
        <v>0.93392682240745739</v>
      </c>
      <c r="I25" s="140">
        <f>+IFERROR(Hoja4!M21,0)</f>
        <v>6.6073177592542665E-2</v>
      </c>
    </row>
    <row r="26" spans="1:11" s="23" customFormat="1" x14ac:dyDescent="0.25">
      <c r="A26" s="73" t="str">
        <f>+Hoja4!B22</f>
        <v>E-00501</v>
      </c>
      <c r="B26" s="102" t="str">
        <f>+Hoja4!C22</f>
        <v>CONT P.SPENS.C.C.S.S</v>
      </c>
      <c r="C26" s="99">
        <f>+SUMIF(Hoja4!$B$3:$B$166,$A26,Hoja4!$D$3:$D$166)</f>
        <v>3722822168</v>
      </c>
      <c r="D26" s="99">
        <f>+SUMIF(Hoja4!$B$3:$B$166,$A26,Hoja4!$E$3:$E$166)</f>
        <v>3722361468</v>
      </c>
      <c r="E26" s="99">
        <f>+SUMIF(Hoja4!$B$3:$B$166,$A26,Hoja4!$F$3:$F$166)</f>
        <v>0</v>
      </c>
      <c r="F26" s="99">
        <f>+SUMIF(Hoja4!$B$3:$B$166,$A26,Hoja4!$J$3:$J$166)</f>
        <v>3445423100</v>
      </c>
      <c r="G26" s="99">
        <f>+SUMIF(Hoja4!$B$3:$B$166,$A26,Hoja4!$K$3:$K$166)</f>
        <v>277399068</v>
      </c>
      <c r="H26" s="140">
        <f>+IFERROR(Hoja4!L22,0)</f>
        <v>0.92548688723720951</v>
      </c>
      <c r="I26" s="140">
        <f>+IFERROR(Hoja4!M22,0)</f>
        <v>7.4513112762790448E-2</v>
      </c>
      <c r="J26" s="126"/>
      <c r="K26" s="126"/>
    </row>
    <row r="27" spans="1:11" x14ac:dyDescent="0.25">
      <c r="A27" s="73" t="str">
        <f>+Hoja4!B23</f>
        <v>E-00502</v>
      </c>
      <c r="B27" s="102" t="str">
        <f>+Hoja4!C23</f>
        <v>APORT P.RÉG.OBLI.P.C</v>
      </c>
      <c r="C27" s="99">
        <f>+SUMIF(Hoja4!$B$3:$B$166,$A27,Hoja4!$D$3:$D$166)</f>
        <v>1099257382</v>
      </c>
      <c r="D27" s="99">
        <f>+SUMIF(Hoja4!$B$3:$B$166,$A27,Hoja4!$E$3:$E$166)</f>
        <v>1099257382</v>
      </c>
      <c r="E27" s="99">
        <f>+SUMIF(Hoja4!$B$3:$B$166,$A27,Hoja4!$F$3:$F$166)</f>
        <v>0</v>
      </c>
      <c r="F27" s="99">
        <f>+SUMIF(Hoja4!$B$3:$B$166,$A27,Hoja4!$J$3:$J$166)</f>
        <v>1036355936</v>
      </c>
      <c r="G27" s="99">
        <f>+SUMIF(Hoja4!$B$3:$B$166,$A27,Hoja4!$K$3:$K$166)</f>
        <v>62901446</v>
      </c>
      <c r="H27" s="135">
        <f>+IFERROR(Hoja4!L23,0)</f>
        <v>0.94277823644399228</v>
      </c>
      <c r="I27" s="135">
        <f>+IFERROR(Hoja4!M23,0)</f>
        <v>5.7221763556007665E-2</v>
      </c>
    </row>
    <row r="28" spans="1:11" x14ac:dyDescent="0.25">
      <c r="A28" s="73" t="str">
        <f>+Hoja4!B24</f>
        <v>E-00503</v>
      </c>
      <c r="B28" s="102" t="str">
        <f>+Hoja4!C24</f>
        <v>APORT P.FOND.CAP.LAB</v>
      </c>
      <c r="C28" s="99">
        <f>+SUMIF(Hoja4!$B$3:$B$166,$A28,Hoja4!$D$3:$D$166)</f>
        <v>2198517752</v>
      </c>
      <c r="D28" s="99">
        <f>+SUMIF(Hoja4!$B$3:$B$166,$A28,Hoja4!$E$3:$E$166)</f>
        <v>2197257287</v>
      </c>
      <c r="E28" s="99">
        <f>+SUMIF(Hoja4!$B$3:$B$166,$A28,Hoja4!$F$3:$F$166)</f>
        <v>0</v>
      </c>
      <c r="F28" s="99">
        <f>+SUMIF(Hoja4!$B$3:$B$166,$A28,Hoja4!$J$3:$J$166)</f>
        <v>2072709990</v>
      </c>
      <c r="G28" s="99">
        <f>+SUMIF(Hoja4!$B$3:$B$166,$A28,Hoja4!$K$3:$K$166)</f>
        <v>125807762</v>
      </c>
      <c r="H28" s="135">
        <f>+IFERROR(Hoja4!L24,0)</f>
        <v>0.94277609908514393</v>
      </c>
      <c r="I28" s="135">
        <f>+IFERROR(Hoja4!M24,0)</f>
        <v>5.7223900914856018E-2</v>
      </c>
    </row>
    <row r="29" spans="1:11" x14ac:dyDescent="0.25">
      <c r="A29" s="73" t="str">
        <f>+Hoja4!B25</f>
        <v>E-00505</v>
      </c>
      <c r="B29" s="102" t="str">
        <f>+Hoja4!C25</f>
        <v>CONT.PAT.A.F.A.EPRIV</v>
      </c>
      <c r="C29" s="99">
        <f>+SUMIF(Hoja4!$B$3:$B$166,$A29,Hoja4!$D$3:$D$166)</f>
        <v>86345000</v>
      </c>
      <c r="D29" s="99">
        <f>+SUMIF(Hoja4!$B$3:$B$166,$A29,Hoja4!$E$3:$E$166)</f>
        <v>86345000</v>
      </c>
      <c r="E29" s="99">
        <f>+SUMIF(Hoja4!$B$3:$B$166,$A29,Hoja4!$F$3:$F$166)</f>
        <v>0</v>
      </c>
      <c r="F29" s="99">
        <f>+SUMIF(Hoja4!$B$3:$B$166,$A29,Hoja4!$J$3:$J$166)</f>
        <v>82875015.140000001</v>
      </c>
      <c r="G29" s="99">
        <f>+SUMIF(Hoja4!$B$3:$B$166,$A29,Hoja4!$K$3:$K$166)</f>
        <v>3469984.86</v>
      </c>
      <c r="H29" s="135">
        <f>+IFERROR(Hoja4!L25,0)</f>
        <v>0.95981255590943304</v>
      </c>
      <c r="I29" s="135">
        <f>+IFERROR(Hoja4!M25,0)</f>
        <v>4.0187444090566911E-2</v>
      </c>
    </row>
    <row r="30" spans="1:11" x14ac:dyDescent="0.25">
      <c r="A30" s="71" t="str">
        <f>+Hoja4!B26</f>
        <v>E-099</v>
      </c>
      <c r="B30" s="101" t="str">
        <f>+Hoja4!C26</f>
        <v>REMUNERACIONES DIVER</v>
      </c>
      <c r="C30" s="72">
        <f>+C31</f>
        <v>0</v>
      </c>
      <c r="D30" s="72">
        <f t="shared" ref="D30:G30" si="6">+D31</f>
        <v>0</v>
      </c>
      <c r="E30" s="72">
        <f t="shared" si="6"/>
        <v>0</v>
      </c>
      <c r="F30" s="72">
        <f t="shared" si="6"/>
        <v>0</v>
      </c>
      <c r="G30" s="72">
        <f t="shared" si="6"/>
        <v>0</v>
      </c>
      <c r="H30" s="140">
        <f>+IFERROR(Hoja4!L26,0)</f>
        <v>0</v>
      </c>
      <c r="I30" s="140">
        <f>+IFERROR(Hoja4!M26,0)</f>
        <v>0</v>
      </c>
    </row>
    <row r="31" spans="1:11" x14ac:dyDescent="0.25">
      <c r="A31" s="73" t="str">
        <f>+Hoja4!B27</f>
        <v>E-09901</v>
      </c>
      <c r="B31" s="102" t="str">
        <f>+Hoja4!C27</f>
        <v>GASTOS REPRES.PERS.</v>
      </c>
      <c r="C31" s="99">
        <f>+SUMIF(Hoja4!$B$3:$B$166,$A31,Hoja4!$D$3:$D$166)</f>
        <v>0</v>
      </c>
      <c r="D31" s="99">
        <f>+SUMIF(Hoja4!$B$3:$B$166,$A31,Hoja4!$E$3:$E$166)</f>
        <v>0</v>
      </c>
      <c r="E31" s="99">
        <f>+SUMIF(Hoja4!$B$3:$B$166,$A31,Hoja4!$F$3:$F$166)</f>
        <v>0</v>
      </c>
      <c r="F31" s="99">
        <f>+SUMIF(Hoja4!$B$3:$B$166,$A31,Hoja4!$J$3:$J$166)</f>
        <v>0</v>
      </c>
      <c r="G31" s="99">
        <f>+SUMIF(Hoja4!$B$3:$B$166,$A31,Hoja4!$K$3:$K$166)</f>
        <v>0</v>
      </c>
      <c r="H31" s="135">
        <f>+IFERROR(Hoja4!L27,0)</f>
        <v>0</v>
      </c>
      <c r="I31" s="135">
        <f>+IFERROR(Hoja4!M27,0)</f>
        <v>0</v>
      </c>
    </row>
    <row r="32" spans="1:11" x14ac:dyDescent="0.25">
      <c r="A32" s="144" t="str">
        <f>+Hoja4!B28</f>
        <v>E-1</v>
      </c>
      <c r="B32" s="145" t="str">
        <f>+Hoja4!C28</f>
        <v>SERVICIOS</v>
      </c>
      <c r="C32" s="148">
        <f>+C33+C39+C45+C52+C60+C65+C68+C72+C80+C82</f>
        <v>18447657734</v>
      </c>
      <c r="D32" s="148">
        <f t="shared" ref="D32:G32" si="7">+D33+D39+D45+D52+D60+D65+D68+D72+D80+D82</f>
        <v>18442857734</v>
      </c>
      <c r="E32" s="148">
        <f t="shared" si="7"/>
        <v>0</v>
      </c>
      <c r="F32" s="148">
        <f t="shared" si="7"/>
        <v>16055373084.189999</v>
      </c>
      <c r="G32" s="148">
        <f t="shared" si="7"/>
        <v>2392284649.8100004</v>
      </c>
      <c r="H32" s="147">
        <f>+IFERROR(Hoja4!L28,0)</f>
        <v>0.87032041225478229</v>
      </c>
      <c r="I32" s="147">
        <f>+IFERROR(Hoja4!M28,0)</f>
        <v>0.12967958774521787</v>
      </c>
      <c r="K32" s="25">
        <f>+C32-Estado!C62</f>
        <v>0</v>
      </c>
    </row>
    <row r="33" spans="1:11" x14ac:dyDescent="0.25">
      <c r="A33" s="71" t="str">
        <f>+Hoja4!B29</f>
        <v>E-101</v>
      </c>
      <c r="B33" s="101" t="str">
        <f>+Hoja4!C29</f>
        <v>ALQUILERES</v>
      </c>
      <c r="C33" s="72">
        <f>SUM(C34:C38)</f>
        <v>9461348648</v>
      </c>
      <c r="D33" s="72">
        <f t="shared" ref="D33:G33" si="8">SUM(D34:D38)</f>
        <v>9461348648</v>
      </c>
      <c r="E33" s="72">
        <f t="shared" si="8"/>
        <v>0</v>
      </c>
      <c r="F33" s="72">
        <f t="shared" si="8"/>
        <v>8367995006.2200003</v>
      </c>
      <c r="G33" s="72">
        <f t="shared" si="8"/>
        <v>1093353641.7800002</v>
      </c>
      <c r="H33" s="140">
        <f>+IFERROR(Hoja4!L29,0)</f>
        <v>0.88443997970510058</v>
      </c>
      <c r="I33" s="140">
        <f>+IFERROR(Hoja4!M29,0)</f>
        <v>0.11556002029489951</v>
      </c>
      <c r="K33" s="25">
        <f>+C33-Estado!C63</f>
        <v>0</v>
      </c>
    </row>
    <row r="34" spans="1:11" x14ac:dyDescent="0.25">
      <c r="A34" s="73" t="str">
        <f>+Hoja4!B30</f>
        <v>E-10101</v>
      </c>
      <c r="B34" s="102" t="str">
        <f>+Hoja4!C30</f>
        <v>ALQ EDIF, LOC.Y TERR</v>
      </c>
      <c r="C34" s="99">
        <f>+SUMIF(Hoja4!$B$3:$B$166,$A34,Hoja4!$D$3:$D$166)</f>
        <v>657216874</v>
      </c>
      <c r="D34" s="99">
        <f>+SUMIF(Hoja4!$B$3:$B$166,$A34,Hoja4!$E$3:$E$166)</f>
        <v>657216874</v>
      </c>
      <c r="E34" s="99">
        <f>+SUMIF(Hoja4!$B$3:$B$166,$A34,Hoja4!$F$3:$F$166)</f>
        <v>0</v>
      </c>
      <c r="F34" s="99">
        <f>+SUMIF(Hoja4!$B$3:$B$166,$A34,Hoja4!$J$3:$J$166)</f>
        <v>634300711.47000003</v>
      </c>
      <c r="G34" s="99">
        <f>+SUMIF(Hoja4!$B$3:$B$166,$A34,Hoja4!$K$3:$K$166)</f>
        <v>22916162.530000001</v>
      </c>
      <c r="H34" s="135">
        <f>+IFERROR(Hoja4!L30,0)</f>
        <v>0.96513150614876031</v>
      </c>
      <c r="I34" s="135">
        <f>+IFERROR(Hoja4!M30,0)</f>
        <v>3.4868493851239739E-2</v>
      </c>
    </row>
    <row r="35" spans="1:11" x14ac:dyDescent="0.25">
      <c r="A35" s="73" t="str">
        <f>+Hoja4!B31</f>
        <v>E-10102</v>
      </c>
      <c r="B35" s="102" t="str">
        <f>+Hoja4!C31</f>
        <v>ALQ DE MAQ, EQ Y MOB</v>
      </c>
      <c r="C35" s="99">
        <f>+SUMIF(Hoja4!$B$3:$B$166,$A35,Hoja4!$D$3:$D$166)</f>
        <v>3333000</v>
      </c>
      <c r="D35" s="99">
        <f>+SUMIF(Hoja4!$B$3:$B$166,$A35,Hoja4!$E$3:$E$166)</f>
        <v>3333000</v>
      </c>
      <c r="E35" s="99">
        <f>+SUMIF(Hoja4!$B$3:$B$166,$A35,Hoja4!$F$3:$F$166)</f>
        <v>0</v>
      </c>
      <c r="F35" s="99">
        <f>+SUMIF(Hoja4!$B$3:$B$166,$A35,Hoja4!$J$3:$J$166)</f>
        <v>2632259.4700000002</v>
      </c>
      <c r="G35" s="99">
        <f>+SUMIF(Hoja4!$B$3:$B$166,$A35,Hoja4!$K$3:$K$166)</f>
        <v>700740.53</v>
      </c>
      <c r="H35" s="135">
        <f>+IFERROR(Hoja4!L31,0)</f>
        <v>0.78975681668166819</v>
      </c>
      <c r="I35" s="135">
        <f>+IFERROR(Hoja4!M31,0)</f>
        <v>0.21024318331833183</v>
      </c>
    </row>
    <row r="36" spans="1:11" x14ac:dyDescent="0.25">
      <c r="A36" s="73" t="str">
        <f>+Hoja4!B32</f>
        <v>E-10103</v>
      </c>
      <c r="B36" s="102" t="str">
        <f>+Hoja4!C32</f>
        <v>ALQ. EQ. DE COMPUTO</v>
      </c>
      <c r="C36" s="99">
        <f>+SUMIF(Hoja4!$B$3:$B$166,$A36,Hoja4!$D$3:$D$166)</f>
        <v>1111197211</v>
      </c>
      <c r="D36" s="99">
        <f>+SUMIF(Hoja4!$B$3:$B$166,$A36,Hoja4!$E$3:$E$166)</f>
        <v>1111197211</v>
      </c>
      <c r="E36" s="99">
        <f>+SUMIF(Hoja4!$B$3:$B$166,$A36,Hoja4!$F$3:$F$166)</f>
        <v>0</v>
      </c>
      <c r="F36" s="99">
        <f>+SUMIF(Hoja4!$B$3:$B$166,$A36,Hoja4!$J$3:$J$166)</f>
        <v>837571389.48000002</v>
      </c>
      <c r="G36" s="99">
        <f>+SUMIF(Hoja4!$B$3:$B$166,$A36,Hoja4!$K$3:$K$166)</f>
        <v>273625821.51999998</v>
      </c>
      <c r="H36" s="135">
        <f>+IFERROR(Hoja4!L32,0)</f>
        <v>0.75375584206717383</v>
      </c>
      <c r="I36" s="135">
        <f>+IFERROR(Hoja4!M32,0)</f>
        <v>0.2462441579328262</v>
      </c>
    </row>
    <row r="37" spans="1:11" x14ac:dyDescent="0.25">
      <c r="A37" s="73" t="str">
        <f>+Hoja4!B33</f>
        <v>E-10104</v>
      </c>
      <c r="B37" s="102" t="str">
        <f>+Hoja4!C33</f>
        <v>ALQ Y DERECH P.TELEC</v>
      </c>
      <c r="C37" s="99">
        <f>+SUMIF(Hoja4!$B$3:$B$166,$A37,Hoja4!$D$3:$D$166)</f>
        <v>44246000</v>
      </c>
      <c r="D37" s="99">
        <f>+SUMIF(Hoja4!$B$3:$B$166,$A37,Hoja4!$E$3:$E$166)</f>
        <v>44246000</v>
      </c>
      <c r="E37" s="99">
        <f>+SUMIF(Hoja4!$B$3:$B$166,$A37,Hoja4!$F$3:$F$166)</f>
        <v>0</v>
      </c>
      <c r="F37" s="99">
        <f>+SUMIF(Hoja4!$B$3:$B$166,$A37,Hoja4!$J$3:$J$166)</f>
        <v>33968078.469999999</v>
      </c>
      <c r="G37" s="99">
        <f>+SUMIF(Hoja4!$B$3:$B$166,$A37,Hoja4!$K$3:$K$166)</f>
        <v>10277921.530000001</v>
      </c>
      <c r="H37" s="135">
        <f>+IFERROR(Hoja4!L33,0)</f>
        <v>0.76770958888939111</v>
      </c>
      <c r="I37" s="135">
        <f>+IFERROR(Hoja4!M33,0)</f>
        <v>0.23229041111060889</v>
      </c>
    </row>
    <row r="38" spans="1:11" x14ac:dyDescent="0.25">
      <c r="A38" s="73" t="str">
        <f>+Hoja4!B34</f>
        <v>E-10199</v>
      </c>
      <c r="B38" s="102" t="str">
        <f>+Hoja4!C34</f>
        <v>OTROS ALQUILERES</v>
      </c>
      <c r="C38" s="99">
        <f>+SUMIF(Hoja4!$B$3:$B$166,$A38,Hoja4!$D$3:$D$166)</f>
        <v>7645355563</v>
      </c>
      <c r="D38" s="99">
        <f>+SUMIF(Hoja4!$B$3:$B$166,$A38,Hoja4!$E$3:$E$166)</f>
        <v>7645355563</v>
      </c>
      <c r="E38" s="99">
        <f>+SUMIF(Hoja4!$B$3:$B$166,$A38,Hoja4!$F$3:$F$166)</f>
        <v>0</v>
      </c>
      <c r="F38" s="99">
        <f>+SUMIF(Hoja4!$B$3:$B$166,$A38,Hoja4!$J$3:$J$166)</f>
        <v>6859522567.3299999</v>
      </c>
      <c r="G38" s="99">
        <f>+SUMIF(Hoja4!$B$3:$B$166,$A38,Hoja4!$K$3:$K$166)</f>
        <v>785832995.67000008</v>
      </c>
      <c r="H38" s="135">
        <f>+IFERROR(Hoja4!L34,0)</f>
        <v>0.89721432977256543</v>
      </c>
      <c r="I38" s="135">
        <f>+IFERROR(Hoja4!M34,0)</f>
        <v>0.10278567022743454</v>
      </c>
    </row>
    <row r="39" spans="1:11" s="23" customFormat="1" x14ac:dyDescent="0.25">
      <c r="A39" s="71" t="str">
        <f>+Hoja4!B35</f>
        <v>E-102</v>
      </c>
      <c r="B39" s="101" t="str">
        <f>+Hoja4!C35</f>
        <v>SERVICIOS BÁSICOS</v>
      </c>
      <c r="C39" s="72">
        <f>SUM(C40:C44)</f>
        <v>5730565046</v>
      </c>
      <c r="D39" s="72">
        <f t="shared" ref="D39:G39" si="9">SUM(D40:D44)</f>
        <v>5730565046</v>
      </c>
      <c r="E39" s="72">
        <f t="shared" si="9"/>
        <v>0</v>
      </c>
      <c r="F39" s="72">
        <f t="shared" si="9"/>
        <v>4932366913.4499998</v>
      </c>
      <c r="G39" s="72">
        <f t="shared" si="9"/>
        <v>798198132.55000007</v>
      </c>
      <c r="H39" s="140">
        <f>+IFERROR(Hoja4!L35,0)</f>
        <v>0.8607121416225525</v>
      </c>
      <c r="I39" s="140">
        <f>+IFERROR(Hoja4!M35,0)</f>
        <v>0.1392878583774477</v>
      </c>
      <c r="J39" s="126"/>
      <c r="K39" s="126">
        <f>+C39-Estado!C69</f>
        <v>0</v>
      </c>
    </row>
    <row r="40" spans="1:11" x14ac:dyDescent="0.25">
      <c r="A40" s="73" t="str">
        <f>+Hoja4!B36</f>
        <v>E-10201</v>
      </c>
      <c r="B40" s="102" t="str">
        <f>+Hoja4!C36</f>
        <v>SERV.AGUA Y ALCANT.</v>
      </c>
      <c r="C40" s="99">
        <f>+SUMIF(Hoja4!$B$3:$B$166,$A40,Hoja4!$D$3:$D$166)</f>
        <v>3081909325</v>
      </c>
      <c r="D40" s="99">
        <f>+SUMIF(Hoja4!$B$3:$B$166,$A40,Hoja4!$E$3:$E$166)</f>
        <v>3081909325</v>
      </c>
      <c r="E40" s="99">
        <f>+SUMIF(Hoja4!$B$3:$B$166,$A40,Hoja4!$F$3:$F$166)</f>
        <v>0</v>
      </c>
      <c r="F40" s="99">
        <f>+SUMIF(Hoja4!$B$3:$B$166,$A40,Hoja4!$J$3:$J$166)</f>
        <v>2693889571.3599997</v>
      </c>
      <c r="G40" s="99">
        <f>+SUMIF(Hoja4!$B$3:$B$166,$A40,Hoja4!$K$3:$K$166)</f>
        <v>388019753.63999999</v>
      </c>
      <c r="H40" s="135">
        <f>+IFERROR(Hoja4!L36,0)</f>
        <v>0.87409760874778486</v>
      </c>
      <c r="I40" s="135">
        <f>+IFERROR(Hoja4!M36,0)</f>
        <v>0.12590239125221506</v>
      </c>
    </row>
    <row r="41" spans="1:11" x14ac:dyDescent="0.25">
      <c r="A41" s="73" t="str">
        <f>+Hoja4!B37</f>
        <v>E-10202</v>
      </c>
      <c r="B41" s="102" t="str">
        <f>+Hoja4!C37</f>
        <v>SERV ENERGÍA ELÉCT</v>
      </c>
      <c r="C41" s="99">
        <f>+SUMIF(Hoja4!$B$3:$B$166,$A41,Hoja4!$D$3:$D$166)</f>
        <v>1655378189</v>
      </c>
      <c r="D41" s="99">
        <f>+SUMIF(Hoja4!$B$3:$B$166,$A41,Hoja4!$E$3:$E$166)</f>
        <v>1655378189</v>
      </c>
      <c r="E41" s="99">
        <f>+SUMIF(Hoja4!$B$3:$B$166,$A41,Hoja4!$F$3:$F$166)</f>
        <v>0</v>
      </c>
      <c r="F41" s="99">
        <f>+SUMIF(Hoja4!$B$3:$B$166,$A41,Hoja4!$J$3:$J$166)</f>
        <v>1489738053.6800001</v>
      </c>
      <c r="G41" s="99">
        <f>+SUMIF(Hoja4!$B$3:$B$166,$A41,Hoja4!$K$3:$K$166)</f>
        <v>165640135.31999999</v>
      </c>
      <c r="H41" s="135">
        <f>+IFERROR(Hoja4!L37,0)</f>
        <v>0.89993819151377019</v>
      </c>
      <c r="I41" s="135">
        <f>+IFERROR(Hoja4!M37,0)</f>
        <v>0.10006180848622985</v>
      </c>
    </row>
    <row r="42" spans="1:11" x14ac:dyDescent="0.25">
      <c r="A42" s="73" t="str">
        <f>+Hoja4!B38</f>
        <v>E-10203</v>
      </c>
      <c r="B42" s="102" t="str">
        <f>+Hoja4!C38</f>
        <v>SERVICIO DE CORREO</v>
      </c>
      <c r="C42" s="99">
        <f>+SUMIF(Hoja4!$B$3:$B$166,$A42,Hoja4!$D$3:$D$166)</f>
        <v>10962858</v>
      </c>
      <c r="D42" s="99">
        <f>+SUMIF(Hoja4!$B$3:$B$166,$A42,Hoja4!$E$3:$E$166)</f>
        <v>10962858</v>
      </c>
      <c r="E42" s="99">
        <f>+SUMIF(Hoja4!$B$3:$B$166,$A42,Hoja4!$F$3:$F$166)</f>
        <v>0</v>
      </c>
      <c r="F42" s="99">
        <f>+SUMIF(Hoja4!$B$3:$B$166,$A42,Hoja4!$J$3:$J$166)</f>
        <v>4813185</v>
      </c>
      <c r="G42" s="99">
        <f>+SUMIF(Hoja4!$B$3:$B$166,$A42,Hoja4!$K$3:$K$166)</f>
        <v>6149673</v>
      </c>
      <c r="H42" s="135">
        <f>+IFERROR(Hoja4!L38,0)</f>
        <v>0.43904472720525978</v>
      </c>
      <c r="I42" s="135">
        <f>+IFERROR(Hoja4!M38,0)</f>
        <v>0.56095527279474022</v>
      </c>
    </row>
    <row r="43" spans="1:11" x14ac:dyDescent="0.25">
      <c r="A43" s="73" t="str">
        <f>+Hoja4!B39</f>
        <v>E-10204</v>
      </c>
      <c r="B43" s="102" t="str">
        <f>+Hoja4!C39</f>
        <v>SERV.TELECOMUNIC.</v>
      </c>
      <c r="C43" s="99">
        <f>+SUMIF(Hoja4!$B$3:$B$166,$A43,Hoja4!$D$3:$D$166)</f>
        <v>858112866</v>
      </c>
      <c r="D43" s="99">
        <f>+SUMIF(Hoja4!$B$3:$B$166,$A43,Hoja4!$E$3:$E$166)</f>
        <v>858112866</v>
      </c>
      <c r="E43" s="99">
        <f>+SUMIF(Hoja4!$B$3:$B$166,$A43,Hoja4!$F$3:$F$166)</f>
        <v>0</v>
      </c>
      <c r="F43" s="99">
        <f>+SUMIF(Hoja4!$B$3:$B$166,$A43,Hoja4!$J$3:$J$166)</f>
        <v>641713685.32000005</v>
      </c>
      <c r="G43" s="99">
        <f>+SUMIF(Hoja4!$B$3:$B$166,$A43,Hoja4!$K$3:$K$166)</f>
        <v>216399180.68000001</v>
      </c>
      <c r="H43" s="135">
        <f>+IFERROR(Hoja4!L39,0)</f>
        <v>0.74781967587932663</v>
      </c>
      <c r="I43" s="135">
        <f>+IFERROR(Hoja4!M39,0)</f>
        <v>0.25218032412067343</v>
      </c>
    </row>
    <row r="44" spans="1:11" x14ac:dyDescent="0.25">
      <c r="A44" s="73" t="str">
        <f>+Hoja4!B40</f>
        <v>E-10299</v>
      </c>
      <c r="B44" s="102" t="str">
        <f>+Hoja4!C40</f>
        <v>OTROS SERV.BÁSICOS</v>
      </c>
      <c r="C44" s="99">
        <f>+SUMIF(Hoja4!$B$3:$B$166,$A44,Hoja4!$D$3:$D$166)</f>
        <v>124201808</v>
      </c>
      <c r="D44" s="99">
        <f>+SUMIF(Hoja4!$B$3:$B$166,$A44,Hoja4!$E$3:$E$166)</f>
        <v>124201808</v>
      </c>
      <c r="E44" s="99">
        <f>+SUMIF(Hoja4!$B$3:$B$166,$A44,Hoja4!$F$3:$F$166)</f>
        <v>0</v>
      </c>
      <c r="F44" s="99">
        <f>+SUMIF(Hoja4!$B$3:$B$166,$A44,Hoja4!$J$3:$J$166)</f>
        <v>102212418.09</v>
      </c>
      <c r="G44" s="99">
        <f>+SUMIF(Hoja4!$B$3:$B$166,$A44,Hoja4!$K$3:$K$166)</f>
        <v>21989389.91</v>
      </c>
      <c r="H44" s="135">
        <f>+IFERROR(Hoja4!L40,0)</f>
        <v>0.82295434934409328</v>
      </c>
      <c r="I44" s="135">
        <f>+IFERROR(Hoja4!M40,0)</f>
        <v>0.17704565065590672</v>
      </c>
    </row>
    <row r="45" spans="1:11" s="23" customFormat="1" x14ac:dyDescent="0.25">
      <c r="A45" s="71" t="str">
        <f>+Hoja4!B41</f>
        <v>E-103</v>
      </c>
      <c r="B45" s="101" t="str">
        <f>+Hoja4!C41</f>
        <v>SERV COMERC Y FINANC</v>
      </c>
      <c r="C45" s="72">
        <f>SUM(C46:C51)</f>
        <v>30788091</v>
      </c>
      <c r="D45" s="72">
        <f t="shared" ref="D45:G45" si="10">SUM(D46:D51)</f>
        <v>30788091</v>
      </c>
      <c r="E45" s="72">
        <f t="shared" si="10"/>
        <v>0</v>
      </c>
      <c r="F45" s="72">
        <f t="shared" si="10"/>
        <v>18577098.979999997</v>
      </c>
      <c r="G45" s="72">
        <f t="shared" si="10"/>
        <v>12210992.02</v>
      </c>
      <c r="H45" s="140">
        <f>+IFERROR(Hoja4!L41,0)</f>
        <v>0.60338586695745444</v>
      </c>
      <c r="I45" s="140">
        <f>+IFERROR(Hoja4!M41,0)</f>
        <v>0.39661413304254556</v>
      </c>
      <c r="J45" s="126"/>
      <c r="K45" s="126">
        <f>+C45-Estado!C75</f>
        <v>0</v>
      </c>
    </row>
    <row r="46" spans="1:11" x14ac:dyDescent="0.25">
      <c r="A46" s="73" t="str">
        <f>+Hoja4!B42</f>
        <v>E-10301</v>
      </c>
      <c r="B46" s="102" t="str">
        <f>+Hoja4!C42</f>
        <v>INFORMACIÓN</v>
      </c>
      <c r="C46" s="99">
        <f>+SUMIF(Hoja4!$B$3:$B$166,$A46,Hoja4!$D$3:$D$166)</f>
        <v>11550091</v>
      </c>
      <c r="D46" s="99">
        <f>+SUMIF(Hoja4!$B$3:$B$166,$A46,Hoja4!$E$3:$E$166)</f>
        <v>11550091</v>
      </c>
      <c r="E46" s="99">
        <f>+SUMIF(Hoja4!$B$3:$B$166,$A46,Hoja4!$F$3:$F$166)</f>
        <v>0</v>
      </c>
      <c r="F46" s="99">
        <f>+SUMIF(Hoja4!$B$3:$B$166,$A46,Hoja4!$J$3:$J$166)</f>
        <v>11101804.129999999</v>
      </c>
      <c r="G46" s="99">
        <f>+SUMIF(Hoja4!$B$3:$B$166,$A46,Hoja4!$K$3:$K$166)</f>
        <v>448286.87</v>
      </c>
      <c r="H46" s="135">
        <f>+IFERROR(Hoja4!L42,0)</f>
        <v>0.96118758977743113</v>
      </c>
      <c r="I46" s="135">
        <f>+IFERROR(Hoja4!M42,0)</f>
        <v>3.8812410222568809E-2</v>
      </c>
    </row>
    <row r="47" spans="1:11" x14ac:dyDescent="0.25">
      <c r="A47" s="73" t="str">
        <f>+Hoja4!B43</f>
        <v>E-10302</v>
      </c>
      <c r="B47" s="102" t="str">
        <f>+Hoja4!C43</f>
        <v>PUBLICIDAD Y PROPAG.</v>
      </c>
      <c r="C47" s="99">
        <f>+SUMIF(Hoja4!$B$3:$B$166,$A47,Hoja4!$D$3:$D$166)</f>
        <v>0</v>
      </c>
      <c r="D47" s="99">
        <f>+SUMIF(Hoja4!$B$3:$B$166,$A47,Hoja4!$E$3:$E$166)</f>
        <v>0</v>
      </c>
      <c r="E47" s="99">
        <f>+SUMIF(Hoja4!$B$3:$B$166,$A47,Hoja4!$F$3:$F$166)</f>
        <v>0</v>
      </c>
      <c r="F47" s="99">
        <f>+SUMIF(Hoja4!$B$3:$B$166,$A47,Hoja4!$J$3:$J$166)</f>
        <v>0</v>
      </c>
      <c r="G47" s="99">
        <f>+SUMIF(Hoja4!$B$3:$B$166,$A47,Hoja4!$K$3:$K$166)</f>
        <v>0</v>
      </c>
      <c r="H47" s="135">
        <f>+IFERROR(Hoja4!L43,0)</f>
        <v>0</v>
      </c>
      <c r="I47" s="135">
        <f>+IFERROR(Hoja4!M43,0)</f>
        <v>0</v>
      </c>
    </row>
    <row r="48" spans="1:11" x14ac:dyDescent="0.25">
      <c r="A48" s="73" t="str">
        <f>+Hoja4!B44</f>
        <v>E-10303</v>
      </c>
      <c r="B48" s="102" t="str">
        <f>+Hoja4!C44</f>
        <v>IMP., ENCUAD Y OTROS</v>
      </c>
      <c r="C48" s="99">
        <f>+SUMIF(Hoja4!$B$3:$B$166,$A48,Hoja4!$D$3:$D$166)</f>
        <v>17442000</v>
      </c>
      <c r="D48" s="99">
        <f>+SUMIF(Hoja4!$B$3:$B$166,$A48,Hoja4!$E$3:$E$166)</f>
        <v>17442000</v>
      </c>
      <c r="E48" s="99">
        <f>+SUMIF(Hoja4!$B$3:$B$166,$A48,Hoja4!$F$3:$F$166)</f>
        <v>0</v>
      </c>
      <c r="F48" s="99">
        <f>+SUMIF(Hoja4!$B$3:$B$166,$A48,Hoja4!$J$3:$J$166)</f>
        <v>7090010.4199999999</v>
      </c>
      <c r="G48" s="99">
        <f>+SUMIF(Hoja4!$B$3:$B$166,$A48,Hoja4!$K$3:$K$166)</f>
        <v>10351989.58</v>
      </c>
      <c r="H48" s="135">
        <f>+IFERROR(Hoja4!L44,0)</f>
        <v>0.40649067882123607</v>
      </c>
      <c r="I48" s="135">
        <f>+IFERROR(Hoja4!M44,0)</f>
        <v>0.59350932117876387</v>
      </c>
    </row>
    <row r="49" spans="1:11" x14ac:dyDescent="0.25">
      <c r="A49" s="73" t="str">
        <f>+Hoja4!B45</f>
        <v>E-10304</v>
      </c>
      <c r="B49" s="102" t="str">
        <f>+Hoja4!C45</f>
        <v>TRANSPORTE DE BIENES</v>
      </c>
      <c r="C49" s="99">
        <f>+SUMIF(Hoja4!$B$3:$B$166,$A49,Hoja4!$D$3:$D$166)</f>
        <v>0</v>
      </c>
      <c r="D49" s="99">
        <f>+SUMIF(Hoja4!$B$3:$B$166,$A49,Hoja4!$E$3:$E$166)</f>
        <v>0</v>
      </c>
      <c r="E49" s="99">
        <f>+SUMIF(Hoja4!$B$3:$B$166,$A49,Hoja4!$F$3:$F$166)</f>
        <v>0</v>
      </c>
      <c r="F49" s="99">
        <f>+SUMIF(Hoja4!$B$3:$B$166,$A49,Hoja4!$J$3:$J$166)</f>
        <v>0</v>
      </c>
      <c r="G49" s="99">
        <f>+SUMIF(Hoja4!$B$3:$B$166,$A49,Hoja4!$K$3:$K$166)</f>
        <v>0</v>
      </c>
      <c r="H49" s="135">
        <f>+IFERROR(Hoja4!L45,0)</f>
        <v>0</v>
      </c>
      <c r="I49" s="135">
        <f>+IFERROR(Hoja4!M45,0)</f>
        <v>0</v>
      </c>
    </row>
    <row r="50" spans="1:11" x14ac:dyDescent="0.25">
      <c r="A50" s="73" t="str">
        <f>+Hoja4!B46</f>
        <v>E-10306</v>
      </c>
      <c r="B50" s="102" t="str">
        <f>+Hoja4!C46</f>
        <v>COM G.P.S.FIN Y COM.</v>
      </c>
      <c r="C50" s="99">
        <f>+SUMIF(Hoja4!$B$3:$B$166,$A50,Hoja4!$D$3:$D$166)</f>
        <v>200000</v>
      </c>
      <c r="D50" s="99">
        <f>+SUMIF(Hoja4!$B$3:$B$166,$A50,Hoja4!$E$3:$E$166)</f>
        <v>200000</v>
      </c>
      <c r="E50" s="99">
        <f>+SUMIF(Hoja4!$B$3:$B$166,$A50,Hoja4!$F$3:$F$166)</f>
        <v>0</v>
      </c>
      <c r="F50" s="99">
        <f>+SUMIF(Hoja4!$B$3:$B$166,$A50,Hoja4!$J$3:$J$166)</f>
        <v>90716.66</v>
      </c>
      <c r="G50" s="99">
        <f>+SUMIF(Hoja4!$B$3:$B$166,$A50,Hoja4!$K$3:$K$166)</f>
        <v>109283.34</v>
      </c>
      <c r="H50" s="135">
        <f>+IFERROR(Hoja4!L46,0)</f>
        <v>0.45358330000000002</v>
      </c>
      <c r="I50" s="135">
        <f>+IFERROR(Hoja4!M46,0)</f>
        <v>0.54641669999999998</v>
      </c>
    </row>
    <row r="51" spans="1:11" x14ac:dyDescent="0.25">
      <c r="A51" s="73" t="str">
        <f>+Hoja4!B47</f>
        <v>E-10307</v>
      </c>
      <c r="B51" s="102" t="str">
        <f>+Hoja4!C47</f>
        <v>SERV TRANSF.ELEC.INF</v>
      </c>
      <c r="C51" s="99">
        <f>+SUMIF(Hoja4!$B$3:$B$166,$A51,Hoja4!$D$3:$D$166)</f>
        <v>1596000</v>
      </c>
      <c r="D51" s="99">
        <f>+SUMIF(Hoja4!$B$3:$B$166,$A51,Hoja4!$E$3:$E$166)</f>
        <v>1596000</v>
      </c>
      <c r="E51" s="99">
        <f>+SUMIF(Hoja4!$B$3:$B$166,$A51,Hoja4!$F$3:$F$166)</f>
        <v>0</v>
      </c>
      <c r="F51" s="99">
        <f>+SUMIF(Hoja4!$B$3:$B$166,$A51,Hoja4!$J$3:$J$166)</f>
        <v>294567.77</v>
      </c>
      <c r="G51" s="99">
        <f>+SUMIF(Hoja4!$B$3:$B$166,$A51,Hoja4!$K$3:$K$166)</f>
        <v>1301432.23</v>
      </c>
      <c r="H51" s="135">
        <f>+IFERROR(Hoja4!L47,0)</f>
        <v>0.18456627192982458</v>
      </c>
      <c r="I51" s="135">
        <f>+IFERROR(Hoja4!M47,0)</f>
        <v>0.81543372807017545</v>
      </c>
    </row>
    <row r="52" spans="1:11" s="23" customFormat="1" x14ac:dyDescent="0.25">
      <c r="A52" s="71" t="str">
        <f>+Hoja4!B48</f>
        <v>E-104</v>
      </c>
      <c r="B52" s="101" t="str">
        <f>+Hoja4!C48</f>
        <v>SERV DE GEST Y APOYO</v>
      </c>
      <c r="C52" s="72">
        <f>SUM(C53:C59)</f>
        <v>670556903</v>
      </c>
      <c r="D52" s="72">
        <f t="shared" ref="D52:G52" si="11">SUM(D53:D59)</f>
        <v>670556903</v>
      </c>
      <c r="E52" s="72">
        <f t="shared" si="11"/>
        <v>0</v>
      </c>
      <c r="F52" s="72">
        <f t="shared" si="11"/>
        <v>590643834.03999996</v>
      </c>
      <c r="G52" s="72">
        <f t="shared" si="11"/>
        <v>79913068.959999993</v>
      </c>
      <c r="H52" s="140">
        <f>+IFERROR(Hoja4!L48,0)</f>
        <v>0.88082582014669075</v>
      </c>
      <c r="I52" s="140">
        <f>+IFERROR(Hoja4!M48,0)</f>
        <v>0.11917417985330919</v>
      </c>
      <c r="J52" s="126"/>
      <c r="K52" s="126">
        <f>+C52-Estado!C82</f>
        <v>0</v>
      </c>
    </row>
    <row r="53" spans="1:11" x14ac:dyDescent="0.25">
      <c r="A53" s="73" t="str">
        <f>+Hoja4!B49</f>
        <v>E-10401</v>
      </c>
      <c r="B53" s="102" t="str">
        <f>+Hoja4!C49</f>
        <v>SERV.MEDICOS YDE LAB</v>
      </c>
      <c r="C53" s="99">
        <f>+SUMIF(Hoja4!$B$3:$B$166,$A53,Hoja4!$D$3:$D$166)</f>
        <v>21381819</v>
      </c>
      <c r="D53" s="99">
        <f>+SUMIF(Hoja4!$B$3:$B$166,$A53,Hoja4!$E$3:$E$166)</f>
        <v>21381819</v>
      </c>
      <c r="E53" s="99">
        <f>+SUMIF(Hoja4!$B$3:$B$166,$A53,Hoja4!$F$3:$F$166)</f>
        <v>0</v>
      </c>
      <c r="F53" s="99">
        <f>+SUMIF(Hoja4!$B$3:$B$166,$A53,Hoja4!$J$3:$J$166)</f>
        <v>21114352</v>
      </c>
      <c r="G53" s="99">
        <f>+SUMIF(Hoja4!$B$3:$B$166,$A53,Hoja4!$K$3:$K$166)</f>
        <v>267467</v>
      </c>
      <c r="H53" s="135">
        <f>+IFERROR(Hoja4!L49,0)</f>
        <v>0.98749091459431027</v>
      </c>
      <c r="I53" s="135">
        <f>+IFERROR(Hoja4!M49,0)</f>
        <v>1.2509085405689759E-2</v>
      </c>
    </row>
    <row r="54" spans="1:11" x14ac:dyDescent="0.25">
      <c r="A54" s="73" t="str">
        <f>+Hoja4!B50</f>
        <v>E-10402</v>
      </c>
      <c r="B54" s="102" t="str">
        <f>+Hoja4!C50</f>
        <v>SERVICIOS JURÍDICOS</v>
      </c>
      <c r="C54" s="99">
        <f>+SUMIF(Hoja4!$B$3:$B$166,$A54,Hoja4!$D$3:$D$166)</f>
        <v>2000000</v>
      </c>
      <c r="D54" s="99">
        <f>+SUMIF(Hoja4!$B$3:$B$166,$A54,Hoja4!$E$3:$E$166)</f>
        <v>2000000</v>
      </c>
      <c r="E54" s="99">
        <f>+SUMIF(Hoja4!$B$3:$B$166,$A54,Hoja4!$F$3:$F$166)</f>
        <v>0</v>
      </c>
      <c r="F54" s="99">
        <f>+SUMIF(Hoja4!$B$3:$B$166,$A54,Hoja4!$J$3:$J$166)</f>
        <v>0</v>
      </c>
      <c r="G54" s="99">
        <f>+SUMIF(Hoja4!$B$3:$B$166,$A54,Hoja4!$K$3:$K$166)</f>
        <v>2000000</v>
      </c>
      <c r="H54" s="135">
        <f>+IFERROR(Hoja4!L50,0)</f>
        <v>0</v>
      </c>
      <c r="I54" s="135">
        <f>+IFERROR(Hoja4!M50,0)</f>
        <v>1</v>
      </c>
    </row>
    <row r="55" spans="1:11" x14ac:dyDescent="0.25">
      <c r="A55" s="73" t="str">
        <f>+Hoja4!B51</f>
        <v>E-10403</v>
      </c>
      <c r="B55" s="102" t="str">
        <f>+Hoja4!C51</f>
        <v>SERV. DE INGENIERÍA</v>
      </c>
      <c r="C55" s="99">
        <f>+SUMIF(Hoja4!$B$3:$B$166,$A55,Hoja4!$D$3:$D$166)</f>
        <v>101242333</v>
      </c>
      <c r="D55" s="99">
        <f>+SUMIF(Hoja4!$B$3:$B$166,$A55,Hoja4!$E$3:$E$166)</f>
        <v>101242333</v>
      </c>
      <c r="E55" s="99">
        <f>+SUMIF(Hoja4!$B$3:$B$166,$A55,Hoja4!$F$3:$F$166)</f>
        <v>0</v>
      </c>
      <c r="F55" s="99">
        <f>+SUMIF(Hoja4!$B$3:$B$166,$A55,Hoja4!$J$3:$J$166)</f>
        <v>63144258.32</v>
      </c>
      <c r="G55" s="99">
        <f>+SUMIF(Hoja4!$B$3:$B$166,$A55,Hoja4!$K$3:$K$166)</f>
        <v>38098074.68</v>
      </c>
      <c r="H55" s="135">
        <f>+IFERROR(Hoja4!L51,0)</f>
        <v>0.6236942240357104</v>
      </c>
      <c r="I55" s="135">
        <f>+IFERROR(Hoja4!M51,0)</f>
        <v>0.37630577596428955</v>
      </c>
    </row>
    <row r="56" spans="1:11" x14ac:dyDescent="0.25">
      <c r="A56" s="73" t="str">
        <f>+Hoja4!B52</f>
        <v>E-10404</v>
      </c>
      <c r="B56" s="102" t="str">
        <f>+Hoja4!C52</f>
        <v>SERV.CIEN.ECON.Y SOC</v>
      </c>
      <c r="C56" s="99">
        <f>+SUMIF(Hoja4!$B$3:$B$166,$A56,Hoja4!$D$3:$D$166)</f>
        <v>0</v>
      </c>
      <c r="D56" s="99">
        <f>+SUMIF(Hoja4!$B$3:$B$166,$A56,Hoja4!$E$3:$E$166)</f>
        <v>0</v>
      </c>
      <c r="E56" s="99">
        <f>+SUMIF(Hoja4!$B$3:$B$166,$A56,Hoja4!$F$3:$F$166)</f>
        <v>0</v>
      </c>
      <c r="F56" s="99">
        <f>+SUMIF(Hoja4!$B$3:$B$166,$A56,Hoja4!$J$3:$J$166)</f>
        <v>0</v>
      </c>
      <c r="G56" s="99">
        <f>+SUMIF(Hoja4!$B$3:$B$166,$A56,Hoja4!$K$3:$K$166)</f>
        <v>0</v>
      </c>
      <c r="H56" s="135">
        <f>+IFERROR(Hoja4!L52,0)</f>
        <v>0</v>
      </c>
      <c r="I56" s="135">
        <f>+IFERROR(Hoja4!M52,0)</f>
        <v>0</v>
      </c>
    </row>
    <row r="57" spans="1:11" x14ac:dyDescent="0.25">
      <c r="A57" s="73" t="str">
        <f>+Hoja4!B53</f>
        <v>E-10405</v>
      </c>
      <c r="B57" s="102" t="str">
        <f>+Hoja4!C53</f>
        <v>SERV.DES.SIST.INFORM</v>
      </c>
      <c r="C57" s="99">
        <f>+SUMIF(Hoja4!$B$3:$B$166,$A57,Hoja4!$D$3:$D$166)</f>
        <v>0</v>
      </c>
      <c r="D57" s="99">
        <f>+SUMIF(Hoja4!$B$3:$B$166,$A57,Hoja4!$E$3:$E$166)</f>
        <v>0</v>
      </c>
      <c r="E57" s="99">
        <f>+SUMIF(Hoja4!$B$3:$B$166,$A57,Hoja4!$F$3:$F$166)</f>
        <v>0</v>
      </c>
      <c r="F57" s="99">
        <f>+SUMIF(Hoja4!$B$3:$B$166,$A57,Hoja4!$J$3:$J$166)</f>
        <v>0</v>
      </c>
      <c r="G57" s="99">
        <f>+SUMIF(Hoja4!$B$3:$B$166,$A57,Hoja4!$K$3:$K$166)</f>
        <v>0</v>
      </c>
      <c r="H57" s="135">
        <f>+IFERROR(Hoja4!L53,0)</f>
        <v>0</v>
      </c>
      <c r="I57" s="135">
        <f>+IFERROR(Hoja4!M53,0)</f>
        <v>0</v>
      </c>
    </row>
    <row r="58" spans="1:11" x14ac:dyDescent="0.25">
      <c r="A58" s="73" t="str">
        <f>+Hoja4!B54</f>
        <v>E-10406</v>
      </c>
      <c r="B58" s="102" t="str">
        <f>+Hoja4!C54</f>
        <v>SERVICIOS GENERALES</v>
      </c>
      <c r="C58" s="99">
        <f>+SUMIF(Hoja4!$B$3:$B$166,$A58,Hoja4!$D$3:$D$166)</f>
        <v>467969179</v>
      </c>
      <c r="D58" s="99">
        <f>+SUMIF(Hoja4!$B$3:$B$166,$A58,Hoja4!$E$3:$E$166)</f>
        <v>467969179</v>
      </c>
      <c r="E58" s="99">
        <f>+SUMIF(Hoja4!$B$3:$B$166,$A58,Hoja4!$F$3:$F$166)</f>
        <v>0</v>
      </c>
      <c r="F58" s="99">
        <f>+SUMIF(Hoja4!$B$3:$B$166,$A58,Hoja4!$J$3:$J$166)</f>
        <v>434201617.30000001</v>
      </c>
      <c r="G58" s="99">
        <f>+SUMIF(Hoja4!$B$3:$B$166,$A58,Hoja4!$K$3:$K$166)</f>
        <v>33767561.700000003</v>
      </c>
      <c r="H58" s="135">
        <f>+IFERROR(Hoja4!L54,0)</f>
        <v>0.92784233830920737</v>
      </c>
      <c r="I58" s="135">
        <f>+IFERROR(Hoja4!M54,0)</f>
        <v>7.2157661690792685E-2</v>
      </c>
    </row>
    <row r="59" spans="1:11" x14ac:dyDescent="0.25">
      <c r="A59" s="73" t="str">
        <f>+Hoja4!B55</f>
        <v>E-10499</v>
      </c>
      <c r="B59" s="102" t="str">
        <f>+Hoja4!C55</f>
        <v>OTROS SERV.GEST.APOY</v>
      </c>
      <c r="C59" s="99">
        <f>+SUMIF(Hoja4!$B$3:$B$166,$A59,Hoja4!$D$3:$D$166)</f>
        <v>77963572</v>
      </c>
      <c r="D59" s="99">
        <f>+SUMIF(Hoja4!$B$3:$B$166,$A59,Hoja4!$E$3:$E$166)</f>
        <v>77963572</v>
      </c>
      <c r="E59" s="99">
        <f>+SUMIF(Hoja4!$B$3:$B$166,$A59,Hoja4!$F$3:$F$166)</f>
        <v>0</v>
      </c>
      <c r="F59" s="99">
        <f>+SUMIF(Hoja4!$B$3:$B$166,$A59,Hoja4!$J$3:$J$166)</f>
        <v>72183606.420000002</v>
      </c>
      <c r="G59" s="99">
        <f>+SUMIF(Hoja4!$B$3:$B$166,$A59,Hoja4!$K$3:$K$166)</f>
        <v>5779965.5800000001</v>
      </c>
      <c r="H59" s="135">
        <f>+IFERROR(Hoja4!L55,0)</f>
        <v>0.92586325341789111</v>
      </c>
      <c r="I59" s="135">
        <f>+IFERROR(Hoja4!M55,0)</f>
        <v>7.4136746582108892E-2</v>
      </c>
    </row>
    <row r="60" spans="1:11" s="23" customFormat="1" x14ac:dyDescent="0.25">
      <c r="A60" s="71" t="str">
        <f>+Hoja4!B56</f>
        <v>E-105</v>
      </c>
      <c r="B60" s="101" t="str">
        <f>+Hoja4!C56</f>
        <v>GAST. VIAJE Y TRANSP</v>
      </c>
      <c r="C60" s="72">
        <f>SUM(C61:C64)</f>
        <v>191860298</v>
      </c>
      <c r="D60" s="72">
        <f t="shared" ref="D60:G60" si="12">SUM(D61:D64)</f>
        <v>191860298</v>
      </c>
      <c r="E60" s="72">
        <f t="shared" si="12"/>
        <v>0</v>
      </c>
      <c r="F60" s="72">
        <f t="shared" si="12"/>
        <v>145037582.13</v>
      </c>
      <c r="G60" s="72">
        <f t="shared" si="12"/>
        <v>46822715.870000005</v>
      </c>
      <c r="H60" s="140">
        <f>+IFERROR(Hoja4!L56,0)</f>
        <v>0.7559541168334889</v>
      </c>
      <c r="I60" s="140">
        <f>+IFERROR(Hoja4!M56,0)</f>
        <v>0.24404588316651107</v>
      </c>
      <c r="J60" s="126"/>
      <c r="K60" s="126">
        <f>+C60-Estado!C90</f>
        <v>0</v>
      </c>
    </row>
    <row r="61" spans="1:11" x14ac:dyDescent="0.25">
      <c r="A61" s="73" t="str">
        <f>+Hoja4!B57</f>
        <v>E-10501</v>
      </c>
      <c r="B61" s="102" t="str">
        <f>+Hoja4!C57</f>
        <v>TRANSP.DENT.DEL PAÍS</v>
      </c>
      <c r="C61" s="99">
        <f>+SUMIF(Hoja4!$B$3:$B$166,$A61,Hoja4!$D$3:$D$166)</f>
        <v>8031890</v>
      </c>
      <c r="D61" s="99">
        <f>+SUMIF(Hoja4!$B$3:$B$166,$A61,Hoja4!$E$3:$E$166)</f>
        <v>8031890</v>
      </c>
      <c r="E61" s="99">
        <f>+SUMIF(Hoja4!$B$3:$B$166,$A61,Hoja4!$F$3:$F$166)</f>
        <v>0</v>
      </c>
      <c r="F61" s="99">
        <f>+SUMIF(Hoja4!$B$3:$B$166,$A61,Hoja4!$J$3:$J$166)</f>
        <v>4418270</v>
      </c>
      <c r="G61" s="99">
        <f>+SUMIF(Hoja4!$B$3:$B$166,$A61,Hoja4!$K$3:$K$166)</f>
        <v>3613620</v>
      </c>
      <c r="H61" s="135">
        <f>+IFERROR(Hoja4!L57,0)</f>
        <v>0.5500909499507588</v>
      </c>
      <c r="I61" s="135">
        <f>+IFERROR(Hoja4!M57,0)</f>
        <v>0.4499090500492412</v>
      </c>
    </row>
    <row r="62" spans="1:11" x14ac:dyDescent="0.25">
      <c r="A62" s="73" t="str">
        <f>+Hoja4!B58</f>
        <v>E-10502</v>
      </c>
      <c r="B62" s="102" t="str">
        <f>+Hoja4!C58</f>
        <v>VIÁTICOS DENTRO PAÍS</v>
      </c>
      <c r="C62" s="99">
        <f>+SUMIF(Hoja4!$B$3:$B$166,$A62,Hoja4!$D$3:$D$166)</f>
        <v>166072773</v>
      </c>
      <c r="D62" s="99">
        <f>+SUMIF(Hoja4!$B$3:$B$166,$A62,Hoja4!$E$3:$E$166)</f>
        <v>166072773</v>
      </c>
      <c r="E62" s="99">
        <f>+SUMIF(Hoja4!$B$3:$B$166,$A62,Hoja4!$F$3:$F$166)</f>
        <v>0</v>
      </c>
      <c r="F62" s="99">
        <f>+SUMIF(Hoja4!$B$3:$B$166,$A62,Hoja4!$J$3:$J$166)</f>
        <v>128017195</v>
      </c>
      <c r="G62" s="99">
        <f>+SUMIF(Hoja4!$B$3:$B$166,$A62,Hoja4!$K$3:$K$166)</f>
        <v>38055578</v>
      </c>
      <c r="H62" s="135">
        <f>+IFERROR(Hoja4!L58,0)</f>
        <v>0.7708499875533481</v>
      </c>
      <c r="I62" s="135">
        <f>+IFERROR(Hoja4!M58,0)</f>
        <v>0.22915001244665192</v>
      </c>
    </row>
    <row r="63" spans="1:11" x14ac:dyDescent="0.25">
      <c r="A63" s="73" t="str">
        <f>+Hoja4!B59</f>
        <v>E-10503</v>
      </c>
      <c r="B63" s="102" t="str">
        <f>+Hoja4!C59</f>
        <v>TRANSPORTE EN EL EXT</v>
      </c>
      <c r="C63" s="99">
        <f>+SUMIF(Hoja4!$B$3:$B$166,$A63,Hoja4!$D$3:$D$166)</f>
        <v>7206683</v>
      </c>
      <c r="D63" s="99">
        <f>+SUMIF(Hoja4!$B$3:$B$166,$A63,Hoja4!$E$3:$E$166)</f>
        <v>7206683</v>
      </c>
      <c r="E63" s="99">
        <f>+SUMIF(Hoja4!$B$3:$B$166,$A63,Hoja4!$F$3:$F$166)</f>
        <v>0</v>
      </c>
      <c r="F63" s="99">
        <f>+SUMIF(Hoja4!$B$3:$B$166,$A63,Hoja4!$J$3:$J$166)</f>
        <v>5492030.4800000004</v>
      </c>
      <c r="G63" s="99">
        <f>+SUMIF(Hoja4!$B$3:$B$166,$A63,Hoja4!$K$3:$K$166)</f>
        <v>1714652.52</v>
      </c>
      <c r="H63" s="135">
        <f>+IFERROR(Hoja4!L59,0)</f>
        <v>0.76207465764763072</v>
      </c>
      <c r="I63" s="135">
        <f>+IFERROR(Hoja4!M59,0)</f>
        <v>0.23792534235236931</v>
      </c>
    </row>
    <row r="64" spans="1:11" x14ac:dyDescent="0.25">
      <c r="A64" s="73" t="str">
        <f>+Hoja4!B60</f>
        <v>E-10504</v>
      </c>
      <c r="B64" s="102" t="str">
        <f>+Hoja4!C60</f>
        <v>VIÁTICOS EN EXTERIOR</v>
      </c>
      <c r="C64" s="99">
        <f>+SUMIF(Hoja4!$B$3:$B$166,$A64,Hoja4!$D$3:$D$166)</f>
        <v>10548952</v>
      </c>
      <c r="D64" s="99">
        <f>+SUMIF(Hoja4!$B$3:$B$166,$A64,Hoja4!$E$3:$E$166)</f>
        <v>10548952</v>
      </c>
      <c r="E64" s="99">
        <f>+SUMIF(Hoja4!$B$3:$B$166,$A64,Hoja4!$F$3:$F$166)</f>
        <v>0</v>
      </c>
      <c r="F64" s="99">
        <f>+SUMIF(Hoja4!$B$3:$B$166,$A64,Hoja4!$J$3:$J$166)</f>
        <v>7110086.6500000004</v>
      </c>
      <c r="G64" s="99">
        <f>+SUMIF(Hoja4!$B$3:$B$166,$A64,Hoja4!$K$3:$K$166)</f>
        <v>3438865.35</v>
      </c>
      <c r="H64" s="135">
        <f>+IFERROR(Hoja4!L60,0)</f>
        <v>0.67400881623122377</v>
      </c>
      <c r="I64" s="135">
        <f>+IFERROR(Hoja4!M60,0)</f>
        <v>0.32599118376877628</v>
      </c>
    </row>
    <row r="65" spans="1:11" s="23" customFormat="1" x14ac:dyDescent="0.25">
      <c r="A65" s="71" t="str">
        <f>+Hoja4!B61</f>
        <v>E-106</v>
      </c>
      <c r="B65" s="101" t="str">
        <f>+Hoja4!C61</f>
        <v>SEGUROS REASEG Y OTR</v>
      </c>
      <c r="C65" s="72">
        <f>SUM(C66:C67)</f>
        <v>1424925704.29</v>
      </c>
      <c r="D65" s="72">
        <f t="shared" ref="D65:G65" si="13">SUM(D66:D67)</f>
        <v>1424925704.29</v>
      </c>
      <c r="E65" s="72">
        <f t="shared" si="13"/>
        <v>0</v>
      </c>
      <c r="F65" s="72">
        <f t="shared" si="13"/>
        <v>1367300026.9000001</v>
      </c>
      <c r="G65" s="72">
        <f t="shared" si="13"/>
        <v>57625677.390000001</v>
      </c>
      <c r="H65" s="140">
        <f>+IFERROR(Hoja4!L61,0)</f>
        <v>0.95955881965178447</v>
      </c>
      <c r="I65" s="140">
        <f>+IFERROR(Hoja4!M61,0)</f>
        <v>4.0441180348215588E-2</v>
      </c>
      <c r="J65" s="126"/>
      <c r="K65" s="126">
        <f>+C65-Estado!C95</f>
        <v>0</v>
      </c>
    </row>
    <row r="66" spans="1:11" x14ac:dyDescent="0.25">
      <c r="A66" s="73" t="str">
        <f>+Hoja4!B62</f>
        <v>E-10601</v>
      </c>
      <c r="B66" s="102" t="str">
        <f>+Hoja4!C62</f>
        <v>SEGUROS</v>
      </c>
      <c r="C66" s="99">
        <f>+SUMIF(Hoja4!$B$3:$B$166,$A66,Hoja4!$D$3:$D$166)</f>
        <v>1424925704.29</v>
      </c>
      <c r="D66" s="99">
        <f>+SUMIF(Hoja4!$B$3:$B$166,$A66,Hoja4!$E$3:$E$166)</f>
        <v>1424925704.29</v>
      </c>
      <c r="E66" s="99">
        <f>+SUMIF(Hoja4!$B$3:$B$166,$A66,Hoja4!$F$3:$F$166)</f>
        <v>0</v>
      </c>
      <c r="F66" s="99">
        <f>+SUMIF(Hoja4!$B$3:$B$166,$A66,Hoja4!$J$3:$J$166)</f>
        <v>1367300026.9000001</v>
      </c>
      <c r="G66" s="99">
        <f>+SUMIF(Hoja4!$B$3:$B$166,$A66,Hoja4!$K$3:$K$166)</f>
        <v>57625677.390000001</v>
      </c>
      <c r="H66" s="135">
        <f>+IFERROR(Hoja4!L62,0)</f>
        <v>0.95955881965178447</v>
      </c>
      <c r="I66" s="135">
        <f>+IFERROR(Hoja4!M62,0)</f>
        <v>4.0441180348215588E-2</v>
      </c>
    </row>
    <row r="67" spans="1:11" x14ac:dyDescent="0.25">
      <c r="A67" s="73" t="str">
        <f>+Hoja4!B63</f>
        <v>E-10602</v>
      </c>
      <c r="B67" s="102" t="str">
        <f>+Hoja4!C63</f>
        <v>REASEGUROS</v>
      </c>
      <c r="C67" s="99">
        <f>+SUMIF(Hoja4!$B$3:$B$166,$A67,Hoja4!$D$3:$D$166)</f>
        <v>0</v>
      </c>
      <c r="D67" s="99">
        <f>+SUMIF(Hoja4!$B$3:$B$166,$A67,Hoja4!$E$3:$E$166)</f>
        <v>0</v>
      </c>
      <c r="E67" s="99">
        <f>+SUMIF(Hoja4!$B$3:$B$166,$A67,Hoja4!$F$3:$F$166)</f>
        <v>0</v>
      </c>
      <c r="F67" s="99">
        <f>+SUMIF(Hoja4!$B$3:$B$166,$A67,Hoja4!$J$3:$J$166)</f>
        <v>0</v>
      </c>
      <c r="G67" s="99">
        <f>+SUMIF(Hoja4!$B$3:$B$166,$A67,Hoja4!$K$3:$K$166)</f>
        <v>0</v>
      </c>
      <c r="H67" s="135">
        <f>+IFERROR(Hoja4!L63,0)</f>
        <v>0</v>
      </c>
      <c r="I67" s="135">
        <f>+IFERROR(Hoja4!M63,0)</f>
        <v>0</v>
      </c>
    </row>
    <row r="68" spans="1:11" s="23" customFormat="1" x14ac:dyDescent="0.25">
      <c r="A68" s="71" t="str">
        <f>+Hoja4!B64</f>
        <v>E-107</v>
      </c>
      <c r="B68" s="101" t="str">
        <f>+Hoja4!C64</f>
        <v>CAPACIT. Y PROTOCOLO</v>
      </c>
      <c r="C68" s="72">
        <f>SUM(C69:C71)</f>
        <v>15995940</v>
      </c>
      <c r="D68" s="72">
        <f t="shared" ref="D68:G68" si="14">SUM(D69:D71)</f>
        <v>15695940</v>
      </c>
      <c r="E68" s="72">
        <f t="shared" si="14"/>
        <v>0</v>
      </c>
      <c r="F68" s="72">
        <f t="shared" si="14"/>
        <v>15231380</v>
      </c>
      <c r="G68" s="72">
        <f t="shared" si="14"/>
        <v>764560</v>
      </c>
      <c r="H68" s="140">
        <f>+IFERROR(Hoja4!L64,0)</f>
        <v>0.95220287147863769</v>
      </c>
      <c r="I68" s="140">
        <f>+IFERROR(Hoja4!M64,0)</f>
        <v>4.7797128521362295E-2</v>
      </c>
      <c r="J68" s="126"/>
      <c r="K68" s="126"/>
    </row>
    <row r="69" spans="1:11" x14ac:dyDescent="0.25">
      <c r="A69" s="73" t="str">
        <f>+Hoja4!B65</f>
        <v>E-10701</v>
      </c>
      <c r="B69" s="102" t="str">
        <f>+Hoja4!C65</f>
        <v>ACTIV. CAPACITACIÓN</v>
      </c>
      <c r="C69" s="99">
        <f>+SUMIF(Hoja4!$B$3:$B$166,$A69,Hoja4!$D$3:$D$166)</f>
        <v>15695940</v>
      </c>
      <c r="D69" s="99">
        <f>+SUMIF(Hoja4!$B$3:$B$166,$A69,Hoja4!$E$3:$E$166)</f>
        <v>15695940</v>
      </c>
      <c r="E69" s="99">
        <f>+SUMIF(Hoja4!$B$3:$B$166,$A69,Hoja4!$F$3:$F$166)</f>
        <v>0</v>
      </c>
      <c r="F69" s="99">
        <f>+SUMIF(Hoja4!$B$3:$B$166,$A69,Hoja4!$J$3:$J$166)</f>
        <v>15231380</v>
      </c>
      <c r="G69" s="99">
        <f>+SUMIF(Hoja4!$B$3:$B$166,$A69,Hoja4!$K$3:$K$166)</f>
        <v>464560</v>
      </c>
      <c r="H69" s="135">
        <f>+IFERROR(Hoja4!L65,0)</f>
        <v>0.9704025372166305</v>
      </c>
      <c r="I69" s="135">
        <f>+IFERROR(Hoja4!M65,0)</f>
        <v>2.9597462783369458E-2</v>
      </c>
    </row>
    <row r="70" spans="1:11" s="23" customFormat="1" x14ac:dyDescent="0.25">
      <c r="A70" s="73" t="str">
        <f>+Hoja4!B66</f>
        <v>E-10702</v>
      </c>
      <c r="B70" s="102" t="str">
        <f>+Hoja4!C66</f>
        <v>ACTIV.PROTOCOL Y SOC</v>
      </c>
      <c r="C70" s="99">
        <f>+SUMIF(Hoja4!$B$3:$B$166,$A70,Hoja4!$D$3:$D$166)</f>
        <v>0</v>
      </c>
      <c r="D70" s="99">
        <f>+SUMIF(Hoja4!$B$3:$B$166,$A70,Hoja4!$E$3:$E$166)</f>
        <v>0</v>
      </c>
      <c r="E70" s="99">
        <f>+SUMIF(Hoja4!$B$3:$B$166,$A70,Hoja4!$F$3:$F$166)</f>
        <v>0</v>
      </c>
      <c r="F70" s="99">
        <f>+SUMIF(Hoja4!$B$3:$B$166,$A70,Hoja4!$J$3:$J$166)</f>
        <v>0</v>
      </c>
      <c r="G70" s="99">
        <f>+SUMIF(Hoja4!$B$3:$B$166,$A70,Hoja4!$K$3:$K$166)</f>
        <v>0</v>
      </c>
      <c r="H70" s="135">
        <f>+IFERROR(Hoja4!L66,0)</f>
        <v>0</v>
      </c>
      <c r="I70" s="135">
        <f>+IFERROR(Hoja4!M66,0)</f>
        <v>0</v>
      </c>
      <c r="J70" s="126"/>
      <c r="K70" s="126"/>
    </row>
    <row r="71" spans="1:11" x14ac:dyDescent="0.25">
      <c r="A71" s="73" t="str">
        <f>+Hoja4!B67</f>
        <v>E-10703</v>
      </c>
      <c r="B71" s="102" t="str">
        <f>+Hoja4!C67</f>
        <v>GASTOS REPRES.INSTIT</v>
      </c>
      <c r="C71" s="99">
        <f>+SUMIF(Hoja4!$B$3:$B$166,$A71,Hoja4!$D$3:$D$166)</f>
        <v>300000</v>
      </c>
      <c r="D71" s="99">
        <f>+SUMIF(Hoja4!$B$3:$B$166,$A71,Hoja4!$E$3:$E$166)</f>
        <v>0</v>
      </c>
      <c r="E71" s="99">
        <f>+SUMIF(Hoja4!$B$3:$B$166,$A71,Hoja4!$F$3:$F$166)</f>
        <v>0</v>
      </c>
      <c r="F71" s="99">
        <f>+SUMIF(Hoja4!$B$3:$B$166,$A71,Hoja4!$J$3:$J$166)</f>
        <v>0</v>
      </c>
      <c r="G71" s="99">
        <f>+SUMIF(Hoja4!$B$3:$B$166,$A71,Hoja4!$K$3:$K$166)</f>
        <v>300000</v>
      </c>
      <c r="H71" s="135">
        <f>+IFERROR(Hoja4!L67,0)</f>
        <v>0</v>
      </c>
      <c r="I71" s="135">
        <f>+IFERROR(Hoja4!M67,0)</f>
        <v>1</v>
      </c>
    </row>
    <row r="72" spans="1:11" s="23" customFormat="1" x14ac:dyDescent="0.25">
      <c r="A72" s="71" t="str">
        <f>+Hoja4!B68</f>
        <v>E-108</v>
      </c>
      <c r="B72" s="101" t="str">
        <f>+Hoja4!C68</f>
        <v>MANTEN. Y REPARACIÓN</v>
      </c>
      <c r="C72" s="72">
        <f>SUM(C73:C79)</f>
        <v>830332075</v>
      </c>
      <c r="D72" s="72">
        <f t="shared" ref="D72:G72" si="15">SUM(D73:D79)</f>
        <v>825832075</v>
      </c>
      <c r="E72" s="72">
        <f t="shared" si="15"/>
        <v>0</v>
      </c>
      <c r="F72" s="72">
        <f t="shared" si="15"/>
        <v>586076488.20000005</v>
      </c>
      <c r="G72" s="72">
        <f t="shared" si="15"/>
        <v>244255586.80000001</v>
      </c>
      <c r="H72" s="140">
        <f>+IFERROR(Hoja4!L68,0)</f>
        <v>0.70583385352179739</v>
      </c>
      <c r="I72" s="140">
        <f>+IFERROR(Hoja4!M68,0)</f>
        <v>0.29416614647820272</v>
      </c>
      <c r="J72" s="126"/>
      <c r="K72" s="126"/>
    </row>
    <row r="73" spans="1:11" x14ac:dyDescent="0.25">
      <c r="A73" s="73" t="str">
        <f>+Hoja4!B69</f>
        <v>E-10801</v>
      </c>
      <c r="B73" s="102" t="str">
        <f>+Hoja4!C69</f>
        <v>MANT.EDIF.,LOC.YTERR</v>
      </c>
      <c r="C73" s="99">
        <f>+SUMIF(Hoja4!$B$3:$B$166,$A73,Hoja4!$D$3:$D$166)</f>
        <v>78656000</v>
      </c>
      <c r="D73" s="99">
        <f>+SUMIF(Hoja4!$B$3:$B$166,$A73,Hoja4!$E$3:$E$166)</f>
        <v>78656000</v>
      </c>
      <c r="E73" s="99">
        <f>+SUMIF(Hoja4!$B$3:$B$166,$A73,Hoja4!$F$3:$F$166)</f>
        <v>0</v>
      </c>
      <c r="F73" s="99">
        <f>+SUMIF(Hoja4!$B$3:$B$166,$A73,Hoja4!$J$3:$J$166)</f>
        <v>26684954.780000001</v>
      </c>
      <c r="G73" s="99">
        <f>+SUMIF(Hoja4!$B$3:$B$166,$A73,Hoja4!$K$3:$K$166)</f>
        <v>51971045.219999999</v>
      </c>
      <c r="H73" s="135">
        <f>+IFERROR(Hoja4!L69,0)</f>
        <v>0.33926152842758339</v>
      </c>
      <c r="I73" s="135">
        <f>+IFERROR(Hoja4!M69,0)</f>
        <v>0.66073847157241661</v>
      </c>
    </row>
    <row r="74" spans="1:11" x14ac:dyDescent="0.25">
      <c r="A74" s="73" t="str">
        <f>+Hoja4!B70</f>
        <v>E-10804</v>
      </c>
      <c r="B74" s="102" t="str">
        <f>+Hoja4!C70</f>
        <v>MANT.Y REP.M.EQ.PROD</v>
      </c>
      <c r="C74" s="99">
        <f>+SUMIF(Hoja4!$B$3:$B$166,$A74,Hoja4!$D$3:$D$166)</f>
        <v>388797817</v>
      </c>
      <c r="D74" s="99">
        <f>+SUMIF(Hoja4!$B$3:$B$166,$A74,Hoja4!$E$3:$E$166)</f>
        <v>388797817</v>
      </c>
      <c r="E74" s="99">
        <f>+SUMIF(Hoja4!$B$3:$B$166,$A74,Hoja4!$F$3:$F$166)</f>
        <v>0</v>
      </c>
      <c r="F74" s="99">
        <f>+SUMIF(Hoja4!$B$3:$B$166,$A74,Hoja4!$J$3:$J$166)</f>
        <v>310311905.64999998</v>
      </c>
      <c r="G74" s="99">
        <f>+SUMIF(Hoja4!$B$3:$B$166,$A74,Hoja4!$K$3:$K$166)</f>
        <v>78485911.349999994</v>
      </c>
      <c r="H74" s="135">
        <f>+IFERROR(Hoja4!L70,0)</f>
        <v>0.79813181062690997</v>
      </c>
      <c r="I74" s="135">
        <f>+IFERROR(Hoja4!M70,0)</f>
        <v>0.20186818937309001</v>
      </c>
    </row>
    <row r="75" spans="1:11" x14ac:dyDescent="0.25">
      <c r="A75" s="73" t="str">
        <f>+Hoja4!B71</f>
        <v>E-10805</v>
      </c>
      <c r="B75" s="102" t="str">
        <f>+Hoja4!C71</f>
        <v>MANT.Y REP.EQ.TRANSP</v>
      </c>
      <c r="C75" s="99">
        <f>+SUMIF(Hoja4!$B$3:$B$166,$A75,Hoja4!$D$3:$D$166)</f>
        <v>117065315</v>
      </c>
      <c r="D75" s="99">
        <f>+SUMIF(Hoja4!$B$3:$B$166,$A75,Hoja4!$E$3:$E$166)</f>
        <v>117065315</v>
      </c>
      <c r="E75" s="99">
        <f>+SUMIF(Hoja4!$B$3:$B$166,$A75,Hoja4!$F$3:$F$166)</f>
        <v>0</v>
      </c>
      <c r="F75" s="99">
        <f>+SUMIF(Hoja4!$B$3:$B$166,$A75,Hoja4!$J$3:$J$166)</f>
        <v>80967416.840000004</v>
      </c>
      <c r="G75" s="99">
        <f>+SUMIF(Hoja4!$B$3:$B$166,$A75,Hoja4!$K$3:$K$166)</f>
        <v>36097898.160000004</v>
      </c>
      <c r="H75" s="135">
        <f>+IFERROR(Hoja4!L71,0)</f>
        <v>0.69164309548050162</v>
      </c>
      <c r="I75" s="135">
        <f>+IFERROR(Hoja4!M71,0)</f>
        <v>0.30835690451949838</v>
      </c>
    </row>
    <row r="76" spans="1:11" x14ac:dyDescent="0.25">
      <c r="A76" s="73" t="str">
        <f>+Hoja4!B72</f>
        <v>E-10806</v>
      </c>
      <c r="B76" s="102" t="str">
        <f>+Hoja4!C72</f>
        <v>MANT.Y REP.EQ.COMUNI</v>
      </c>
      <c r="C76" s="99">
        <f>+SUMIF(Hoja4!$B$3:$B$166,$A76,Hoja4!$D$3:$D$166)</f>
        <v>13481770</v>
      </c>
      <c r="D76" s="99">
        <f>+SUMIF(Hoja4!$B$3:$B$166,$A76,Hoja4!$E$3:$E$166)</f>
        <v>8981770</v>
      </c>
      <c r="E76" s="99">
        <f>+SUMIF(Hoja4!$B$3:$B$166,$A76,Hoja4!$F$3:$F$166)</f>
        <v>0</v>
      </c>
      <c r="F76" s="99">
        <f>+SUMIF(Hoja4!$B$3:$B$166,$A76,Hoja4!$J$3:$J$166)</f>
        <v>6395193.4100000001</v>
      </c>
      <c r="G76" s="99">
        <f>+SUMIF(Hoja4!$B$3:$B$166,$A76,Hoja4!$K$3:$K$166)</f>
        <v>7086576.5899999999</v>
      </c>
      <c r="H76" s="135">
        <f>+IFERROR(Hoja4!L72,0)</f>
        <v>0.47435859015544696</v>
      </c>
      <c r="I76" s="135">
        <f>+IFERROR(Hoja4!M72,0)</f>
        <v>0.52564140984455299</v>
      </c>
    </row>
    <row r="77" spans="1:11" x14ac:dyDescent="0.25">
      <c r="A77" s="73" t="str">
        <f>+Hoja4!B73</f>
        <v>E-10807</v>
      </c>
      <c r="B77" s="102" t="str">
        <f>+Hoja4!C73</f>
        <v>MANT.Y REP.EQ.MOB.OF</v>
      </c>
      <c r="C77" s="99">
        <f>+SUMIF(Hoja4!$B$3:$B$166,$A77,Hoja4!$D$3:$D$166)</f>
        <v>23705953</v>
      </c>
      <c r="D77" s="99">
        <f>+SUMIF(Hoja4!$B$3:$B$166,$A77,Hoja4!$E$3:$E$166)</f>
        <v>23705953</v>
      </c>
      <c r="E77" s="99">
        <f>+SUMIF(Hoja4!$B$3:$B$166,$A77,Hoja4!$F$3:$F$166)</f>
        <v>0</v>
      </c>
      <c r="F77" s="99">
        <f>+SUMIF(Hoja4!$B$3:$B$166,$A77,Hoja4!$J$3:$J$166)</f>
        <v>16179780.920000002</v>
      </c>
      <c r="G77" s="99">
        <f>+SUMIF(Hoja4!$B$3:$B$166,$A77,Hoja4!$K$3:$K$166)</f>
        <v>7526172.0800000001</v>
      </c>
      <c r="H77" s="135">
        <f>+IFERROR(Hoja4!L73,0)</f>
        <v>0.68251974177119146</v>
      </c>
      <c r="I77" s="135">
        <f>+IFERROR(Hoja4!M73,0)</f>
        <v>0.3174802582288086</v>
      </c>
    </row>
    <row r="78" spans="1:11" x14ac:dyDescent="0.25">
      <c r="A78" s="73" t="str">
        <f>+Hoja4!B74</f>
        <v>E-10808</v>
      </c>
      <c r="B78" s="102" t="str">
        <f>+Hoja4!C74</f>
        <v>MANT.YREP.EQ.C.S.INF</v>
      </c>
      <c r="C78" s="99">
        <f>+SUMIF(Hoja4!$B$3:$B$166,$A78,Hoja4!$D$3:$D$166)</f>
        <v>68909737</v>
      </c>
      <c r="D78" s="99">
        <f>+SUMIF(Hoja4!$B$3:$B$166,$A78,Hoja4!$E$3:$E$166)</f>
        <v>68909737</v>
      </c>
      <c r="E78" s="99">
        <f>+SUMIF(Hoja4!$B$3:$B$166,$A78,Hoja4!$F$3:$F$166)</f>
        <v>0</v>
      </c>
      <c r="F78" s="99">
        <f>+SUMIF(Hoja4!$B$3:$B$166,$A78,Hoja4!$J$3:$J$166)</f>
        <v>49444845.780000001</v>
      </c>
      <c r="G78" s="99">
        <f>+SUMIF(Hoja4!$B$3:$B$166,$A78,Hoja4!$K$3:$K$166)</f>
        <v>19464891.219999999</v>
      </c>
      <c r="H78" s="135">
        <f>+IFERROR(Hoja4!L74,0)</f>
        <v>0.71753061225585579</v>
      </c>
      <c r="I78" s="135">
        <f>+IFERROR(Hoja4!M74,0)</f>
        <v>0.28246938774414421</v>
      </c>
    </row>
    <row r="79" spans="1:11" x14ac:dyDescent="0.25">
      <c r="A79" s="73" t="str">
        <f>+Hoja4!B75</f>
        <v>E-10899</v>
      </c>
      <c r="B79" s="102" t="str">
        <f>+Hoja4!C75</f>
        <v>MANT.Y REP.OTROS EQ.</v>
      </c>
      <c r="C79" s="99">
        <f>+SUMIF(Hoja4!$B$3:$B$166,$A79,Hoja4!$D$3:$D$166)</f>
        <v>139715483</v>
      </c>
      <c r="D79" s="99">
        <f>+SUMIF(Hoja4!$B$3:$B$166,$A79,Hoja4!$E$3:$E$166)</f>
        <v>139715483</v>
      </c>
      <c r="E79" s="99">
        <f>+SUMIF(Hoja4!$B$3:$B$166,$A79,Hoja4!$F$3:$F$166)</f>
        <v>0</v>
      </c>
      <c r="F79" s="99">
        <f>+SUMIF(Hoja4!$B$3:$B$166,$A79,Hoja4!$J$3:$J$166)</f>
        <v>96092390.820000008</v>
      </c>
      <c r="G79" s="99">
        <f>+SUMIF(Hoja4!$B$3:$B$166,$A79,Hoja4!$K$3:$K$166)</f>
        <v>43623092.18</v>
      </c>
      <c r="H79" s="135">
        <f>+IFERROR(Hoja4!L75,0)</f>
        <v>0.68777195452274964</v>
      </c>
      <c r="I79" s="135">
        <f>+IFERROR(Hoja4!M75,0)</f>
        <v>0.31222804547725036</v>
      </c>
    </row>
    <row r="80" spans="1:11" s="23" customFormat="1" x14ac:dyDescent="0.25">
      <c r="A80" s="71" t="str">
        <f>+Hoja4!B76</f>
        <v>E-109</v>
      </c>
      <c r="B80" s="101" t="str">
        <f>+Hoja4!C76</f>
        <v>IMPUESTOS</v>
      </c>
      <c r="C80" s="72">
        <f>+C81</f>
        <v>13965838</v>
      </c>
      <c r="D80" s="72">
        <f t="shared" ref="D80:G80" si="16">+D81</f>
        <v>13965838</v>
      </c>
      <c r="E80" s="72">
        <f t="shared" si="16"/>
        <v>0</v>
      </c>
      <c r="F80" s="72">
        <f t="shared" si="16"/>
        <v>12192585</v>
      </c>
      <c r="G80" s="72">
        <f t="shared" si="16"/>
        <v>1773253</v>
      </c>
      <c r="H80" s="140">
        <f>+IFERROR(Hoja4!L76,0)</f>
        <v>0.8730292446468304</v>
      </c>
      <c r="I80" s="140">
        <f>+IFERROR(Hoja4!M76,0)</f>
        <v>0.12697075535316965</v>
      </c>
      <c r="J80" s="126"/>
      <c r="K80" s="126"/>
    </row>
    <row r="81" spans="1:11" x14ac:dyDescent="0.25">
      <c r="A81" s="73" t="str">
        <f>+Hoja4!B77</f>
        <v>E-10999</v>
      </c>
      <c r="B81" s="102" t="str">
        <f>+Hoja4!C77</f>
        <v>TROS IMPUESTOS</v>
      </c>
      <c r="C81" s="99">
        <f>+SUMIF(Hoja4!$B$3:$B$166,$A81,Hoja4!$D$3:$D$166)</f>
        <v>13965838</v>
      </c>
      <c r="D81" s="99">
        <f>+SUMIF(Hoja4!$B$3:$B$166,$A81,Hoja4!$E$3:$E$166)</f>
        <v>13965838</v>
      </c>
      <c r="E81" s="99">
        <f>+SUMIF(Hoja4!$B$3:$B$166,$A81,Hoja4!$F$3:$F$166)</f>
        <v>0</v>
      </c>
      <c r="F81" s="99">
        <f>+SUMIF(Hoja4!$B$3:$B$166,$A81,Hoja4!$J$3:$J$166)</f>
        <v>12192585</v>
      </c>
      <c r="G81" s="99">
        <f>+SUMIF(Hoja4!$B$3:$B$166,$A81,Hoja4!$K$3:$K$166)</f>
        <v>1773253</v>
      </c>
      <c r="H81" s="135">
        <f>+IFERROR(Hoja4!L77,0)</f>
        <v>0.8730292446468304</v>
      </c>
      <c r="I81" s="135">
        <f>+IFERROR(Hoja4!M77,0)</f>
        <v>0.12697075535316965</v>
      </c>
    </row>
    <row r="82" spans="1:11" s="23" customFormat="1" x14ac:dyDescent="0.25">
      <c r="A82" s="71" t="str">
        <f>+Hoja4!B78</f>
        <v>E-199</v>
      </c>
      <c r="B82" s="101" t="str">
        <f>+Hoja4!C78</f>
        <v>SERVICIOS DIVERSOS</v>
      </c>
      <c r="C82" s="72">
        <f>SUM(C83:C85)</f>
        <v>77319190.710000008</v>
      </c>
      <c r="D82" s="72">
        <f t="shared" ref="D82:G82" si="17">SUM(D83:D85)</f>
        <v>77319190.710000008</v>
      </c>
      <c r="E82" s="72">
        <f t="shared" si="17"/>
        <v>0</v>
      </c>
      <c r="F82" s="72">
        <f t="shared" si="17"/>
        <v>19952169.27</v>
      </c>
      <c r="G82" s="72">
        <f t="shared" si="17"/>
        <v>57367021.440000005</v>
      </c>
      <c r="H82" s="140">
        <f>+IFERROR(Hoja4!L78,0)</f>
        <v>0.25804938058436644</v>
      </c>
      <c r="I82" s="140">
        <f>+IFERROR(Hoja4!M78,0)</f>
        <v>0.74195061941563356</v>
      </c>
      <c r="J82" s="126"/>
      <c r="K82" s="126"/>
    </row>
    <row r="83" spans="1:11" x14ac:dyDescent="0.25">
      <c r="A83" s="73" t="str">
        <f>+Hoja4!B79</f>
        <v>E-19901</v>
      </c>
      <c r="B83" s="102" t="str">
        <f>+Hoja4!C79</f>
        <v>SERV. DE REGULACIÓN</v>
      </c>
      <c r="C83" s="99">
        <f>+SUMIF(Hoja4!$B$3:$B$166,$A83,Hoja4!$D$3:$D$166)</f>
        <v>5000000</v>
      </c>
      <c r="D83" s="99">
        <f>+SUMIF(Hoja4!$B$3:$B$166,$A83,Hoja4!$E$3:$E$166)</f>
        <v>5000000</v>
      </c>
      <c r="E83" s="99">
        <f>+SUMIF(Hoja4!$B$3:$B$166,$A83,Hoja4!$F$3:$F$166)</f>
        <v>0</v>
      </c>
      <c r="F83" s="99">
        <f>+SUMIF(Hoja4!$B$3:$B$166,$A83,Hoja4!$J$3:$J$166)</f>
        <v>3986646.23</v>
      </c>
      <c r="G83" s="99">
        <f>+SUMIF(Hoja4!$B$3:$B$166,$A83,Hoja4!$K$3:$K$166)</f>
        <v>1013353.77</v>
      </c>
      <c r="H83" s="135">
        <f>+IFERROR(Hoja4!L79,0)</f>
        <v>0.79732924599999999</v>
      </c>
      <c r="I83" s="135">
        <f>+IFERROR(Hoja4!M79,0)</f>
        <v>0.20267075400000001</v>
      </c>
    </row>
    <row r="84" spans="1:11" x14ac:dyDescent="0.25">
      <c r="A84" s="73" t="str">
        <f>+Hoja4!B80</f>
        <v>E-19902</v>
      </c>
      <c r="B84" s="102" t="str">
        <f>+Hoja4!C80</f>
        <v>INT. MORAT. Y MULTAS</v>
      </c>
      <c r="C84" s="99">
        <f>+SUMIF(Hoja4!$B$3:$B$166,$A84,Hoja4!$D$3:$D$166)</f>
        <v>53671460.710000001</v>
      </c>
      <c r="D84" s="99">
        <f>+SUMIF(Hoja4!$B$3:$B$166,$A84,Hoja4!$E$3:$E$166)</f>
        <v>53671460.710000001</v>
      </c>
      <c r="E84" s="99">
        <f>+SUMIF(Hoja4!$B$3:$B$166,$A84,Hoja4!$F$3:$F$166)</f>
        <v>0</v>
      </c>
      <c r="F84" s="99">
        <f>+SUMIF(Hoja4!$B$3:$B$166,$A84,Hoja4!$J$3:$J$166)</f>
        <v>3313284.04</v>
      </c>
      <c r="G84" s="99">
        <f>+SUMIF(Hoja4!$B$3:$B$166,$A84,Hoja4!$K$3:$K$166)</f>
        <v>50358176.670000002</v>
      </c>
      <c r="H84" s="135">
        <f>+IFERROR(Hoja4!L80,0)</f>
        <v>6.1732697343612135E-2</v>
      </c>
      <c r="I84" s="135">
        <f>+IFERROR(Hoja4!M80,0)</f>
        <v>0.93826730265638791</v>
      </c>
    </row>
    <row r="85" spans="1:11" x14ac:dyDescent="0.25">
      <c r="A85" s="73" t="str">
        <f>+Hoja4!B81</f>
        <v>E-19905</v>
      </c>
      <c r="B85" s="102" t="str">
        <f>+Hoja4!C81</f>
        <v>DEDUCIBLES</v>
      </c>
      <c r="C85" s="99">
        <f>+SUMIF(Hoja4!$B$3:$B$166,$A85,Hoja4!$D$3:$D$166)</f>
        <v>18647730</v>
      </c>
      <c r="D85" s="99">
        <f>+SUMIF(Hoja4!$B$3:$B$166,$A85,Hoja4!$E$3:$E$166)</f>
        <v>18647730</v>
      </c>
      <c r="E85" s="99">
        <f>+SUMIF(Hoja4!$B$3:$B$166,$A85,Hoja4!$F$3:$F$166)</f>
        <v>0</v>
      </c>
      <c r="F85" s="99">
        <f>+SUMIF(Hoja4!$B$3:$B$166,$A85,Hoja4!$J$3:$J$166)</f>
        <v>12652239</v>
      </c>
      <c r="G85" s="99">
        <f>+SUMIF(Hoja4!$B$3:$B$166,$A85,Hoja4!$K$3:$K$166)</f>
        <v>5995491</v>
      </c>
      <c r="H85" s="135">
        <f>+IFERROR(Hoja4!L81,0)</f>
        <v>0.67848681850284187</v>
      </c>
      <c r="I85" s="135">
        <f>+IFERROR(Hoja4!M81,0)</f>
        <v>0.32151318149715807</v>
      </c>
    </row>
    <row r="86" spans="1:11" x14ac:dyDescent="0.25">
      <c r="A86" s="144" t="str">
        <f>+Hoja4!B82</f>
        <v>E-2</v>
      </c>
      <c r="B86" s="145" t="str">
        <f>+Hoja4!C82</f>
        <v>MATERIALES Y SUMINIS</v>
      </c>
      <c r="C86" s="146">
        <f>+C87+C93+C96+C104+C109+C107</f>
        <v>14210989756</v>
      </c>
      <c r="D86" s="146">
        <f>+Hoja4!E82</f>
        <v>14210989756</v>
      </c>
      <c r="E86" s="146">
        <f>+Hoja4!F82</f>
        <v>0</v>
      </c>
      <c r="F86" s="146">
        <f>SUM(Hoja4!G82:I82)</f>
        <v>12787585774.42</v>
      </c>
      <c r="G86" s="149">
        <f>+Hoja4!K82</f>
        <v>1423403981.5800002</v>
      </c>
      <c r="H86" s="147">
        <f>+IFERROR(Hoja4!L82,0)</f>
        <v>0.89983780116518441</v>
      </c>
      <c r="I86" s="147">
        <f>+IFERROR(Hoja4!M82,0)</f>
        <v>0.10016219883481564</v>
      </c>
      <c r="K86" s="25">
        <f>+C86-Estado!C116</f>
        <v>0</v>
      </c>
    </row>
    <row r="87" spans="1:11" s="23" customFormat="1" x14ac:dyDescent="0.25">
      <c r="A87" s="71" t="str">
        <f>+Hoja4!B83</f>
        <v>E-201</v>
      </c>
      <c r="B87" s="101" t="str">
        <f>+Hoja4!C83</f>
        <v>PRODUC QUÍM Y CONEX</v>
      </c>
      <c r="C87" s="72">
        <f>SUM(C88:C92)</f>
        <v>860168068</v>
      </c>
      <c r="D87" s="72">
        <f t="shared" ref="D87:G87" si="18">SUM(D88:D92)</f>
        <v>860168068</v>
      </c>
      <c r="E87" s="72">
        <f t="shared" si="18"/>
        <v>0</v>
      </c>
      <c r="F87" s="72">
        <f t="shared" si="18"/>
        <v>775123828.30999994</v>
      </c>
      <c r="G87" s="72">
        <f t="shared" si="18"/>
        <v>85044239.689999998</v>
      </c>
      <c r="H87" s="140">
        <f>+IFERROR(Hoja4!L83,0)</f>
        <v>0.90113067102370048</v>
      </c>
      <c r="I87" s="140">
        <f>+IFERROR(Hoja4!M83,0)</f>
        <v>9.8869328976299548E-2</v>
      </c>
      <c r="J87" s="126"/>
      <c r="K87" s="126"/>
    </row>
    <row r="88" spans="1:11" x14ac:dyDescent="0.25">
      <c r="A88" s="73" t="str">
        <f>+Hoja4!B84</f>
        <v>E-20101</v>
      </c>
      <c r="B88" s="102" t="str">
        <f>+Hoja4!C84</f>
        <v>COMB Y LUBRICANTES</v>
      </c>
      <c r="C88" s="99">
        <f>+SUMIF(Hoja4!$B$3:$B$166,$A88,Hoja4!$D$3:$D$166)</f>
        <v>627099030</v>
      </c>
      <c r="D88" s="99">
        <f>+SUMIF(Hoja4!$B$3:$B$166,$A88,Hoja4!$E$3:$E$166)</f>
        <v>627099030</v>
      </c>
      <c r="E88" s="99">
        <f>+SUMIF(Hoja4!$B$3:$B$166,$A88,Hoja4!$F$3:$F$166)</f>
        <v>0</v>
      </c>
      <c r="F88" s="99">
        <f>+SUMIF(Hoja4!$B$3:$B$166,$A88,Hoja4!$J$3:$J$166)</f>
        <v>586433171.73000002</v>
      </c>
      <c r="G88" s="99">
        <f>+SUMIF(Hoja4!$B$3:$B$166,$A88,Hoja4!$K$3:$K$166)</f>
        <v>40665858.269999996</v>
      </c>
      <c r="H88" s="135">
        <f>+IFERROR(Hoja4!L84,0)</f>
        <v>0.93515241401346139</v>
      </c>
      <c r="I88" s="135">
        <f>+IFERROR(Hoja4!M84,0)</f>
        <v>6.4847585986538669E-2</v>
      </c>
    </row>
    <row r="89" spans="1:11" x14ac:dyDescent="0.25">
      <c r="A89" s="73" t="str">
        <f>+Hoja4!B85</f>
        <v>E-20102</v>
      </c>
      <c r="B89" s="102" t="str">
        <f>+Hoja4!C85</f>
        <v>PROD FARMAC Y MEDIC.</v>
      </c>
      <c r="C89" s="99">
        <f>+SUMIF(Hoja4!$B$3:$B$166,$A89,Hoja4!$D$3:$D$166)</f>
        <v>186224905</v>
      </c>
      <c r="D89" s="99">
        <f>+SUMIF(Hoja4!$B$3:$B$166,$A89,Hoja4!$E$3:$E$166)</f>
        <v>186224905</v>
      </c>
      <c r="E89" s="99">
        <f>+SUMIF(Hoja4!$B$3:$B$166,$A89,Hoja4!$F$3:$F$166)</f>
        <v>0</v>
      </c>
      <c r="F89" s="99">
        <f>+SUMIF(Hoja4!$B$3:$B$166,$A89,Hoja4!$J$3:$J$166)</f>
        <v>157480705</v>
      </c>
      <c r="G89" s="99">
        <f>+SUMIF(Hoja4!$B$3:$B$166,$A89,Hoja4!$K$3:$K$166)</f>
        <v>28744200</v>
      </c>
      <c r="H89" s="135">
        <f>+IFERROR(Hoja4!L85,0)</f>
        <v>0.84564792770333275</v>
      </c>
      <c r="I89" s="135">
        <f>+IFERROR(Hoja4!M85,0)</f>
        <v>0.15435207229666731</v>
      </c>
    </row>
    <row r="90" spans="1:11" x14ac:dyDescent="0.25">
      <c r="A90" s="73" t="str">
        <f>+Hoja4!B86</f>
        <v>E-20103</v>
      </c>
      <c r="B90" s="102" t="str">
        <f>+Hoja4!C86</f>
        <v>PRODUCTOS VETERIN.</v>
      </c>
      <c r="C90" s="99">
        <f>+SUMIF(Hoja4!$B$3:$B$166,$A90,Hoja4!$D$3:$D$166)</f>
        <v>2674000</v>
      </c>
      <c r="D90" s="99">
        <f>+SUMIF(Hoja4!$B$3:$B$166,$A90,Hoja4!$E$3:$E$166)</f>
        <v>2674000</v>
      </c>
      <c r="E90" s="99">
        <f>+SUMIF(Hoja4!$B$3:$B$166,$A90,Hoja4!$F$3:$F$166)</f>
        <v>0</v>
      </c>
      <c r="F90" s="99">
        <f>+SUMIF(Hoja4!$B$3:$B$166,$A90,Hoja4!$J$3:$J$166)</f>
        <v>77925</v>
      </c>
      <c r="G90" s="99">
        <f>+SUMIF(Hoja4!$B$3:$B$166,$A90,Hoja4!$K$3:$K$166)</f>
        <v>2596075</v>
      </c>
      <c r="H90" s="135">
        <f>+IFERROR(Hoja4!L86,0)</f>
        <v>2.9141735228122662E-2</v>
      </c>
      <c r="I90" s="135">
        <f>+IFERROR(Hoja4!M86,0)</f>
        <v>0.97085826477187731</v>
      </c>
    </row>
    <row r="91" spans="1:11" x14ac:dyDescent="0.25">
      <c r="A91" s="73" t="str">
        <f>+Hoja4!B87</f>
        <v>E-20104</v>
      </c>
      <c r="B91" s="102" t="str">
        <f>+Hoja4!C87</f>
        <v>TINTAS, PINT.Y DILUY</v>
      </c>
      <c r="C91" s="99">
        <f>+SUMIF(Hoja4!$B$3:$B$166,$A91,Hoja4!$D$3:$D$166)</f>
        <v>41000133</v>
      </c>
      <c r="D91" s="99">
        <f>+SUMIF(Hoja4!$B$3:$B$166,$A91,Hoja4!$E$3:$E$166)</f>
        <v>41000133</v>
      </c>
      <c r="E91" s="99">
        <f>+SUMIF(Hoja4!$B$3:$B$166,$A91,Hoja4!$F$3:$F$166)</f>
        <v>0</v>
      </c>
      <c r="F91" s="99">
        <f>+SUMIF(Hoja4!$B$3:$B$166,$A91,Hoja4!$J$3:$J$166)</f>
        <v>29216743.800000001</v>
      </c>
      <c r="G91" s="99">
        <f>+SUMIF(Hoja4!$B$3:$B$166,$A91,Hoja4!$K$3:$K$166)</f>
        <v>11783389.199999999</v>
      </c>
      <c r="H91" s="135">
        <f>+IFERROR(Hoja4!L87,0)</f>
        <v>0.71260119570831637</v>
      </c>
      <c r="I91" s="135">
        <f>+IFERROR(Hoja4!M87,0)</f>
        <v>0.28739880429168363</v>
      </c>
    </row>
    <row r="92" spans="1:11" x14ac:dyDescent="0.25">
      <c r="A92" s="73" t="str">
        <f>+Hoja4!B88</f>
        <v>E-20199</v>
      </c>
      <c r="B92" s="102" t="str">
        <f>+Hoja4!C88</f>
        <v>OTR.PROD.QUÍM YCONEX</v>
      </c>
      <c r="C92" s="99">
        <f>+SUMIF(Hoja4!$B$3:$B$166,$A92,Hoja4!$D$3:$D$166)</f>
        <v>3170000</v>
      </c>
      <c r="D92" s="99">
        <f>+SUMIF(Hoja4!$B$3:$B$166,$A92,Hoja4!$E$3:$E$166)</f>
        <v>3170000</v>
      </c>
      <c r="E92" s="99">
        <f>+SUMIF(Hoja4!$B$3:$B$166,$A92,Hoja4!$F$3:$F$166)</f>
        <v>0</v>
      </c>
      <c r="F92" s="99">
        <f>+SUMIF(Hoja4!$B$3:$B$166,$A92,Hoja4!$J$3:$J$166)</f>
        <v>1915282.78</v>
      </c>
      <c r="G92" s="99">
        <f>+SUMIF(Hoja4!$B$3:$B$166,$A92,Hoja4!$K$3:$K$166)</f>
        <v>1254717.22</v>
      </c>
      <c r="H92" s="135">
        <f>+IFERROR(Hoja4!L88,0)</f>
        <v>0.60419015141955834</v>
      </c>
      <c r="I92" s="135">
        <f>+IFERROR(Hoja4!M88,0)</f>
        <v>0.39580984858044166</v>
      </c>
    </row>
    <row r="93" spans="1:11" s="23" customFormat="1" x14ac:dyDescent="0.25">
      <c r="A93" s="71" t="str">
        <f>+Hoja4!B89</f>
        <v>E-202</v>
      </c>
      <c r="B93" s="101" t="str">
        <f>+Hoja4!C89</f>
        <v>ALIMEN Y PRODUC AGRO</v>
      </c>
      <c r="C93" s="72">
        <f>SUM(C94:C95)</f>
        <v>11083277500</v>
      </c>
      <c r="D93" s="72">
        <f t="shared" ref="D93:G93" si="19">SUM(D94:D95)</f>
        <v>11083277500</v>
      </c>
      <c r="E93" s="72">
        <f t="shared" si="19"/>
        <v>0</v>
      </c>
      <c r="F93" s="72">
        <f t="shared" si="19"/>
        <v>10099640378.24</v>
      </c>
      <c r="G93" s="72">
        <f t="shared" si="19"/>
        <v>983637121.75999999</v>
      </c>
      <c r="H93" s="140">
        <f>+IFERROR(Hoja4!L89,0)</f>
        <v>0.91125033892185769</v>
      </c>
      <c r="I93" s="140">
        <f>+IFERROR(Hoja4!M89,0)</f>
        <v>8.8749661078142278E-2</v>
      </c>
      <c r="J93" s="126"/>
      <c r="K93" s="126"/>
    </row>
    <row r="94" spans="1:11" x14ac:dyDescent="0.25">
      <c r="A94" s="73" t="str">
        <f>+Hoja4!B90</f>
        <v>E-20203</v>
      </c>
      <c r="B94" s="102" t="str">
        <f>+Hoja4!C90</f>
        <v>ALIMENTOS Y BEBIDAS</v>
      </c>
      <c r="C94" s="99">
        <f>+SUMIF(Hoja4!$B$3:$B$166,$A94,Hoja4!$D$3:$D$166)</f>
        <v>11071637000</v>
      </c>
      <c r="D94" s="99">
        <f>+SUMIF(Hoja4!$B$3:$B$166,$A94,Hoja4!$E$3:$E$166)</f>
        <v>11071637000</v>
      </c>
      <c r="E94" s="99">
        <f>+SUMIF(Hoja4!$B$3:$B$166,$A94,Hoja4!$F$3:$F$166)</f>
        <v>0</v>
      </c>
      <c r="F94" s="99">
        <f>+SUMIF(Hoja4!$B$3:$B$166,$A94,Hoja4!$J$3:$J$166)</f>
        <v>10088072528.24</v>
      </c>
      <c r="G94" s="99">
        <f>+SUMIF(Hoja4!$B$3:$B$166,$A94,Hoja4!$K$3:$K$166)</f>
        <v>983564471.75999999</v>
      </c>
      <c r="H94" s="135">
        <f>+IFERROR(Hoja4!L90,0)</f>
        <v>0.9111635910967818</v>
      </c>
      <c r="I94" s="135">
        <f>+IFERROR(Hoja4!M90,0)</f>
        <v>8.88364089032182E-2</v>
      </c>
    </row>
    <row r="95" spans="1:11" s="23" customFormat="1" x14ac:dyDescent="0.25">
      <c r="A95" s="73" t="str">
        <f>+Hoja4!B91</f>
        <v>E-20204</v>
      </c>
      <c r="B95" s="102" t="str">
        <f>+Hoja4!C91</f>
        <v>ALIM. PARA ANIMALES</v>
      </c>
      <c r="C95" s="99">
        <f>+SUMIF(Hoja4!$B$3:$B$166,$A95,Hoja4!$D$3:$D$166)</f>
        <v>11640500</v>
      </c>
      <c r="D95" s="99">
        <f>+SUMIF(Hoja4!$B$3:$B$166,$A95,Hoja4!$E$3:$E$166)</f>
        <v>11640500</v>
      </c>
      <c r="E95" s="99">
        <f>+SUMIF(Hoja4!$B$3:$B$166,$A95,Hoja4!$F$3:$F$166)</f>
        <v>0</v>
      </c>
      <c r="F95" s="99">
        <f>+SUMIF(Hoja4!$B$3:$B$166,$A95,Hoja4!$J$3:$J$166)</f>
        <v>11567850</v>
      </c>
      <c r="G95" s="99">
        <f>+SUMIF(Hoja4!$B$3:$B$166,$A95,Hoja4!$K$3:$K$166)</f>
        <v>72650</v>
      </c>
      <c r="H95" s="140">
        <f>+IFERROR(Hoja4!L91,0)</f>
        <v>0.99375885915553452</v>
      </c>
      <c r="I95" s="140">
        <f>+IFERROR(Hoja4!M91,0)</f>
        <v>6.2411408444654438E-3</v>
      </c>
      <c r="J95" s="126"/>
      <c r="K95" s="126"/>
    </row>
    <row r="96" spans="1:11" s="23" customFormat="1" x14ac:dyDescent="0.25">
      <c r="A96" s="71" t="str">
        <f>+Hoja4!B92</f>
        <v>E-203</v>
      </c>
      <c r="B96" s="101" t="str">
        <f>+Hoja4!C92</f>
        <v>MATER P.CONST Y MANT</v>
      </c>
      <c r="C96" s="72">
        <f>SUM(C97:C103)</f>
        <v>455649194</v>
      </c>
      <c r="D96" s="72">
        <f t="shared" ref="D96:G96" si="20">SUM(D97:D103)</f>
        <v>455649194</v>
      </c>
      <c r="E96" s="72">
        <f t="shared" si="20"/>
        <v>0</v>
      </c>
      <c r="F96" s="72">
        <f t="shared" si="20"/>
        <v>354866111.61000001</v>
      </c>
      <c r="G96" s="72">
        <f t="shared" si="20"/>
        <v>100783082.38999999</v>
      </c>
      <c r="H96" s="140">
        <f>+IFERROR(Hoja4!L92,0)</f>
        <v>0.77881430776765515</v>
      </c>
      <c r="I96" s="140">
        <f>+IFERROR(Hoja4!M92,0)</f>
        <v>0.22118569223234488</v>
      </c>
      <c r="J96" s="126"/>
      <c r="K96" s="126"/>
    </row>
    <row r="97" spans="1:11" x14ac:dyDescent="0.25">
      <c r="A97" s="73" t="str">
        <f>+Hoja4!B93</f>
        <v>E-20301</v>
      </c>
      <c r="B97" s="102" t="str">
        <f>+Hoja4!C93</f>
        <v>MATERIALES YPROD MET</v>
      </c>
      <c r="C97" s="99">
        <f>+SUMIF(Hoja4!$B$3:$B$166,$A97,Hoja4!$D$3:$D$166)</f>
        <v>123732000</v>
      </c>
      <c r="D97" s="99">
        <f>+SUMIF(Hoja4!$B$3:$B$166,$A97,Hoja4!$E$3:$E$166)</f>
        <v>123732000</v>
      </c>
      <c r="E97" s="99">
        <f>+SUMIF(Hoja4!$B$3:$B$166,$A97,Hoja4!$F$3:$F$166)</f>
        <v>0</v>
      </c>
      <c r="F97" s="99">
        <f>+SUMIF(Hoja4!$B$3:$B$166,$A97,Hoja4!$J$3:$J$166)</f>
        <v>104657001.95999999</v>
      </c>
      <c r="G97" s="99">
        <f>+SUMIF(Hoja4!$B$3:$B$166,$A97,Hoja4!$K$3:$K$166)</f>
        <v>19074998.039999999</v>
      </c>
      <c r="H97" s="135">
        <f>+IFERROR(Hoja4!L93,0)</f>
        <v>0.8458361778682959</v>
      </c>
      <c r="I97" s="135">
        <f>+IFERROR(Hoja4!M93,0)</f>
        <v>0.15416382213170399</v>
      </c>
    </row>
    <row r="98" spans="1:11" x14ac:dyDescent="0.25">
      <c r="A98" s="73" t="str">
        <f>+Hoja4!B94</f>
        <v>E-20302</v>
      </c>
      <c r="B98" s="102" t="str">
        <f>+Hoja4!C94</f>
        <v>MAT Y PROD.MIN.Y ASF</v>
      </c>
      <c r="C98" s="99">
        <f>+SUMIF(Hoja4!$B$3:$B$166,$A98,Hoja4!$D$3:$D$166)</f>
        <v>81538000</v>
      </c>
      <c r="D98" s="99">
        <f>+SUMIF(Hoja4!$B$3:$B$166,$A98,Hoja4!$E$3:$E$166)</f>
        <v>81538000</v>
      </c>
      <c r="E98" s="99">
        <f>+SUMIF(Hoja4!$B$3:$B$166,$A98,Hoja4!$F$3:$F$166)</f>
        <v>0</v>
      </c>
      <c r="F98" s="99">
        <f>+SUMIF(Hoja4!$B$3:$B$166,$A98,Hoja4!$J$3:$J$166)</f>
        <v>39613996</v>
      </c>
      <c r="G98" s="99">
        <f>+SUMIF(Hoja4!$B$3:$B$166,$A98,Hoja4!$K$3:$K$166)</f>
        <v>41924004</v>
      </c>
      <c r="H98" s="135">
        <f>+IFERROR(Hoja4!L94,0)</f>
        <v>0.48583477642326278</v>
      </c>
      <c r="I98" s="135">
        <f>+IFERROR(Hoja4!M94,0)</f>
        <v>0.51416522357673722</v>
      </c>
    </row>
    <row r="99" spans="1:11" x14ac:dyDescent="0.25">
      <c r="A99" s="73" t="str">
        <f>+Hoja4!B95</f>
        <v>E-20303</v>
      </c>
      <c r="B99" s="102" t="str">
        <f>+Hoja4!C95</f>
        <v>MADERA Y SUS DERIV</v>
      </c>
      <c r="C99" s="99">
        <f>+SUMIF(Hoja4!$B$3:$B$166,$A99,Hoja4!$D$3:$D$166)</f>
        <v>89294672</v>
      </c>
      <c r="D99" s="99">
        <f>+SUMIF(Hoja4!$B$3:$B$166,$A99,Hoja4!$E$3:$E$166)</f>
        <v>89294672</v>
      </c>
      <c r="E99" s="99">
        <f>+SUMIF(Hoja4!$B$3:$B$166,$A99,Hoja4!$F$3:$F$166)</f>
        <v>0</v>
      </c>
      <c r="F99" s="99">
        <f>+SUMIF(Hoja4!$B$3:$B$166,$A99,Hoja4!$J$3:$J$166)</f>
        <v>89292128</v>
      </c>
      <c r="G99" s="99">
        <f>+SUMIF(Hoja4!$B$3:$B$166,$A99,Hoja4!$K$3:$K$166)</f>
        <v>2544</v>
      </c>
      <c r="H99" s="135">
        <f>+IFERROR(Hoja4!L95,0)</f>
        <v>0.99997151005829332</v>
      </c>
      <c r="I99" s="135">
        <f>+IFERROR(Hoja4!M95,0)</f>
        <v>2.8489941706712356E-5</v>
      </c>
    </row>
    <row r="100" spans="1:11" x14ac:dyDescent="0.25">
      <c r="A100" s="73" t="str">
        <f>+Hoja4!B96</f>
        <v>E-20304</v>
      </c>
      <c r="B100" s="102" t="str">
        <f>+Hoja4!C96</f>
        <v>MAT.YPROD.ELÉC,TEL.C</v>
      </c>
      <c r="C100" s="99">
        <f>+SUMIF(Hoja4!$B$3:$B$166,$A100,Hoja4!$D$3:$D$166)</f>
        <v>94199225</v>
      </c>
      <c r="D100" s="99">
        <f>+SUMIF(Hoja4!$B$3:$B$166,$A100,Hoja4!$E$3:$E$166)</f>
        <v>94199225</v>
      </c>
      <c r="E100" s="99">
        <f>+SUMIF(Hoja4!$B$3:$B$166,$A100,Hoja4!$F$3:$F$166)</f>
        <v>0</v>
      </c>
      <c r="F100" s="99">
        <f>+SUMIF(Hoja4!$B$3:$B$166,$A100,Hoja4!$J$3:$J$166)</f>
        <v>76401915.75</v>
      </c>
      <c r="G100" s="99">
        <f>+SUMIF(Hoja4!$B$3:$B$166,$A100,Hoja4!$K$3:$K$166)</f>
        <v>17797309.25</v>
      </c>
      <c r="H100" s="135">
        <f>+IFERROR(Hoja4!L96,0)</f>
        <v>0.811067349545604</v>
      </c>
      <c r="I100" s="135">
        <f>+IFERROR(Hoja4!M96,0)</f>
        <v>0.188932650454396</v>
      </c>
    </row>
    <row r="101" spans="1:11" x14ac:dyDescent="0.25">
      <c r="A101" s="73" t="str">
        <f>+Hoja4!B97</f>
        <v>E-20305</v>
      </c>
      <c r="B101" s="102" t="str">
        <f>+Hoja4!C97</f>
        <v>MATER. Y PROD VIDRIO</v>
      </c>
      <c r="C101" s="99">
        <f>+SUMIF(Hoja4!$B$3:$B$166,$A101,Hoja4!$D$3:$D$166)</f>
        <v>2521183</v>
      </c>
      <c r="D101" s="99">
        <f>+SUMIF(Hoja4!$B$3:$B$166,$A101,Hoja4!$E$3:$E$166)</f>
        <v>2521183</v>
      </c>
      <c r="E101" s="99">
        <f>+SUMIF(Hoja4!$B$3:$B$166,$A101,Hoja4!$F$3:$F$166)</f>
        <v>0</v>
      </c>
      <c r="F101" s="99">
        <f>+SUMIF(Hoja4!$B$3:$B$166,$A101,Hoja4!$J$3:$J$166)</f>
        <v>2327835.92</v>
      </c>
      <c r="G101" s="99">
        <f>+SUMIF(Hoja4!$B$3:$B$166,$A101,Hoja4!$K$3:$K$166)</f>
        <v>193347.08</v>
      </c>
      <c r="H101" s="135">
        <f>+IFERROR(Hoja4!L97,0)</f>
        <v>0.92331096949328939</v>
      </c>
      <c r="I101" s="135">
        <f>+IFERROR(Hoja4!M97,0)</f>
        <v>7.668903050671054E-2</v>
      </c>
    </row>
    <row r="102" spans="1:11" x14ac:dyDescent="0.25">
      <c r="A102" s="73" t="str">
        <f>+Hoja4!B98</f>
        <v>E-20306</v>
      </c>
      <c r="B102" s="102" t="str">
        <f>+Hoja4!C98</f>
        <v>MAT. Y PROD PLÁSTICO</v>
      </c>
      <c r="C102" s="99">
        <f>+SUMIF(Hoja4!$B$3:$B$166,$A102,Hoja4!$D$3:$D$166)</f>
        <v>50317000</v>
      </c>
      <c r="D102" s="99">
        <f>+SUMIF(Hoja4!$B$3:$B$166,$A102,Hoja4!$E$3:$E$166)</f>
        <v>50317000</v>
      </c>
      <c r="E102" s="99">
        <f>+SUMIF(Hoja4!$B$3:$B$166,$A102,Hoja4!$F$3:$F$166)</f>
        <v>0</v>
      </c>
      <c r="F102" s="99">
        <f>+SUMIF(Hoja4!$B$3:$B$166,$A102,Hoja4!$J$3:$J$166)</f>
        <v>41866027.979999997</v>
      </c>
      <c r="G102" s="99">
        <f>+SUMIF(Hoja4!$B$3:$B$166,$A102,Hoja4!$K$3:$K$166)</f>
        <v>8450972.0199999996</v>
      </c>
      <c r="H102" s="135">
        <f>+IFERROR(Hoja4!L98,0)</f>
        <v>0.83204539181588721</v>
      </c>
      <c r="I102" s="135">
        <f>+IFERROR(Hoja4!M98,0)</f>
        <v>0.16795460818411273</v>
      </c>
    </row>
    <row r="103" spans="1:11" x14ac:dyDescent="0.25">
      <c r="A103" s="73" t="str">
        <f>+Hoja4!B99</f>
        <v>E-20399</v>
      </c>
      <c r="B103" s="102" t="str">
        <f>+Hoja4!C99</f>
        <v>OTR.MAT.YP.USO CONST</v>
      </c>
      <c r="C103" s="99">
        <f>+SUMIF(Hoja4!$B$3:$B$166,$A103,Hoja4!$D$3:$D$166)</f>
        <v>14047114</v>
      </c>
      <c r="D103" s="99">
        <f>+SUMIF(Hoja4!$B$3:$B$166,$A103,Hoja4!$E$3:$E$166)</f>
        <v>14047114</v>
      </c>
      <c r="E103" s="99">
        <f>+SUMIF(Hoja4!$B$3:$B$166,$A103,Hoja4!$F$3:$F$166)</f>
        <v>0</v>
      </c>
      <c r="F103" s="99">
        <f>+SUMIF(Hoja4!$B$3:$B$166,$A103,Hoja4!$J$3:$J$166)</f>
        <v>707206</v>
      </c>
      <c r="G103" s="99">
        <f>+SUMIF(Hoja4!$B$3:$B$166,$A103,Hoja4!$K$3:$K$166)</f>
        <v>13339908</v>
      </c>
      <c r="H103" s="135">
        <f>+IFERROR(Hoja4!L99,0)</f>
        <v>5.0345288007202046E-2</v>
      </c>
      <c r="I103" s="135">
        <f>+IFERROR(Hoja4!M99,0)</f>
        <v>0.94965471199279794</v>
      </c>
    </row>
    <row r="104" spans="1:11" s="23" customFormat="1" x14ac:dyDescent="0.25">
      <c r="A104" s="71" t="str">
        <f>+Hoja4!B100</f>
        <v>E-204</v>
      </c>
      <c r="B104" s="101" t="str">
        <f>+Hoja4!C100</f>
        <v>HERRAM REPUE Y ACCES</v>
      </c>
      <c r="C104" s="72">
        <f>SUM(C105:C106)</f>
        <v>162753500</v>
      </c>
      <c r="D104" s="72">
        <f t="shared" ref="D104:G104" si="21">SUM(D105:D106)</f>
        <v>162753500</v>
      </c>
      <c r="E104" s="72">
        <f t="shared" si="21"/>
        <v>0</v>
      </c>
      <c r="F104" s="72">
        <f t="shared" si="21"/>
        <v>113728969.53</v>
      </c>
      <c r="G104" s="72">
        <f t="shared" si="21"/>
        <v>49024530.469999999</v>
      </c>
      <c r="H104" s="140">
        <f>+IFERROR(Hoja4!L100,0)</f>
        <v>0.69878048416777516</v>
      </c>
      <c r="I104" s="140">
        <f>+IFERROR(Hoja4!M100,0)</f>
        <v>0.30121951583222478</v>
      </c>
      <c r="J104" s="126"/>
      <c r="K104" s="126"/>
    </row>
    <row r="105" spans="1:11" x14ac:dyDescent="0.25">
      <c r="A105" s="73" t="str">
        <f>+Hoja4!B101</f>
        <v>E-20401</v>
      </c>
      <c r="B105" s="102" t="str">
        <f>+Hoja4!C101</f>
        <v>HERRAM.E INSTRUMENTO</v>
      </c>
      <c r="C105" s="99">
        <f>+SUMIF(Hoja4!$B$3:$B$166,$A105,Hoja4!$D$3:$D$166)</f>
        <v>54479500</v>
      </c>
      <c r="D105" s="99">
        <f>+SUMIF(Hoja4!$B$3:$B$166,$A105,Hoja4!$E$3:$E$166)</f>
        <v>54479500</v>
      </c>
      <c r="E105" s="99">
        <f>+SUMIF(Hoja4!$B$3:$B$166,$A105,Hoja4!$F$3:$F$166)</f>
        <v>0</v>
      </c>
      <c r="F105" s="99">
        <f>+SUMIF(Hoja4!$B$3:$B$166,$A105,Hoja4!$J$3:$J$166)</f>
        <v>20339284</v>
      </c>
      <c r="G105" s="99">
        <f>+SUMIF(Hoja4!$B$3:$B$166,$A105,Hoja4!$K$3:$K$166)</f>
        <v>34140216</v>
      </c>
      <c r="H105" s="135">
        <f>+IFERROR(Hoja4!L101,0)</f>
        <v>0.37333830156297321</v>
      </c>
      <c r="I105" s="135">
        <f>+IFERROR(Hoja4!M101,0)</f>
        <v>0.62666169843702679</v>
      </c>
    </row>
    <row r="106" spans="1:11" x14ac:dyDescent="0.25">
      <c r="A106" s="73" t="str">
        <f>+Hoja4!B102</f>
        <v>E-20402</v>
      </c>
      <c r="B106" s="102" t="str">
        <f>+Hoja4!C102</f>
        <v>REP.Y ACCESORIOS</v>
      </c>
      <c r="C106" s="99">
        <f>+SUMIF(Hoja4!$B$3:$B$166,$A106,Hoja4!$D$3:$D$166)</f>
        <v>108274000</v>
      </c>
      <c r="D106" s="99">
        <f>+SUMIF(Hoja4!$B$3:$B$166,$A106,Hoja4!$E$3:$E$166)</f>
        <v>108274000</v>
      </c>
      <c r="E106" s="99">
        <f>+SUMIF(Hoja4!$B$3:$B$166,$A106,Hoja4!$F$3:$F$166)</f>
        <v>0</v>
      </c>
      <c r="F106" s="99">
        <f>+SUMIF(Hoja4!$B$3:$B$166,$A106,Hoja4!$J$3:$J$166)</f>
        <v>93389685.530000001</v>
      </c>
      <c r="G106" s="99">
        <f>+SUMIF(Hoja4!$B$3:$B$166,$A106,Hoja4!$K$3:$K$166)</f>
        <v>14884314.470000001</v>
      </c>
      <c r="H106" s="135">
        <f>+IFERROR(Hoja4!L102,0)</f>
        <v>0.86253103727580027</v>
      </c>
      <c r="I106" s="135">
        <f>+IFERROR(Hoja4!M102,0)</f>
        <v>0.13746896272419973</v>
      </c>
    </row>
    <row r="107" spans="1:11" x14ac:dyDescent="0.25">
      <c r="A107" s="71" t="str">
        <f>+Hoja4!B103</f>
        <v>E-205</v>
      </c>
      <c r="B107" s="101" t="str">
        <f>+Hoja4!C103</f>
        <v>BIENES PARA LA PRODUCCION Y COMERCIALIZACION</v>
      </c>
      <c r="C107" s="72">
        <f>+C108</f>
        <v>4577817</v>
      </c>
      <c r="D107" s="72">
        <f>+D108</f>
        <v>4577817</v>
      </c>
      <c r="E107" s="72">
        <f>+E108</f>
        <v>0</v>
      </c>
      <c r="F107" s="72">
        <f>+F108</f>
        <v>0</v>
      </c>
      <c r="G107" s="72">
        <f>+G108</f>
        <v>4577817</v>
      </c>
      <c r="H107" s="140">
        <f>+IFERROR(Hoja4!L103,0)</f>
        <v>0</v>
      </c>
      <c r="I107" s="140">
        <f>+IFERROR(Hoja4!M103,0)</f>
        <v>1</v>
      </c>
    </row>
    <row r="108" spans="1:11" x14ac:dyDescent="0.25">
      <c r="A108" s="73" t="str">
        <f>+Hoja4!B104</f>
        <v>E-20599</v>
      </c>
      <c r="B108" s="102" t="str">
        <f>+Hoja4!C104</f>
        <v>OTROS BIENES PARA LA PRODUCCION Y COMERCIALIZACION</v>
      </c>
      <c r="C108" s="99">
        <f>+SUMIF(Hoja4!$B$3:$B$166,$A108,Hoja4!$D$3:$D$166)</f>
        <v>4577817</v>
      </c>
      <c r="D108" s="99">
        <f>+SUMIF(Hoja4!$B$3:$B$166,$A108,Hoja4!$E$3:$E$166)</f>
        <v>4577817</v>
      </c>
      <c r="E108" s="99">
        <f>+SUMIF(Hoja4!$B$3:$B$166,$A108,Hoja4!$F$3:$F$166)</f>
        <v>0</v>
      </c>
      <c r="F108" s="99">
        <f>+SUMIF(Hoja4!$B$3:$B$166,$A108,Hoja4!$J$3:$J$166)</f>
        <v>0</v>
      </c>
      <c r="G108" s="99">
        <f>+SUMIF(Hoja4!$B$3:$B$166,$A108,Hoja4!$K$3:$K$166)</f>
        <v>4577817</v>
      </c>
      <c r="H108" s="135">
        <f>+IFERROR(Hoja4!L104,0)</f>
        <v>0</v>
      </c>
      <c r="I108" s="135">
        <f>+IFERROR(Hoja4!M104,0)</f>
        <v>1</v>
      </c>
    </row>
    <row r="109" spans="1:11" s="23" customFormat="1" x14ac:dyDescent="0.25">
      <c r="A109" s="71" t="str">
        <f>+Hoja4!B105</f>
        <v>E-299</v>
      </c>
      <c r="B109" s="101" t="str">
        <f>+Hoja4!C105</f>
        <v>ÚTILES MAT Y SUM DIV</v>
      </c>
      <c r="C109" s="72">
        <f>SUM(C110:C117)</f>
        <v>1644563677</v>
      </c>
      <c r="D109" s="72">
        <f t="shared" ref="D109:G109" si="22">SUM(D110:D117)</f>
        <v>1644563677</v>
      </c>
      <c r="E109" s="72">
        <f t="shared" si="22"/>
        <v>0</v>
      </c>
      <c r="F109" s="72">
        <f t="shared" si="22"/>
        <v>1444226486.7299998</v>
      </c>
      <c r="G109" s="72">
        <f t="shared" si="22"/>
        <v>200337190.26999995</v>
      </c>
      <c r="H109" s="140">
        <f>+IFERROR(Hoja4!L105,0)</f>
        <v>0.87818216279989014</v>
      </c>
      <c r="I109" s="140">
        <f>+IFERROR(Hoja4!M105,0)</f>
        <v>0.12181783720010983</v>
      </c>
      <c r="J109" s="126"/>
      <c r="K109" s="126"/>
    </row>
    <row r="110" spans="1:11" x14ac:dyDescent="0.25">
      <c r="A110" s="73" t="str">
        <f>+Hoja4!B106</f>
        <v>E-29901</v>
      </c>
      <c r="B110" s="102" t="str">
        <f>+Hoja4!C106</f>
        <v>ÚT.Y MAT.OF.Y COMP.</v>
      </c>
      <c r="C110" s="99">
        <f>+SUMIF(Hoja4!$B$3:$B$166,$A110,Hoja4!$D$3:$D$166)</f>
        <v>33486136</v>
      </c>
      <c r="D110" s="99">
        <f>+SUMIF(Hoja4!$B$3:$B$166,$A110,Hoja4!$E$3:$E$166)</f>
        <v>33486136</v>
      </c>
      <c r="E110" s="99">
        <f>+SUMIF(Hoja4!$B$3:$B$166,$A110,Hoja4!$F$3:$F$166)</f>
        <v>0</v>
      </c>
      <c r="F110" s="99">
        <f>+SUMIF(Hoja4!$B$3:$B$166,$A110,Hoja4!$J$3:$J$166)</f>
        <v>21607295.740000002</v>
      </c>
      <c r="G110" s="99">
        <f>+SUMIF(Hoja4!$B$3:$B$166,$A110,Hoja4!$K$3:$K$166)</f>
        <v>11878840.26</v>
      </c>
      <c r="H110" s="135">
        <f>+IFERROR(Hoja4!L106,0)</f>
        <v>0.6452609444099493</v>
      </c>
      <c r="I110" s="135">
        <f>+IFERROR(Hoja4!M106,0)</f>
        <v>0.35473905559005076</v>
      </c>
    </row>
    <row r="111" spans="1:11" x14ac:dyDescent="0.25">
      <c r="A111" s="73" t="str">
        <f>+Hoja4!B107</f>
        <v>E-29902</v>
      </c>
      <c r="B111" s="102" t="str">
        <f>+Hoja4!C107</f>
        <v>UT.Y MAT.MÉD,H.Y INV</v>
      </c>
      <c r="C111" s="99">
        <f>+SUMIF(Hoja4!$B$3:$B$166,$A111,Hoja4!$D$3:$D$166)</f>
        <v>50182019</v>
      </c>
      <c r="D111" s="99">
        <f>+SUMIF(Hoja4!$B$3:$B$166,$A111,Hoja4!$E$3:$E$166)</f>
        <v>50182019</v>
      </c>
      <c r="E111" s="99">
        <f>+SUMIF(Hoja4!$B$3:$B$166,$A111,Hoja4!$F$3:$F$166)</f>
        <v>0</v>
      </c>
      <c r="F111" s="99">
        <f>+SUMIF(Hoja4!$B$3:$B$166,$A111,Hoja4!$J$3:$J$166)</f>
        <v>30484018.079999998</v>
      </c>
      <c r="G111" s="99">
        <f>+SUMIF(Hoja4!$B$3:$B$166,$A111,Hoja4!$K$3:$K$166)</f>
        <v>19698000.920000002</v>
      </c>
      <c r="H111" s="135">
        <f>+IFERROR(Hoja4!L107,0)</f>
        <v>0.6074689438063462</v>
      </c>
      <c r="I111" s="135">
        <f>+IFERROR(Hoja4!M107,0)</f>
        <v>0.3925310561936538</v>
      </c>
    </row>
    <row r="112" spans="1:11" x14ac:dyDescent="0.25">
      <c r="A112" s="73" t="str">
        <f>+Hoja4!B108</f>
        <v>E-29903</v>
      </c>
      <c r="B112" s="102" t="str">
        <f>+Hoja4!C108</f>
        <v>PROD.PAPEL,CART.EIMP</v>
      </c>
      <c r="C112" s="99">
        <f>+SUMIF(Hoja4!$B$3:$B$166,$A112,Hoja4!$D$3:$D$166)</f>
        <v>133362693</v>
      </c>
      <c r="D112" s="99">
        <f>+SUMIF(Hoja4!$B$3:$B$166,$A112,Hoja4!$E$3:$E$166)</f>
        <v>133362693</v>
      </c>
      <c r="E112" s="99">
        <f>+SUMIF(Hoja4!$B$3:$B$166,$A112,Hoja4!$F$3:$F$166)</f>
        <v>0</v>
      </c>
      <c r="F112" s="99">
        <f>+SUMIF(Hoja4!$B$3:$B$166,$A112,Hoja4!$J$3:$J$166)</f>
        <v>92821607.729999989</v>
      </c>
      <c r="G112" s="99">
        <f>+SUMIF(Hoja4!$B$3:$B$166,$A112,Hoja4!$K$3:$K$166)</f>
        <v>40541085.269999996</v>
      </c>
      <c r="H112" s="135">
        <f>+IFERROR(Hoja4!L108,0)</f>
        <v>0.69600879857757514</v>
      </c>
      <c r="I112" s="135">
        <f>+IFERROR(Hoja4!M108,0)</f>
        <v>0.30399120142242475</v>
      </c>
    </row>
    <row r="113" spans="1:11" x14ac:dyDescent="0.25">
      <c r="A113" s="73" t="str">
        <f>+Hoja4!B109</f>
        <v>E-29904</v>
      </c>
      <c r="B113" s="102" t="str">
        <f>+Hoja4!C109</f>
        <v>TEXTILES Y VESTUARIO</v>
      </c>
      <c r="C113" s="99">
        <f>+SUMIF(Hoja4!$B$3:$B$166,$A113,Hoja4!$D$3:$D$166)</f>
        <v>637001000</v>
      </c>
      <c r="D113" s="99">
        <f>+SUMIF(Hoja4!$B$3:$B$166,$A113,Hoja4!$E$3:$E$166)</f>
        <v>637001000</v>
      </c>
      <c r="E113" s="99">
        <f>+SUMIF(Hoja4!$B$3:$B$166,$A113,Hoja4!$F$3:$F$166)</f>
        <v>0</v>
      </c>
      <c r="F113" s="99">
        <f>+SUMIF(Hoja4!$B$3:$B$166,$A113,Hoja4!$J$3:$J$166)</f>
        <v>564635922.28999996</v>
      </c>
      <c r="G113" s="99">
        <f>+SUMIF(Hoja4!$B$3:$B$166,$A113,Hoja4!$K$3:$K$166)</f>
        <v>72365077.709999993</v>
      </c>
      <c r="H113" s="135">
        <f>+IFERROR(Hoja4!L109,0)</f>
        <v>0.88639723060089382</v>
      </c>
      <c r="I113" s="135">
        <f>+IFERROR(Hoja4!M109,0)</f>
        <v>0.11360276939910612</v>
      </c>
    </row>
    <row r="114" spans="1:11" x14ac:dyDescent="0.25">
      <c r="A114" s="73" t="str">
        <f>+Hoja4!B110</f>
        <v>E-29905</v>
      </c>
      <c r="B114" s="102" t="str">
        <f>+Hoja4!C110</f>
        <v>ÚTILES Y MATER.LIMP</v>
      </c>
      <c r="C114" s="99">
        <f>+SUMIF(Hoja4!$B$3:$B$166,$A114,Hoja4!$D$3:$D$166)</f>
        <v>318641000</v>
      </c>
      <c r="D114" s="99">
        <f>+SUMIF(Hoja4!$B$3:$B$166,$A114,Hoja4!$E$3:$E$166)</f>
        <v>318641000</v>
      </c>
      <c r="E114" s="99">
        <f>+SUMIF(Hoja4!$B$3:$B$166,$A114,Hoja4!$F$3:$F$166)</f>
        <v>0</v>
      </c>
      <c r="F114" s="99">
        <f>+SUMIF(Hoja4!$B$3:$B$166,$A114,Hoja4!$J$3:$J$166)</f>
        <v>305601716.56</v>
      </c>
      <c r="G114" s="99">
        <f>+SUMIF(Hoja4!$B$3:$B$166,$A114,Hoja4!$K$3:$K$166)</f>
        <v>13039283.439999999</v>
      </c>
      <c r="H114" s="135">
        <f>+IFERROR(Hoja4!L110,0)</f>
        <v>0.9590784505446569</v>
      </c>
      <c r="I114" s="135">
        <f>+IFERROR(Hoja4!M110,0)</f>
        <v>4.0921549455343161E-2</v>
      </c>
    </row>
    <row r="115" spans="1:11" x14ac:dyDescent="0.25">
      <c r="A115" s="73" t="str">
        <f>+Hoja4!B111</f>
        <v>E-29906</v>
      </c>
      <c r="B115" s="102" t="str">
        <f>+Hoja4!C111</f>
        <v>ÚTILES YMAT.RESG.SEG</v>
      </c>
      <c r="C115" s="99">
        <f>+SUMIF(Hoja4!$B$3:$B$166,$A115,Hoja4!$D$3:$D$166)</f>
        <v>180610000</v>
      </c>
      <c r="D115" s="99">
        <f>+SUMIF(Hoja4!$B$3:$B$166,$A115,Hoja4!$E$3:$E$166)</f>
        <v>180610000</v>
      </c>
      <c r="E115" s="99">
        <f>+SUMIF(Hoja4!$B$3:$B$166,$A115,Hoja4!$F$3:$F$166)</f>
        <v>0</v>
      </c>
      <c r="F115" s="99">
        <f>+SUMIF(Hoja4!$B$3:$B$166,$A115,Hoja4!$J$3:$J$166)</f>
        <v>171256852.57999998</v>
      </c>
      <c r="G115" s="99">
        <f>+SUMIF(Hoja4!$B$3:$B$166,$A115,Hoja4!$K$3:$K$166)</f>
        <v>9353147.4199999999</v>
      </c>
      <c r="H115" s="135">
        <f>+IFERROR(Hoja4!L111,0)</f>
        <v>0.9482135683516969</v>
      </c>
      <c r="I115" s="135">
        <f>+IFERROR(Hoja4!M111,0)</f>
        <v>5.1786431648302975E-2</v>
      </c>
    </row>
    <row r="116" spans="1:11" x14ac:dyDescent="0.25">
      <c r="A116" s="73" t="str">
        <f>+Hoja4!B112</f>
        <v>E-29907</v>
      </c>
      <c r="B116" s="102" t="str">
        <f>+Hoja4!C112</f>
        <v>ÚTILES YMAT.COC.YCOM</v>
      </c>
      <c r="C116" s="99">
        <f>+SUMIF(Hoja4!$B$3:$B$166,$A116,Hoja4!$D$3:$D$166)</f>
        <v>93059347</v>
      </c>
      <c r="D116" s="99">
        <f>+SUMIF(Hoja4!$B$3:$B$166,$A116,Hoja4!$E$3:$E$166)</f>
        <v>93059347</v>
      </c>
      <c r="E116" s="99">
        <f>+SUMIF(Hoja4!$B$3:$B$166,$A116,Hoja4!$F$3:$F$166)</f>
        <v>0</v>
      </c>
      <c r="F116" s="99">
        <f>+SUMIF(Hoja4!$B$3:$B$166,$A116,Hoja4!$J$3:$J$166)</f>
        <v>82729652.469999999</v>
      </c>
      <c r="G116" s="99">
        <f>+SUMIF(Hoja4!$B$3:$B$166,$A116,Hoja4!$K$3:$K$166)</f>
        <v>10329694.529999999</v>
      </c>
      <c r="H116" s="135">
        <f>+IFERROR(Hoja4!L112,0)</f>
        <v>0.88899885005640544</v>
      </c>
      <c r="I116" s="135">
        <f>+IFERROR(Hoja4!M112,0)</f>
        <v>0.11100114994359458</v>
      </c>
    </row>
    <row r="117" spans="1:11" x14ac:dyDescent="0.25">
      <c r="A117" s="73" t="str">
        <f>+Hoja4!B113</f>
        <v>E-29999</v>
      </c>
      <c r="B117" s="102" t="str">
        <f>+Hoja4!C113</f>
        <v>OTR.UT,MAT Y SUM.DIV</v>
      </c>
      <c r="C117" s="99">
        <f>+SUMIF(Hoja4!$B$3:$B$166,$A117,Hoja4!$D$3:$D$166)</f>
        <v>198221482</v>
      </c>
      <c r="D117" s="99">
        <f>+SUMIF(Hoja4!$B$3:$B$166,$A117,Hoja4!$E$3:$E$166)</f>
        <v>198221482</v>
      </c>
      <c r="E117" s="99">
        <f>+SUMIF(Hoja4!$B$3:$B$166,$A117,Hoja4!$F$3:$F$166)</f>
        <v>0</v>
      </c>
      <c r="F117" s="99">
        <f>+SUMIF(Hoja4!$B$3:$B$166,$A117,Hoja4!$J$3:$J$166)</f>
        <v>175089421.28</v>
      </c>
      <c r="G117" s="99">
        <f>+SUMIF(Hoja4!$B$3:$B$166,$A117,Hoja4!$K$3:$K$166)</f>
        <v>23132060.719999999</v>
      </c>
      <c r="H117" s="135">
        <f>+IFERROR(Hoja4!L113,0)</f>
        <v>0.88330194847398025</v>
      </c>
      <c r="I117" s="135">
        <f>+IFERROR(Hoja4!M113,0)</f>
        <v>0.11669805152601977</v>
      </c>
    </row>
    <row r="118" spans="1:11" s="112" customFormat="1" x14ac:dyDescent="0.25">
      <c r="A118" s="144" t="str">
        <f>+Hoja4!B114</f>
        <v>E-5</v>
      </c>
      <c r="B118" s="145" t="str">
        <f>+Hoja4!C114</f>
        <v>BIENES DURADEROS</v>
      </c>
      <c r="C118" s="146">
        <f>+C119+C128+C131</f>
        <v>1954944685</v>
      </c>
      <c r="D118" s="146">
        <f t="shared" ref="D118:G118" si="23">+D119+D128+D131</f>
        <v>1954944685</v>
      </c>
      <c r="E118" s="146">
        <f t="shared" si="23"/>
        <v>0</v>
      </c>
      <c r="F118" s="146">
        <f t="shared" si="23"/>
        <v>1418559473.8899999</v>
      </c>
      <c r="G118" s="146">
        <f t="shared" si="23"/>
        <v>536385211.10999995</v>
      </c>
      <c r="H118" s="147">
        <f>+IFERROR(Hoja4!L114,0)</f>
        <v>0.72562639995617073</v>
      </c>
      <c r="I118" s="147">
        <f>+IFERROR(Hoja4!M114,0)</f>
        <v>0.27437360004382932</v>
      </c>
      <c r="J118" s="127"/>
      <c r="K118" s="127">
        <f>+C118-Estado!C148</f>
        <v>0</v>
      </c>
    </row>
    <row r="119" spans="1:11" s="23" customFormat="1" x14ac:dyDescent="0.25">
      <c r="A119" s="71" t="str">
        <f>+Hoja4!B115</f>
        <v>E-501</v>
      </c>
      <c r="B119" s="101" t="str">
        <f>+Hoja4!C115</f>
        <v>MAQ, EQUIPO Y MOB</v>
      </c>
      <c r="C119" s="72">
        <f>SUM(C120:C127)</f>
        <v>714300413.80999994</v>
      </c>
      <c r="D119" s="72">
        <f t="shared" ref="D119:G119" si="24">SUM(D120:D127)</f>
        <v>714300413.80999994</v>
      </c>
      <c r="E119" s="72">
        <f t="shared" si="24"/>
        <v>0</v>
      </c>
      <c r="F119" s="72">
        <f t="shared" si="24"/>
        <v>527165620.06999993</v>
      </c>
      <c r="G119" s="72">
        <f t="shared" si="24"/>
        <v>187134793.74000001</v>
      </c>
      <c r="H119" s="140">
        <f>+IFERROR(Hoja4!L115,0)</f>
        <v>0.73801668020624056</v>
      </c>
      <c r="I119" s="140">
        <f>+IFERROR(Hoja4!M115,0)</f>
        <v>0.26198331979375955</v>
      </c>
      <c r="J119" s="126"/>
      <c r="K119" s="126"/>
    </row>
    <row r="120" spans="1:11" x14ac:dyDescent="0.25">
      <c r="A120" s="73" t="str">
        <f>+Hoja4!B116</f>
        <v>E-50101</v>
      </c>
      <c r="B120" s="102" t="str">
        <f>+Hoja4!C116</f>
        <v>MAQ.Y EQ. PRODUCCIÓN</v>
      </c>
      <c r="C120" s="99">
        <f>+SUMIF(Hoja4!$B$3:$B$166,$A120,Hoja4!$D$3:$D$166)</f>
        <v>13198794</v>
      </c>
      <c r="D120" s="99">
        <f>+SUMIF(Hoja4!$B$3:$B$166,$A120,Hoja4!$E$3:$E$166)</f>
        <v>13198794</v>
      </c>
      <c r="E120" s="99">
        <f>+SUMIF(Hoja4!$B$3:$B$166,$A120,Hoja4!$F$3:$F$166)</f>
        <v>0</v>
      </c>
      <c r="F120" s="99">
        <f>+SUMIF(Hoja4!$B$3:$B$166,$A120,Hoja4!$J$3:$J$166)</f>
        <v>6551172.9400000004</v>
      </c>
      <c r="G120" s="99">
        <f>+SUMIF(Hoja4!$B$3:$B$166,$A120,Hoja4!$K$3:$K$166)</f>
        <v>6647621.0600000005</v>
      </c>
      <c r="H120" s="135">
        <f>+IFERROR(Hoja4!L116,0)</f>
        <v>0.49634632830848036</v>
      </c>
      <c r="I120" s="135">
        <f>+IFERROR(Hoja4!M116,0)</f>
        <v>0.50365367169151976</v>
      </c>
    </row>
    <row r="121" spans="1:11" x14ac:dyDescent="0.25">
      <c r="A121" s="73" t="str">
        <f>+Hoja4!B117</f>
        <v>E-50102</v>
      </c>
      <c r="B121" s="102" t="str">
        <f>+Hoja4!C117</f>
        <v>EQUIPO DE TRANSPORTE</v>
      </c>
      <c r="C121" s="99">
        <f>+SUMIF(Hoja4!$B$3:$B$166,$A121,Hoja4!$D$3:$D$166)</f>
        <v>85687284</v>
      </c>
      <c r="D121" s="99">
        <f>+SUMIF(Hoja4!$B$3:$B$166,$A121,Hoja4!$E$3:$E$166)</f>
        <v>85687284</v>
      </c>
      <c r="E121" s="99">
        <f>+SUMIF(Hoja4!$B$3:$B$166,$A121,Hoja4!$F$3:$F$166)</f>
        <v>0</v>
      </c>
      <c r="F121" s="99">
        <f>+SUMIF(Hoja4!$B$3:$B$166,$A121,Hoja4!$J$3:$J$166)</f>
        <v>71535531.150000006</v>
      </c>
      <c r="G121" s="99">
        <f>+SUMIF(Hoja4!$B$3:$B$166,$A121,Hoja4!$K$3:$K$166)</f>
        <v>14151752.85</v>
      </c>
      <c r="H121" s="135">
        <f>+IFERROR(Hoja4!L117,0)</f>
        <v>0.83484418936653426</v>
      </c>
      <c r="I121" s="135">
        <f>+IFERROR(Hoja4!M117,0)</f>
        <v>0.16515581063346574</v>
      </c>
    </row>
    <row r="122" spans="1:11" x14ac:dyDescent="0.25">
      <c r="A122" s="73" t="str">
        <f>+Hoja4!B118</f>
        <v>E-50103</v>
      </c>
      <c r="B122" s="102" t="str">
        <f>+Hoja4!C118</f>
        <v>EQ. DE COMUNICACIÓN</v>
      </c>
      <c r="C122" s="99">
        <f>+SUMIF(Hoja4!$B$3:$B$166,$A122,Hoja4!$D$3:$D$166)</f>
        <v>141972659</v>
      </c>
      <c r="D122" s="99">
        <f>+SUMIF(Hoja4!$B$3:$B$166,$A122,Hoja4!$E$3:$E$166)</f>
        <v>141972659</v>
      </c>
      <c r="E122" s="99">
        <f>+SUMIF(Hoja4!$B$3:$B$166,$A122,Hoja4!$F$3:$F$166)</f>
        <v>0</v>
      </c>
      <c r="F122" s="99">
        <f>+SUMIF(Hoja4!$B$3:$B$166,$A122,Hoja4!$J$3:$J$166)</f>
        <v>123151861.8</v>
      </c>
      <c r="G122" s="99">
        <f>+SUMIF(Hoja4!$B$3:$B$166,$A122,Hoja4!$K$3:$K$166)</f>
        <v>18820797.199999999</v>
      </c>
      <c r="H122" s="135">
        <f>+IFERROR(Hoja4!L118,0)</f>
        <v>0.86743365002412187</v>
      </c>
      <c r="I122" s="135">
        <f>+IFERROR(Hoja4!M118,0)</f>
        <v>0.1325663499758781</v>
      </c>
    </row>
    <row r="123" spans="1:11" x14ac:dyDescent="0.25">
      <c r="A123" s="73" t="str">
        <f>+Hoja4!B119</f>
        <v>E-50104</v>
      </c>
      <c r="B123" s="102" t="str">
        <f>+Hoja4!C119</f>
        <v>EQUIPO Y MOB. OFIC.</v>
      </c>
      <c r="C123" s="99">
        <f>+SUMIF(Hoja4!$B$3:$B$166,$A123,Hoja4!$D$3:$D$166)</f>
        <v>102888503</v>
      </c>
      <c r="D123" s="99">
        <f>+SUMIF(Hoja4!$B$3:$B$166,$A123,Hoja4!$E$3:$E$166)</f>
        <v>102888503</v>
      </c>
      <c r="E123" s="99">
        <f>+SUMIF(Hoja4!$B$3:$B$166,$A123,Hoja4!$F$3:$F$166)</f>
        <v>0</v>
      </c>
      <c r="F123" s="99">
        <f>+SUMIF(Hoja4!$B$3:$B$166,$A123,Hoja4!$J$3:$J$166)</f>
        <v>55482741.920000002</v>
      </c>
      <c r="G123" s="99">
        <f>+SUMIF(Hoja4!$B$3:$B$166,$A123,Hoja4!$K$3:$K$166)</f>
        <v>47405761.079999998</v>
      </c>
      <c r="H123" s="135">
        <f>+IFERROR(Hoja4!L119,0)</f>
        <v>0.53925113401640223</v>
      </c>
      <c r="I123" s="135">
        <f>+IFERROR(Hoja4!M119,0)</f>
        <v>0.46074886598359777</v>
      </c>
    </row>
    <row r="124" spans="1:11" x14ac:dyDescent="0.25">
      <c r="A124" s="73" t="str">
        <f>+Hoja4!B120</f>
        <v>E-50105</v>
      </c>
      <c r="B124" s="102" t="str">
        <f>+Hoja4!C120</f>
        <v>EQ.Y PROGR. CÓMPUTO</v>
      </c>
      <c r="C124" s="99">
        <f>+SUMIF(Hoja4!$B$3:$B$166,$A124,Hoja4!$D$3:$D$166)</f>
        <v>23722233.809999999</v>
      </c>
      <c r="D124" s="99">
        <f>+SUMIF(Hoja4!$B$3:$B$166,$A124,Hoja4!$E$3:$E$166)</f>
        <v>23722233.809999999</v>
      </c>
      <c r="E124" s="99">
        <f>+SUMIF(Hoja4!$B$3:$B$166,$A124,Hoja4!$F$3:$F$166)</f>
        <v>0</v>
      </c>
      <c r="F124" s="99">
        <f>+SUMIF(Hoja4!$B$3:$B$166,$A124,Hoja4!$J$3:$J$166)</f>
        <v>21302427.279999997</v>
      </c>
      <c r="G124" s="99">
        <f>+SUMIF(Hoja4!$B$3:$B$166,$A124,Hoja4!$K$3:$K$166)</f>
        <v>2419806.5300000003</v>
      </c>
      <c r="H124" s="135">
        <f>+IFERROR(Hoja4!L120,0)</f>
        <v>0.8979941539493661</v>
      </c>
      <c r="I124" s="135">
        <f>+IFERROR(Hoja4!M120,0)</f>
        <v>0.10200584605063381</v>
      </c>
    </row>
    <row r="125" spans="1:11" x14ac:dyDescent="0.25">
      <c r="A125" s="73" t="str">
        <f>+Hoja4!B121</f>
        <v>E-50106</v>
      </c>
      <c r="B125" s="102" t="str">
        <f>+Hoja4!C121</f>
        <v>EQ.SANIT, LAB. E INV</v>
      </c>
      <c r="C125" s="99">
        <f>+SUMIF(Hoja4!$B$3:$B$166,$A125,Hoja4!$D$3:$D$166)</f>
        <v>29448040</v>
      </c>
      <c r="D125" s="99">
        <f>+SUMIF(Hoja4!$B$3:$B$166,$A125,Hoja4!$E$3:$E$166)</f>
        <v>29448040</v>
      </c>
      <c r="E125" s="99">
        <f>+SUMIF(Hoja4!$B$3:$B$166,$A125,Hoja4!$F$3:$F$166)</f>
        <v>0</v>
      </c>
      <c r="F125" s="99">
        <f>+SUMIF(Hoja4!$B$3:$B$166,$A125,Hoja4!$J$3:$J$166)</f>
        <v>28048639.210000001</v>
      </c>
      <c r="G125" s="99">
        <f>+SUMIF(Hoja4!$B$3:$B$166,$A125,Hoja4!$K$3:$K$166)</f>
        <v>1399400.79</v>
      </c>
      <c r="H125" s="135">
        <f>+IFERROR(Hoja4!L121,0)</f>
        <v>0.95247898366071226</v>
      </c>
      <c r="I125" s="135">
        <f>+IFERROR(Hoja4!M121,0)</f>
        <v>4.7521016339287778E-2</v>
      </c>
    </row>
    <row r="126" spans="1:11" x14ac:dyDescent="0.25">
      <c r="A126" s="73" t="str">
        <f>+Hoja4!B122</f>
        <v>E-50107</v>
      </c>
      <c r="B126" s="102" t="str">
        <f>+Hoja4!C122</f>
        <v>EQ.YMOB.EDUC,DEP.Y R</v>
      </c>
      <c r="C126" s="99">
        <f>+SUMIF(Hoja4!$B$3:$B$166,$A126,Hoja4!$D$3:$D$166)</f>
        <v>23640700</v>
      </c>
      <c r="D126" s="99">
        <f>+SUMIF(Hoja4!$B$3:$B$166,$A126,Hoja4!$E$3:$E$166)</f>
        <v>23640700</v>
      </c>
      <c r="E126" s="99">
        <f>+SUMIF(Hoja4!$B$3:$B$166,$A126,Hoja4!$F$3:$F$166)</f>
        <v>0</v>
      </c>
      <c r="F126" s="99">
        <f>+SUMIF(Hoja4!$B$3:$B$166,$A126,Hoja4!$J$3:$J$166)</f>
        <v>22971351</v>
      </c>
      <c r="G126" s="99">
        <f>+SUMIF(Hoja4!$B$3:$B$166,$A126,Hoja4!$K$3:$K$166)</f>
        <v>669349</v>
      </c>
      <c r="H126" s="135">
        <f>+IFERROR(Hoja4!L122,0)</f>
        <v>0.97168658288460152</v>
      </c>
      <c r="I126" s="135">
        <f>+IFERROR(Hoja4!M122,0)</f>
        <v>2.8313417115398445E-2</v>
      </c>
    </row>
    <row r="127" spans="1:11" x14ac:dyDescent="0.25">
      <c r="A127" s="73" t="str">
        <f>+Hoja4!B123</f>
        <v>E-50199</v>
      </c>
      <c r="B127" s="102" t="str">
        <f>+Hoja4!C123</f>
        <v>MAQ,EQ Y MOV.DIVERSO</v>
      </c>
      <c r="C127" s="99">
        <f>+SUMIF(Hoja4!$B$3:$B$166,$A127,Hoja4!$D$3:$D$166)</f>
        <v>293742200</v>
      </c>
      <c r="D127" s="99">
        <f>+SUMIF(Hoja4!$B$3:$B$166,$A127,Hoja4!$E$3:$E$166)</f>
        <v>293742200</v>
      </c>
      <c r="E127" s="99">
        <f>+SUMIF(Hoja4!$B$3:$B$166,$A127,Hoja4!$F$3:$F$166)</f>
        <v>0</v>
      </c>
      <c r="F127" s="99">
        <f>+SUMIF(Hoja4!$B$3:$B$166,$A127,Hoja4!$J$3:$J$166)</f>
        <v>198121894.77000001</v>
      </c>
      <c r="G127" s="99">
        <f>+SUMIF(Hoja4!$B$3:$B$166,$A127,Hoja4!$K$3:$K$166)</f>
        <v>95620305.230000004</v>
      </c>
      <c r="H127" s="135">
        <f>+IFERROR(Hoja4!L123,0)</f>
        <v>0.67447542358571566</v>
      </c>
      <c r="I127" s="135">
        <f>+IFERROR(Hoja4!M123,0)</f>
        <v>0.32552457641428439</v>
      </c>
    </row>
    <row r="128" spans="1:11" s="23" customFormat="1" x14ac:dyDescent="0.25">
      <c r="A128" s="71" t="str">
        <f>+Hoja4!B124</f>
        <v>E-502</v>
      </c>
      <c r="B128" s="101" t="str">
        <f>+Hoja4!C124</f>
        <v>CONST, ADIC YMEJORAS</v>
      </c>
      <c r="C128" s="72">
        <f>SUM(C129:C130)</f>
        <v>737909209.19000006</v>
      </c>
      <c r="D128" s="72">
        <f t="shared" ref="D128:G128" si="25">SUM(D129:D130)</f>
        <v>737909209.19000006</v>
      </c>
      <c r="E128" s="72">
        <f t="shared" si="25"/>
        <v>0</v>
      </c>
      <c r="F128" s="72">
        <f t="shared" si="25"/>
        <v>663222307.61000001</v>
      </c>
      <c r="G128" s="72">
        <f t="shared" si="25"/>
        <v>74686901.579999998</v>
      </c>
      <c r="H128" s="140">
        <f>+IFERROR(Hoja4!L124,0)</f>
        <v>0.898785784687545</v>
      </c>
      <c r="I128" s="140">
        <f>+IFERROR(Hoja4!M124,0)</f>
        <v>0.10121421531245491</v>
      </c>
      <c r="J128" s="126"/>
      <c r="K128" s="126"/>
    </row>
    <row r="129" spans="1:11" x14ac:dyDescent="0.25">
      <c r="A129" s="73" t="str">
        <f>+Hoja4!B125</f>
        <v>E-50201</v>
      </c>
      <c r="B129" s="102" t="str">
        <f>+Hoja4!C125</f>
        <v>EDIFICIOS</v>
      </c>
      <c r="C129" s="99">
        <f>+SUMIF(Hoja4!$B$3:$B$166,$A129,Hoja4!$D$3:$D$166)</f>
        <v>729101908.19000006</v>
      </c>
      <c r="D129" s="99">
        <f>+SUMIF(Hoja4!$B$3:$B$166,$A129,Hoja4!$E$3:$E$166)</f>
        <v>729101908.19000006</v>
      </c>
      <c r="E129" s="99">
        <f>+SUMIF(Hoja4!$B$3:$B$166,$A129,Hoja4!$F$3:$F$166)</f>
        <v>0</v>
      </c>
      <c r="F129" s="99">
        <f>+SUMIF(Hoja4!$B$3:$B$166,$A129,Hoja4!$J$3:$J$166)</f>
        <v>654415130.61000001</v>
      </c>
      <c r="G129" s="99">
        <f>+SUMIF(Hoja4!$B$3:$B$166,$A129,Hoja4!$K$3:$K$166)</f>
        <v>74686777.579999998</v>
      </c>
      <c r="H129" s="135">
        <f>+IFERROR(Hoja4!L125,0)</f>
        <v>0.89756332175098752</v>
      </c>
      <c r="I129" s="135">
        <f>+IFERROR(Hoja4!M125,0)</f>
        <v>0.10243667824901238</v>
      </c>
    </row>
    <row r="130" spans="1:11" x14ac:dyDescent="0.25">
      <c r="A130" s="73" t="str">
        <f>+Hoja4!B126</f>
        <v>E-50207</v>
      </c>
      <c r="B130" s="102" t="str">
        <f>+Hoja4!C126</f>
        <v>INSTALACIONES</v>
      </c>
      <c r="C130" s="99">
        <f>+SUMIF(Hoja4!$B$3:$B$166,$A130,Hoja4!$D$3:$D$166)</f>
        <v>8807301</v>
      </c>
      <c r="D130" s="99">
        <f>+SUMIF(Hoja4!$B$3:$B$166,$A130,Hoja4!$E$3:$E$166)</f>
        <v>8807301</v>
      </c>
      <c r="E130" s="99">
        <f>+SUMIF(Hoja4!$B$3:$B$166,$A130,Hoja4!$F$3:$F$166)</f>
        <v>0</v>
      </c>
      <c r="F130" s="99">
        <f>+SUMIF(Hoja4!$B$3:$B$166,$A130,Hoja4!$J$3:$J$166)</f>
        <v>8807177</v>
      </c>
      <c r="G130" s="99">
        <f>+SUMIF(Hoja4!$B$3:$B$166,$A130,Hoja4!$K$3:$K$166)</f>
        <v>124</v>
      </c>
      <c r="H130" s="135">
        <f>+IFERROR(Hoja4!L126,0)</f>
        <v>0.99998592077186865</v>
      </c>
      <c r="I130" s="135">
        <f>+IFERROR(Hoja4!M126,0)</f>
        <v>1.4079228131296977E-5</v>
      </c>
    </row>
    <row r="131" spans="1:11" s="23" customFormat="1" x14ac:dyDescent="0.25">
      <c r="A131" s="71" t="str">
        <f>+Hoja4!B127</f>
        <v>E-599</v>
      </c>
      <c r="B131" s="101" t="str">
        <f>+Hoja4!C127</f>
        <v>BIENES DURADEROS DIV</v>
      </c>
      <c r="C131" s="72">
        <f>+C132</f>
        <v>502735062</v>
      </c>
      <c r="D131" s="72">
        <f t="shared" ref="D131:G131" si="26">+D132</f>
        <v>502735062</v>
      </c>
      <c r="E131" s="72">
        <f t="shared" si="26"/>
        <v>0</v>
      </c>
      <c r="F131" s="72">
        <f t="shared" si="26"/>
        <v>228171546.21000001</v>
      </c>
      <c r="G131" s="72">
        <f t="shared" si="26"/>
        <v>274563515.78999996</v>
      </c>
      <c r="H131" s="140">
        <f>+IFERROR(Hoja4!L99,0)</f>
        <v>5.0345288007202046E-2</v>
      </c>
      <c r="I131" s="140">
        <f>+IFERROR(Hoja4!M99,0)</f>
        <v>0.94965471199279794</v>
      </c>
      <c r="J131" s="126"/>
      <c r="K131" s="126"/>
    </row>
    <row r="132" spans="1:11" x14ac:dyDescent="0.25">
      <c r="A132" s="73" t="str">
        <f>+Hoja4!B128</f>
        <v>E-59903</v>
      </c>
      <c r="B132" s="102" t="str">
        <f>+Hoja4!C128</f>
        <v>BIENES INTANGIBLES</v>
      </c>
      <c r="C132" s="99">
        <f>+SUMIF(Hoja4!$B$3:$B$166,$A132,Hoja4!$D$3:$D$166)</f>
        <v>502735062</v>
      </c>
      <c r="D132" s="99">
        <f>+SUMIF(Hoja4!$B$3:$B$166,$A132,Hoja4!$E$3:$E$166)</f>
        <v>502735062</v>
      </c>
      <c r="E132" s="99">
        <f>+SUMIF(Hoja4!$B$3:$B$166,$A132,Hoja4!$F$3:$F$166)</f>
        <v>0</v>
      </c>
      <c r="F132" s="99">
        <f>+SUMIF(Hoja4!$B$3:$B$166,$A132,Hoja4!$J$3:$J$166)</f>
        <v>228171546.21000001</v>
      </c>
      <c r="G132" s="99">
        <f>+SUMIF(Hoja4!$B$3:$B$166,$A132,Hoja4!$K$3:$K$166)</f>
        <v>274563515.78999996</v>
      </c>
      <c r="H132" s="135">
        <f>+IFERROR(Hoja4!L128,0)</f>
        <v>0.45386041964584523</v>
      </c>
      <c r="I132" s="135">
        <f>+IFERROR(Hoja4!M128,0)</f>
        <v>0.54613958035415477</v>
      </c>
    </row>
    <row r="133" spans="1:11" s="112" customFormat="1" x14ac:dyDescent="0.25">
      <c r="A133" s="144" t="str">
        <f>+Hoja4!B129</f>
        <v>E-6</v>
      </c>
      <c r="B133" s="145" t="str">
        <f>+Hoja4!C129</f>
        <v>TRANSF. CORRIENTES</v>
      </c>
      <c r="C133" s="148">
        <f>+C134+C137+C139+C142+C145</f>
        <v>13557931872</v>
      </c>
      <c r="D133" s="148">
        <f t="shared" ref="D133:G133" si="27">+D134+D137+D139+D142+D145</f>
        <v>13557401367</v>
      </c>
      <c r="E133" s="148">
        <f t="shared" si="27"/>
        <v>0</v>
      </c>
      <c r="F133" s="148">
        <f t="shared" si="27"/>
        <v>13240377282.469999</v>
      </c>
      <c r="G133" s="148">
        <f t="shared" si="27"/>
        <v>317554589.53000003</v>
      </c>
      <c r="H133" s="147">
        <f>+IFERROR(Hoja4!L129,0)</f>
        <v>0.97657794768936568</v>
      </c>
      <c r="I133" s="147">
        <f>+IFERROR(Hoja4!M129,0)</f>
        <v>2.3422052310634302E-2</v>
      </c>
      <c r="J133" s="127"/>
      <c r="K133" s="127">
        <f>+C133-Estado!C163</f>
        <v>0</v>
      </c>
    </row>
    <row r="134" spans="1:11" s="23" customFormat="1" x14ac:dyDescent="0.25">
      <c r="A134" s="71" t="str">
        <f>+Hoja4!B130</f>
        <v>E-601</v>
      </c>
      <c r="B134" s="101" t="str">
        <f>+Hoja4!C130</f>
        <v>TRANSF CTES S. PUB</v>
      </c>
      <c r="C134" s="113">
        <f>SUM(C135:C136)</f>
        <v>10410026800</v>
      </c>
      <c r="D134" s="113">
        <f t="shared" ref="D134:G134" si="28">SUM(D135:D136)</f>
        <v>10409496295</v>
      </c>
      <c r="E134" s="113">
        <f t="shared" si="28"/>
        <v>0</v>
      </c>
      <c r="F134" s="113">
        <f t="shared" si="28"/>
        <v>10222964706.119999</v>
      </c>
      <c r="G134" s="113">
        <f t="shared" si="28"/>
        <v>187062093.88000003</v>
      </c>
      <c r="H134" s="140">
        <f>+IFERROR(Hoja4!L130,0)</f>
        <v>0.98203058479349914</v>
      </c>
      <c r="I134" s="140">
        <f>+IFERROR(Hoja4!M130,0)</f>
        <v>1.7969415206500718E-2</v>
      </c>
      <c r="J134" s="126"/>
      <c r="K134" s="126">
        <f>+C134-Estado!C164</f>
        <v>0</v>
      </c>
    </row>
    <row r="135" spans="1:11" s="23" customFormat="1" x14ac:dyDescent="0.25">
      <c r="A135" s="73" t="str">
        <f>+Hoja4!B131</f>
        <v>E-60102</v>
      </c>
      <c r="B135" s="102" t="str">
        <f>+Hoja4!C131</f>
        <v>TRANSF.CTE ORG.DESC</v>
      </c>
      <c r="C135" s="99">
        <f>+SUMIF(Hoja4!$B$3:$B$166,$A135,Hoja4!$D$3:$D$166)</f>
        <v>252000000</v>
      </c>
      <c r="D135" s="99">
        <f>+SUMIF(Hoja4!$B$3:$B$166,$A135,Hoja4!$E$3:$E$166)</f>
        <v>252000000</v>
      </c>
      <c r="E135" s="99">
        <f>+SUMIF(Hoja4!$B$3:$B$166,$A135,Hoja4!$F$3:$F$166)</f>
        <v>0</v>
      </c>
      <c r="F135" s="99">
        <f>+SUMIF(Hoja4!$B$3:$B$166,$A135,Hoja4!$J$3:$J$166)</f>
        <v>244456955.97999999</v>
      </c>
      <c r="G135" s="99">
        <f>+SUMIF(Hoja4!$B$3:$B$166,$A135,Hoja4!$K$3:$K$166)</f>
        <v>7543044.0199999996</v>
      </c>
      <c r="H135" s="135">
        <f>+IFERROR(Hoja4!L131,0)</f>
        <v>0.97006728563492062</v>
      </c>
      <c r="I135" s="135">
        <f>+IFERROR(Hoja4!M131,0)</f>
        <v>2.9932714365079362E-2</v>
      </c>
      <c r="J135" s="126"/>
      <c r="K135" s="126"/>
    </row>
    <row r="136" spans="1:11" x14ac:dyDescent="0.25">
      <c r="A136" s="73" t="str">
        <f>+Hoja4!B132</f>
        <v>E-60103</v>
      </c>
      <c r="B136" s="102" t="str">
        <f>+Hoja4!C132</f>
        <v>TRANSF.CTE I.D.NOE</v>
      </c>
      <c r="C136" s="99">
        <f>+SUMIF(Hoja4!$B$3:$B$166,$A136,Hoja4!$D$3:$D$166)</f>
        <v>10158026800</v>
      </c>
      <c r="D136" s="99">
        <f>+SUMIF(Hoja4!$B$3:$B$166,$A136,Hoja4!$E$3:$E$166)</f>
        <v>10157496295</v>
      </c>
      <c r="E136" s="99">
        <f>+SUMIF(Hoja4!$B$3:$B$166,$A136,Hoja4!$F$3:$F$166)</f>
        <v>0</v>
      </c>
      <c r="F136" s="99">
        <f>+SUMIF(Hoja4!$B$3:$B$166,$A136,Hoja4!$J$3:$J$166)</f>
        <v>9978507750.1399994</v>
      </c>
      <c r="G136" s="99">
        <f>+SUMIF(Hoja4!$B$3:$B$166,$A136,Hoja4!$K$3:$K$166)</f>
        <v>179519049.86000001</v>
      </c>
      <c r="H136" s="135">
        <f>+IFERROR(Hoja4!L132,0)</f>
        <v>0.9823273699317272</v>
      </c>
      <c r="I136" s="135">
        <f>+IFERROR(Hoja4!M132,0)</f>
        <v>1.7672630068272709E-2</v>
      </c>
    </row>
    <row r="137" spans="1:11" s="23" customFormat="1" x14ac:dyDescent="0.25">
      <c r="A137" s="71" t="str">
        <f>+Hoja4!B133</f>
        <v>E-602</v>
      </c>
      <c r="B137" s="101" t="str">
        <f>+Hoja4!C133</f>
        <v>TRANSF CTES A PERS</v>
      </c>
      <c r="C137" s="113">
        <f>+C138</f>
        <v>530000000</v>
      </c>
      <c r="D137" s="113">
        <f t="shared" ref="D137:G137" si="29">+D138</f>
        <v>530000000</v>
      </c>
      <c r="E137" s="113">
        <f t="shared" si="29"/>
        <v>0</v>
      </c>
      <c r="F137" s="113">
        <f t="shared" si="29"/>
        <v>530000000</v>
      </c>
      <c r="G137" s="113">
        <f t="shared" si="29"/>
        <v>0</v>
      </c>
      <c r="H137" s="140">
        <f>+IFERROR(Hoja4!L133,0)</f>
        <v>1</v>
      </c>
      <c r="I137" s="140">
        <f>+IFERROR(Hoja4!M133,0)</f>
        <v>0</v>
      </c>
      <c r="J137" s="126"/>
      <c r="K137" s="126">
        <f>+C137-Estado!C182</f>
        <v>0</v>
      </c>
    </row>
    <row r="138" spans="1:11" x14ac:dyDescent="0.25">
      <c r="A138" s="73" t="str">
        <f>+Hoja4!B134</f>
        <v>E-60299</v>
      </c>
      <c r="B138" s="102" t="str">
        <f>+Hoja4!C134</f>
        <v>OTRAS TRANSF. A PERS</v>
      </c>
      <c r="C138" s="99">
        <f>+SUMIF(Hoja4!$B$3:$B$166,$A138,Hoja4!$D$3:$D$166)</f>
        <v>530000000</v>
      </c>
      <c r="D138" s="99">
        <f>+SUMIF(Hoja4!$B$3:$B$166,$A138,Hoja4!$E$3:$E$166)</f>
        <v>530000000</v>
      </c>
      <c r="E138" s="99">
        <f>+SUMIF(Hoja4!$B$3:$B$166,$A138,Hoja4!$F$3:$F$166)</f>
        <v>0</v>
      </c>
      <c r="F138" s="99">
        <f>+SUMIF(Hoja4!$B$3:$B$166,$A138,Hoja4!$J$3:$J$166)</f>
        <v>530000000</v>
      </c>
      <c r="G138" s="99">
        <f>+SUMIF(Hoja4!$B$3:$B$166,$A138,Hoja4!$K$3:$K$166)</f>
        <v>0</v>
      </c>
      <c r="H138" s="135">
        <f>+IFERROR(Hoja4!L134,0)</f>
        <v>1</v>
      </c>
      <c r="I138" s="135">
        <f>+IFERROR(Hoja4!M134,0)</f>
        <v>0</v>
      </c>
    </row>
    <row r="139" spans="1:11" s="23" customFormat="1" x14ac:dyDescent="0.25">
      <c r="A139" s="71" t="str">
        <f>+Hoja4!B135</f>
        <v>E-603</v>
      </c>
      <c r="B139" s="101" t="str">
        <f>+Hoja4!C135</f>
        <v>PRESTACIONES</v>
      </c>
      <c r="C139" s="113">
        <f>SUM(C140:C141)</f>
        <v>1841612072</v>
      </c>
      <c r="D139" s="113">
        <f t="shared" ref="D139:G139" si="30">SUM(D140:D141)</f>
        <v>1841612072</v>
      </c>
      <c r="E139" s="113">
        <f t="shared" si="30"/>
        <v>0</v>
      </c>
      <c r="F139" s="113">
        <f t="shared" si="30"/>
        <v>1798781435.29</v>
      </c>
      <c r="G139" s="113">
        <f t="shared" si="30"/>
        <v>42830636.710000008</v>
      </c>
      <c r="H139" s="140">
        <f>+IFERROR(Hoja4!L135,0)</f>
        <v>0.97674285623926993</v>
      </c>
      <c r="I139" s="140">
        <f>+IFERROR(Hoja4!M135,0)</f>
        <v>2.3257143760730084E-2</v>
      </c>
      <c r="J139" s="126"/>
      <c r="K139" s="126">
        <f>+C139-Estado!C184</f>
        <v>0</v>
      </c>
    </row>
    <row r="140" spans="1:11" x14ac:dyDescent="0.25">
      <c r="A140" s="73" t="str">
        <f>+Hoja4!B136</f>
        <v>E-60301</v>
      </c>
      <c r="B140" s="102" t="str">
        <f>+Hoja4!C136</f>
        <v>PRESTACIONES LEGALES</v>
      </c>
      <c r="C140" s="99">
        <f>+SUMIF(Hoja4!$B$3:$B$166,$A140,Hoja4!$D$3:$D$166)</f>
        <v>1358382537</v>
      </c>
      <c r="D140" s="99">
        <f>+SUMIF(Hoja4!$B$3:$B$166,$A140,Hoja4!$E$3:$E$166)</f>
        <v>1358382537</v>
      </c>
      <c r="E140" s="99">
        <f>+SUMIF(Hoja4!$B$3:$B$166,$A140,Hoja4!$F$3:$F$166)</f>
        <v>0</v>
      </c>
      <c r="F140" s="99">
        <f>+SUMIF(Hoja4!$B$3:$B$166,$A140,Hoja4!$J$3:$J$166)</f>
        <v>1337352310.8</v>
      </c>
      <c r="G140" s="99">
        <f>+SUMIF(Hoja4!$B$3:$B$166,$A140,Hoja4!$K$3:$K$166)</f>
        <v>21030226.200000003</v>
      </c>
      <c r="H140" s="135">
        <f>+IFERROR(Hoja4!L136,0)</f>
        <v>0.98451818568983851</v>
      </c>
      <c r="I140" s="135">
        <f>+IFERROR(Hoja4!M136,0)</f>
        <v>1.5481814310161442E-2</v>
      </c>
    </row>
    <row r="141" spans="1:11" x14ac:dyDescent="0.25">
      <c r="A141" s="73" t="str">
        <f>+Hoja4!B137</f>
        <v>E-60399</v>
      </c>
      <c r="B141" s="102" t="str">
        <f>+Hoja4!C137</f>
        <v>OTRAS PRESTACIONES</v>
      </c>
      <c r="C141" s="99">
        <f>+SUMIF(Hoja4!$B$3:$B$166,$A141,Hoja4!$D$3:$D$166)</f>
        <v>483229535</v>
      </c>
      <c r="D141" s="99">
        <f>+SUMIF(Hoja4!$B$3:$B$166,$A141,Hoja4!$E$3:$E$166)</f>
        <v>483229535</v>
      </c>
      <c r="E141" s="99">
        <f>+SUMIF(Hoja4!$B$3:$B$166,$A141,Hoja4!$F$3:$F$166)</f>
        <v>0</v>
      </c>
      <c r="F141" s="99">
        <f>+SUMIF(Hoja4!$B$3:$B$166,$A141,Hoja4!$J$3:$J$166)</f>
        <v>461429124.49000001</v>
      </c>
      <c r="G141" s="99">
        <f>+SUMIF(Hoja4!$B$3:$B$166,$A141,Hoja4!$K$3:$K$166)</f>
        <v>21800410.510000002</v>
      </c>
      <c r="H141" s="135">
        <f>+IFERROR(Hoja4!L137,0)</f>
        <v>0.95488601393124695</v>
      </c>
      <c r="I141" s="135">
        <f>+IFERROR(Hoja4!M137,0)</f>
        <v>4.5113986068753026E-2</v>
      </c>
    </row>
    <row r="142" spans="1:11" s="23" customFormat="1" x14ac:dyDescent="0.25">
      <c r="A142" s="71" t="str">
        <f>+Hoja4!B138</f>
        <v>E-606</v>
      </c>
      <c r="B142" s="101" t="str">
        <f>+Hoja4!C138</f>
        <v>OTR.TRANSF.CTE SPRIV</v>
      </c>
      <c r="C142" s="72">
        <f>SUM(C143:C144)</f>
        <v>352952000</v>
      </c>
      <c r="D142" s="72">
        <f t="shared" ref="D142:G142" si="31">SUM(D143:D144)</f>
        <v>352952000</v>
      </c>
      <c r="E142" s="72">
        <f t="shared" si="31"/>
        <v>0</v>
      </c>
      <c r="F142" s="72">
        <f t="shared" si="31"/>
        <v>267911716.85000002</v>
      </c>
      <c r="G142" s="72">
        <f t="shared" si="31"/>
        <v>85040283.149999991</v>
      </c>
      <c r="H142" s="140">
        <f>+IFERROR(Hoja4!L145,0)</f>
        <v>0.99999999756036617</v>
      </c>
      <c r="I142" s="140">
        <f>+IFERROR(Hoja4!M145,0)</f>
        <v>2.4396337748324584E-9</v>
      </c>
      <c r="J142" s="126"/>
      <c r="K142" s="126">
        <f>+C142-Estado!C187</f>
        <v>0</v>
      </c>
    </row>
    <row r="143" spans="1:11" x14ac:dyDescent="0.25">
      <c r="A143" s="73" t="str">
        <f>+Hoja4!B139</f>
        <v>E-60601</v>
      </c>
      <c r="B143" s="102" t="str">
        <f>+Hoja4!C139</f>
        <v>INDEMNIZACIONES</v>
      </c>
      <c r="C143" s="99">
        <f>+SUMIF(Hoja4!$B$3:$B$166,$A143,Hoja4!$D$3:$D$166)</f>
        <v>236600000</v>
      </c>
      <c r="D143" s="99">
        <f>+SUMIF(Hoja4!$B$3:$B$166,$A143,Hoja4!$E$3:$E$166)</f>
        <v>236600000</v>
      </c>
      <c r="E143" s="99">
        <f>+SUMIF(Hoja4!$B$3:$B$166,$A143,Hoja4!$F$3:$F$166)</f>
        <v>0</v>
      </c>
      <c r="F143" s="99">
        <f>+SUMIF(Hoja4!$B$3:$B$166,$A143,Hoja4!$J$3:$J$166)</f>
        <v>167030897.27000001</v>
      </c>
      <c r="G143" s="99">
        <f>+SUMIF(Hoja4!$B$3:$B$166,$A143,Hoja4!$K$3:$K$166)</f>
        <v>69569102.729999989</v>
      </c>
      <c r="H143" s="135">
        <f>+IFERROR(Hoja4!L139,0)</f>
        <v>0.70596321754015223</v>
      </c>
      <c r="I143" s="135">
        <f>+IFERROR(Hoja4!M139,0)</f>
        <v>0.29403678245984782</v>
      </c>
    </row>
    <row r="144" spans="1:11" s="23" customFormat="1" x14ac:dyDescent="0.25">
      <c r="A144" s="73" t="str">
        <f>+Hoja4!B140</f>
        <v>E-60602</v>
      </c>
      <c r="B144" s="102" t="str">
        <f>+Hoja4!C140</f>
        <v>REINTEGROS O DEVOL.</v>
      </c>
      <c r="C144" s="99">
        <f>+SUMIF(Hoja4!$B$3:$B$166,$A144,Hoja4!$D$3:$D$166)</f>
        <v>116352000</v>
      </c>
      <c r="D144" s="99">
        <f>+SUMIF(Hoja4!$B$3:$B$166,$A144,Hoja4!$E$3:$E$166)</f>
        <v>116352000</v>
      </c>
      <c r="E144" s="99">
        <f>+SUMIF(Hoja4!$B$3:$B$166,$A144,Hoja4!$F$3:$F$166)</f>
        <v>0</v>
      </c>
      <c r="F144" s="99">
        <f>+SUMIF(Hoja4!$B$3:$B$166,$A144,Hoja4!$J$3:$J$166)</f>
        <v>100880819.58</v>
      </c>
      <c r="G144" s="99">
        <f>+SUMIF(Hoja4!$B$3:$B$166,$A144,Hoja4!$K$3:$K$166)</f>
        <v>15471180.42</v>
      </c>
      <c r="H144" s="135">
        <f>+IFERROR(Hoja4!L140,0)</f>
        <v>0.86703124639026397</v>
      </c>
      <c r="I144" s="135">
        <f>+IFERROR(Hoja4!M140,0)</f>
        <v>0.13296875360973598</v>
      </c>
      <c r="J144" s="126"/>
      <c r="K144" s="126"/>
    </row>
    <row r="145" spans="1:11" s="23" customFormat="1" x14ac:dyDescent="0.25">
      <c r="A145" s="71" t="str">
        <f>+Hoja4!B141</f>
        <v>E-607</v>
      </c>
      <c r="B145" s="101" t="str">
        <f>+Hoja4!C141</f>
        <v>TRANSF CTES AL S.EXT</v>
      </c>
      <c r="C145" s="72">
        <f>+C146</f>
        <v>423341000</v>
      </c>
      <c r="D145" s="72">
        <f t="shared" ref="D145:G145" si="32">+D146</f>
        <v>423341000</v>
      </c>
      <c r="E145" s="72">
        <f t="shared" si="32"/>
        <v>0</v>
      </c>
      <c r="F145" s="72">
        <f t="shared" si="32"/>
        <v>420719424.20999998</v>
      </c>
      <c r="G145" s="72">
        <f t="shared" si="32"/>
        <v>2621575.79</v>
      </c>
      <c r="H145" s="135">
        <f>+IFERROR(Hoja4!L141,0)</f>
        <v>0.99380741343267009</v>
      </c>
      <c r="I145" s="135">
        <f>+IFERROR(Hoja4!M141,0)</f>
        <v>6.1925865673298835E-3</v>
      </c>
      <c r="J145" s="126"/>
      <c r="K145" s="126">
        <f>+C145-Estado!C190</f>
        <v>0</v>
      </c>
    </row>
    <row r="146" spans="1:11" s="23" customFormat="1" x14ac:dyDescent="0.25">
      <c r="A146" s="73" t="str">
        <f>+Hoja4!B142</f>
        <v>E-60701</v>
      </c>
      <c r="B146" s="102" t="str">
        <f>+Hoja4!C142</f>
        <v>TRANSF.C.TE ORG.INT.</v>
      </c>
      <c r="C146" s="99">
        <f>+SUMIF(Hoja4!$B$3:$B$166,$A146,Hoja4!$D$3:$D$166)</f>
        <v>423341000</v>
      </c>
      <c r="D146" s="99">
        <f>+SUMIF(Hoja4!$B$3:$B$166,$A146,Hoja4!$E$3:$E$166)</f>
        <v>423341000</v>
      </c>
      <c r="E146" s="99">
        <f>+SUMIF(Hoja4!$B$3:$B$166,$A146,Hoja4!$F$3:$F$166)</f>
        <v>0</v>
      </c>
      <c r="F146" s="99">
        <f>+SUMIF(Hoja4!$B$3:$B$166,$A146,Hoja4!$J$3:$J$166)</f>
        <v>420719424.20999998</v>
      </c>
      <c r="G146" s="99">
        <f>+SUMIF(Hoja4!$B$3:$B$166,$A146,Hoja4!$K$3:$K$166)</f>
        <v>2621575.79</v>
      </c>
      <c r="H146" s="135">
        <f>+IFERROR(Hoja4!L142,0)</f>
        <v>0.99380741343267009</v>
      </c>
      <c r="I146" s="135">
        <f>+IFERROR(Hoja4!M142,0)</f>
        <v>6.1925865673298835E-3</v>
      </c>
      <c r="J146" s="126"/>
      <c r="K146" s="126"/>
    </row>
    <row r="147" spans="1:11" s="112" customFormat="1" x14ac:dyDescent="0.25">
      <c r="A147" s="144" t="str">
        <f>+Hoja4!B143</f>
        <v>E-7</v>
      </c>
      <c r="B147" s="145" t="str">
        <f>+Hoja4!C143</f>
        <v>TRANSF. DE CAPITAL</v>
      </c>
      <c r="C147" s="146">
        <f>+C148</f>
        <v>1938815591.4200001</v>
      </c>
      <c r="D147" s="146">
        <f t="shared" ref="D147:G148" si="33">+D148</f>
        <v>1938815591.4200001</v>
      </c>
      <c r="E147" s="146">
        <f t="shared" si="33"/>
        <v>0</v>
      </c>
      <c r="F147" s="146">
        <f t="shared" si="33"/>
        <v>1938815586.6900001</v>
      </c>
      <c r="G147" s="146">
        <f t="shared" si="33"/>
        <v>4.7300000000000004</v>
      </c>
      <c r="H147" s="147">
        <f>+IFERROR(Hoja4!L143,0)</f>
        <v>0.99999999756036617</v>
      </c>
      <c r="I147" s="147">
        <f>+IFERROR(Hoja4!M143,0)</f>
        <v>2.4396337748324584E-9</v>
      </c>
      <c r="J147" s="127"/>
      <c r="K147" s="127">
        <f>+C147-Estado!C195</f>
        <v>0</v>
      </c>
    </row>
    <row r="148" spans="1:11" s="23" customFormat="1" x14ac:dyDescent="0.25">
      <c r="A148" s="71" t="str">
        <f>+Hoja4!B144</f>
        <v>E-701</v>
      </c>
      <c r="B148" s="101" t="str">
        <f>+Hoja4!C144</f>
        <v>TRANSF DE CTAL S PUB</v>
      </c>
      <c r="C148" s="72">
        <f>+C149</f>
        <v>1938815591.4200001</v>
      </c>
      <c r="D148" s="72">
        <f t="shared" si="33"/>
        <v>1938815591.4200001</v>
      </c>
      <c r="E148" s="72">
        <f t="shared" si="33"/>
        <v>0</v>
      </c>
      <c r="F148" s="72">
        <f t="shared" si="33"/>
        <v>1938815586.6900001</v>
      </c>
      <c r="G148" s="72">
        <f t="shared" si="33"/>
        <v>4.7300000000000004</v>
      </c>
      <c r="H148" s="140">
        <f>+IFERROR(Hoja4!L144,0)</f>
        <v>0.99999999756036617</v>
      </c>
      <c r="I148" s="140">
        <f>+IFERROR(Hoja4!M144,0)</f>
        <v>2.4396337748324584E-9</v>
      </c>
      <c r="J148" s="126"/>
      <c r="K148" s="126"/>
    </row>
    <row r="149" spans="1:11" s="23" customFormat="1" x14ac:dyDescent="0.25">
      <c r="A149" s="73" t="str">
        <f>+Hoja4!B145</f>
        <v>E-70102</v>
      </c>
      <c r="B149" s="102" t="str">
        <f>+Hoja4!C145</f>
        <v>TRANSF.CTAL ORG.DESC</v>
      </c>
      <c r="C149" s="99">
        <f>+SUMIF(Hoja4!$B$3:$B$166,$A149,Hoja4!$D$3:$D$166)</f>
        <v>1938815591.4200001</v>
      </c>
      <c r="D149" s="99">
        <f>+SUMIF(Hoja4!$B$3:$B$166,$A149,Hoja4!$E$3:$E$166)</f>
        <v>1938815591.4200001</v>
      </c>
      <c r="E149" s="99">
        <f>+SUMIF(Hoja4!$B$3:$B$166,$A149,Hoja4!$F$3:$F$166)</f>
        <v>0</v>
      </c>
      <c r="F149" s="99">
        <f>+SUMIF(Hoja4!$B$3:$B$166,$A149,Hoja4!$J$3:$J$166)</f>
        <v>1938815586.6900001</v>
      </c>
      <c r="G149" s="99">
        <f>+SUMIF(Hoja4!$B$3:$B$166,$A149,Hoja4!$K$3:$K$166)</f>
        <v>4.7300000000000004</v>
      </c>
      <c r="H149" s="135">
        <f>+IFERROR(Hoja4!L145,0)</f>
        <v>0.99999999756036617</v>
      </c>
      <c r="I149" s="135">
        <f>+IFERROR(Hoja4!M145,0)</f>
        <v>2.4396337748324584E-9</v>
      </c>
      <c r="J149" s="126"/>
      <c r="K149" s="126"/>
    </row>
    <row r="150" spans="1:11" s="112" customFormat="1" x14ac:dyDescent="0.25">
      <c r="A150" s="144" t="str">
        <f>+Hoja4!B146</f>
        <v>E-9</v>
      </c>
      <c r="B150" s="145" t="str">
        <f>+Hoja4!C146</f>
        <v>CUENTAS ESPECIALES</v>
      </c>
      <c r="C150" s="146">
        <f>+C151</f>
        <v>0</v>
      </c>
      <c r="D150" s="146">
        <f t="shared" ref="D150:G151" si="34">+D151</f>
        <v>0</v>
      </c>
      <c r="E150" s="146">
        <f t="shared" si="34"/>
        <v>0</v>
      </c>
      <c r="F150" s="146">
        <f t="shared" si="34"/>
        <v>0</v>
      </c>
      <c r="G150" s="146">
        <f t="shared" si="34"/>
        <v>0</v>
      </c>
      <c r="H150" s="147">
        <f>+IFERROR(Hoja4!L146,0)</f>
        <v>0</v>
      </c>
      <c r="I150" s="147">
        <f>+IFERROR(Hoja4!M146,0)</f>
        <v>0</v>
      </c>
      <c r="J150" s="127"/>
      <c r="K150" s="127"/>
    </row>
    <row r="151" spans="1:11" s="23" customFormat="1" x14ac:dyDescent="0.25">
      <c r="A151" s="73" t="str">
        <f>+Hoja4!B147</f>
        <v>E-902</v>
      </c>
      <c r="B151" s="102" t="str">
        <f>+Hoja4!C147</f>
        <v>SUMAS SIN ASIGNACION PRESUPUESTARIA</v>
      </c>
      <c r="C151" s="153">
        <f>+C152</f>
        <v>0</v>
      </c>
      <c r="D151" s="153">
        <f t="shared" si="34"/>
        <v>0</v>
      </c>
      <c r="E151" s="153">
        <f t="shared" si="34"/>
        <v>0</v>
      </c>
      <c r="F151" s="153">
        <f t="shared" si="34"/>
        <v>0</v>
      </c>
      <c r="G151" s="153">
        <f t="shared" si="34"/>
        <v>0</v>
      </c>
      <c r="H151" s="135">
        <f>+IFERROR(Hoja4!L147,0)</f>
        <v>0</v>
      </c>
      <c r="I151" s="135">
        <f>+IFERROR(Hoja4!M147,0)</f>
        <v>0</v>
      </c>
      <c r="J151" s="126"/>
      <c r="K151" s="126"/>
    </row>
    <row r="152" spans="1:11" s="23" customFormat="1" x14ac:dyDescent="0.25">
      <c r="A152" s="73" t="str">
        <f>+Hoja4!B148</f>
        <v>E-90201</v>
      </c>
      <c r="B152" s="102" t="str">
        <f>+Hoja4!C148</f>
        <v>SUMAS LIBRES SIN ASIGNACION PRESUPUESTARIA</v>
      </c>
      <c r="C152" s="99">
        <f>+SUMIF(Hoja4!$B$3:$B$166,$A152,Hoja4!$D$3:$D$166)</f>
        <v>0</v>
      </c>
      <c r="D152" s="99">
        <f>+SUMIF(Hoja4!$B$3:$B$166,$A152,Hoja4!$E$3:$E$166)</f>
        <v>0</v>
      </c>
      <c r="E152" s="99">
        <f>+SUMIF(Hoja4!$B$3:$B$166,$A152,Hoja4!$F$3:$F$166)</f>
        <v>0</v>
      </c>
      <c r="F152" s="99">
        <f>+SUMIF(Hoja4!$B$3:$B$166,$A152,Hoja4!$J$3:$J$166)</f>
        <v>0</v>
      </c>
      <c r="G152" s="99">
        <f>+SUMIF(Hoja4!$B$3:$B$166,$A152,Hoja4!$K$3:$K$166)</f>
        <v>0</v>
      </c>
      <c r="H152" s="135">
        <f>+IFERROR(Hoja4!L148,0)</f>
        <v>0</v>
      </c>
      <c r="I152" s="135">
        <f>+IFERROR(Hoja4!M148,0)</f>
        <v>0</v>
      </c>
      <c r="J152" s="126"/>
      <c r="K152" s="126"/>
    </row>
    <row r="153" spans="1:11" ht="15.75" thickBot="1" x14ac:dyDescent="0.3">
      <c r="A153" s="76" t="s">
        <v>15</v>
      </c>
      <c r="B153" s="103"/>
      <c r="C153" s="77">
        <f>+C147+C133+C118+C86+C32+C7+C150</f>
        <v>143111405132.41998</v>
      </c>
      <c r="D153" s="77">
        <f t="shared" ref="D153:G153" si="35">+D147+D133+D118+D86+D32+D7+D150</f>
        <v>143098560293.41998</v>
      </c>
      <c r="E153" s="77">
        <f t="shared" si="35"/>
        <v>0</v>
      </c>
      <c r="F153" s="77">
        <f t="shared" si="35"/>
        <v>133846060994.19</v>
      </c>
      <c r="G153" s="77">
        <f t="shared" si="35"/>
        <v>9265344138.2299995</v>
      </c>
      <c r="H153" s="154">
        <f>+IFERROR(Hoja4!L149,0)</f>
        <v>0.93525782148769454</v>
      </c>
      <c r="I153" s="154">
        <f>+IFERROR(Hoja4!M149,0)</f>
        <v>6.4742178512305432E-2</v>
      </c>
    </row>
    <row r="154" spans="1:11" x14ac:dyDescent="0.25">
      <c r="A154" s="78"/>
      <c r="B154" s="78"/>
      <c r="C154" s="44">
        <f>+C153-Hoja4!D149</f>
        <v>0</v>
      </c>
      <c r="D154" s="44">
        <f>+D153-Hoja4!E149</f>
        <v>0</v>
      </c>
      <c r="E154" s="44">
        <f>+E153-Hoja4!F149</f>
        <v>0</v>
      </c>
      <c r="F154" s="44">
        <f>SUM(Hoja4!G149:I149)-F153</f>
        <v>0</v>
      </c>
      <c r="G154" s="44">
        <f>+G153-Hoja4!K149</f>
        <v>0</v>
      </c>
      <c r="H154" s="43"/>
      <c r="I154" s="43"/>
    </row>
    <row r="155" spans="1:11" x14ac:dyDescent="0.25">
      <c r="C155" s="25">
        <f>+C153-Estado!C203</f>
        <v>0</v>
      </c>
    </row>
  </sheetData>
  <mergeCells count="11">
    <mergeCell ref="A1:I1"/>
    <mergeCell ref="A2:I2"/>
    <mergeCell ref="A3:I3"/>
    <mergeCell ref="I5:I6"/>
    <mergeCell ref="A5:A6"/>
    <mergeCell ref="C5:C6"/>
    <mergeCell ref="D5:D6"/>
    <mergeCell ref="E5:E6"/>
    <mergeCell ref="G5:G6"/>
    <mergeCell ref="H5:H6"/>
    <mergeCell ref="B5:B6"/>
  </mergeCells>
  <pageMargins left="0.7" right="0.7" top="0.75" bottom="0.75" header="0.3" footer="0.3"/>
  <pageSetup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72BD-9269-4E72-B95D-A9EBFCB6CF5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3"/>
  <sheetViews>
    <sheetView zoomScaleNormal="100" workbookViewId="0">
      <selection activeCell="C4" sqref="C4"/>
    </sheetView>
  </sheetViews>
  <sheetFormatPr baseColWidth="10" defaultRowHeight="15" x14ac:dyDescent="0.25"/>
  <cols>
    <col min="1" max="1" width="5.7109375" customWidth="1"/>
    <col min="2" max="2" width="18.85546875" bestFit="1" customWidth="1"/>
    <col min="3" max="3" width="18" bestFit="1" customWidth="1"/>
    <col min="4" max="4" width="16.85546875" bestFit="1" customWidth="1"/>
    <col min="5" max="5" width="14.7109375" bestFit="1" customWidth="1"/>
    <col min="6" max="6" width="7.42578125" bestFit="1" customWidth="1"/>
    <col min="7" max="7" width="15.7109375" bestFit="1" customWidth="1"/>
    <col min="8" max="8" width="7.140625" bestFit="1" customWidth="1"/>
    <col min="9" max="9" width="13.28515625" bestFit="1" customWidth="1"/>
    <col min="10" max="10" width="7.5703125" bestFit="1" customWidth="1"/>
    <col min="11" max="11" width="16.85546875" bestFit="1" customWidth="1"/>
    <col min="12" max="12" width="7.28515625" bestFit="1" customWidth="1"/>
    <col min="13" max="13" width="16.85546875" bestFit="1" customWidth="1"/>
    <col min="14" max="14" width="9.7109375" customWidth="1"/>
    <col min="15" max="15" width="16.85546875" bestFit="1" customWidth="1"/>
    <col min="16" max="16" width="7.7109375" bestFit="1" customWidth="1"/>
    <col min="17" max="17" width="15.7109375" bestFit="1" customWidth="1"/>
    <col min="18" max="18" width="9" customWidth="1"/>
  </cols>
  <sheetData>
    <row r="1" spans="1:19" ht="15.75" x14ac:dyDescent="0.25">
      <c r="A1" s="40" t="str">
        <f>+[2]Consolidado!A5</f>
        <v>214  - Ministerio de Justicia y Gracia</v>
      </c>
      <c r="B1" s="40"/>
      <c r="C1" s="40"/>
    </row>
    <row r="2" spans="1:19" ht="24" x14ac:dyDescent="0.25">
      <c r="A2" s="52" t="s">
        <v>24</v>
      </c>
      <c r="B2" s="52"/>
      <c r="C2" s="52" t="s">
        <v>25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30</v>
      </c>
      <c r="I2" s="52" t="s">
        <v>31</v>
      </c>
      <c r="J2" s="52" t="s">
        <v>32</v>
      </c>
      <c r="K2" s="52" t="s">
        <v>33</v>
      </c>
      <c r="L2" s="52" t="s">
        <v>34</v>
      </c>
      <c r="M2" s="52" t="s">
        <v>35</v>
      </c>
      <c r="N2" s="52" t="s">
        <v>36</v>
      </c>
      <c r="O2" s="52" t="s">
        <v>37</v>
      </c>
      <c r="P2" s="52" t="s">
        <v>38</v>
      </c>
      <c r="Q2" s="52" t="s">
        <v>39</v>
      </c>
      <c r="R2" s="53" t="s">
        <v>40</v>
      </c>
    </row>
    <row r="3" spans="1:19" x14ac:dyDescent="0.25">
      <c r="A3" s="11" t="s">
        <v>41</v>
      </c>
      <c r="B3" s="11"/>
      <c r="C3" s="11" t="s">
        <v>42</v>
      </c>
      <c r="D3" s="11" t="s">
        <v>42</v>
      </c>
      <c r="E3" s="11" t="s">
        <v>42</v>
      </c>
      <c r="F3" s="41"/>
      <c r="G3" s="11" t="s">
        <v>42</v>
      </c>
      <c r="H3" s="11"/>
      <c r="I3" s="11" t="s">
        <v>42</v>
      </c>
      <c r="J3" s="41"/>
      <c r="K3" s="11" t="s">
        <v>42</v>
      </c>
      <c r="L3" s="11"/>
      <c r="M3" s="11" t="s">
        <v>42</v>
      </c>
      <c r="N3" s="11"/>
      <c r="O3" s="11" t="s">
        <v>42</v>
      </c>
      <c r="P3" s="11"/>
      <c r="Q3" s="11" t="s">
        <v>42</v>
      </c>
      <c r="R3" s="13"/>
    </row>
    <row r="4" spans="1:19" x14ac:dyDescent="0.25">
      <c r="A4" s="11" t="s">
        <v>92</v>
      </c>
      <c r="B4" s="11" t="s">
        <v>93</v>
      </c>
      <c r="C4" s="13">
        <f>SUMIF(Estado!$A$9:$A$372,$A4,Estado!$C$9:$C$372)</f>
        <v>93001065494</v>
      </c>
      <c r="D4" s="13">
        <f>SUMIF(Estado!$A$9:$A$372,$A4,Estado!$D$9:$D$372)</f>
        <v>92993551160</v>
      </c>
      <c r="E4" s="13">
        <f>SUMIF(Estado!$A$9:$A$372,$A4,Estado!$E$9:$E$372)</f>
        <v>0</v>
      </c>
      <c r="F4" s="49">
        <f t="shared" ref="F4:F9" si="0">+E4/C4</f>
        <v>0</v>
      </c>
      <c r="G4" s="13">
        <f>SUMIF(Estado!$A$9:$A$372,$A4,Estado!$G$9:$G$372)</f>
        <v>0</v>
      </c>
      <c r="H4" s="49">
        <f t="shared" ref="H4" si="1">+G4/$C$4</f>
        <v>0</v>
      </c>
      <c r="I4" s="13">
        <f>SUMIF(Estado!$A$9:$A$372,$A4,Estado!$I$9:$I$372)</f>
        <v>0</v>
      </c>
      <c r="J4" s="49" t="e">
        <f>+I4/(E4+G4)</f>
        <v>#DIV/0!</v>
      </c>
      <c r="K4" s="13">
        <f>SUMIF(Estado!$A$9:$A$372,$A4,Estado!$K$9:$K$372)</f>
        <v>88405349792.529999</v>
      </c>
      <c r="L4" s="49">
        <f>+K4/$C$4</f>
        <v>0.95058426828704989</v>
      </c>
      <c r="M4" s="13">
        <f>SUMIF(Estado!$A$9:$A$372,$A4,Estado!$M$9:$M$372)</f>
        <v>88405349792.529999</v>
      </c>
      <c r="N4" s="49">
        <f>+M4/$C$4</f>
        <v>0.95058426828704989</v>
      </c>
      <c r="O4" s="13">
        <f>SUMIF(Estado!$A$9:$A$372,$A4,Estado!$O$9:$O$372)</f>
        <v>4595715701.4699993</v>
      </c>
      <c r="P4" s="49">
        <f t="shared" ref="P4" si="2">+O4/$C$4</f>
        <v>4.9415731712950037E-2</v>
      </c>
      <c r="Q4" s="13">
        <f>SUMIF(Estado!$A$9:$A$372,$A4,Estado!$Q$9:$Q$372)</f>
        <v>4588201367.4699993</v>
      </c>
      <c r="R4" s="49">
        <f>+Q4/$C$4</f>
        <v>4.9334933348328239E-2</v>
      </c>
    </row>
    <row r="5" spans="1:19" x14ac:dyDescent="0.25">
      <c r="A5" s="11" t="s">
        <v>123</v>
      </c>
      <c r="B5" s="11" t="s">
        <v>124</v>
      </c>
      <c r="C5" s="13">
        <f>SUMIF(Estado!$A$9:$A$372,$A5,Estado!$C$9:$C$372)</f>
        <v>18447657734</v>
      </c>
      <c r="D5" s="13">
        <f>SUMIF(Estado!$A$9:$A$372,$A5,Estado!$D$9:$D$372)</f>
        <v>18442857734</v>
      </c>
      <c r="E5" s="13">
        <f>SUMIF(Estado!$A$9:$A$372,$A5,Estado!$E$9:$E$372)</f>
        <v>0</v>
      </c>
      <c r="F5" s="49">
        <f t="shared" si="0"/>
        <v>0</v>
      </c>
      <c r="G5" s="13">
        <f>SUMIF(Estado!$A$9:$A$372,$A5,Estado!$G$9:$G$372)</f>
        <v>0</v>
      </c>
      <c r="H5" s="49">
        <f>+G5/$C$5</f>
        <v>0</v>
      </c>
      <c r="I5" s="13">
        <f>SUMIF(Estado!$A$9:$A$372,$A5,Estado!$I$9:$I$372)</f>
        <v>0</v>
      </c>
      <c r="J5" s="49" t="e">
        <f t="shared" ref="J5:J8" si="3">+I5/(E5+G5)</f>
        <v>#DIV/0!</v>
      </c>
      <c r="K5" s="13">
        <f>SUMIF(Estado!$A$9:$A$372,$A5,Estado!$K$9:$K$372)</f>
        <v>16055373084.190001</v>
      </c>
      <c r="L5" s="49">
        <f>+K5/$C$5</f>
        <v>0.87032041225478218</v>
      </c>
      <c r="M5" s="13">
        <f>SUMIF(Estado!$A$9:$A$372,$A5,Estado!$M$9:$M$372)</f>
        <v>14467259544.280001</v>
      </c>
      <c r="N5" s="49">
        <f>+M5/$C$5</f>
        <v>0.78423286863221031</v>
      </c>
      <c r="O5" s="13">
        <f>SUMIF(Estado!$A$9:$A$372,$A5,Estado!$O$9:$O$372)</f>
        <v>2392284649.8099999</v>
      </c>
      <c r="P5" s="49">
        <f>+O5/$C$5</f>
        <v>0.12967958774521787</v>
      </c>
      <c r="Q5" s="13">
        <f>SUMIF(Estado!$A$9:$A$372,$A5,Estado!$Q$9:$Q$372)</f>
        <v>2387484649.8099999</v>
      </c>
      <c r="R5" s="49">
        <f>+Q5/$C$5</f>
        <v>0.12941939211121314</v>
      </c>
    </row>
    <row r="6" spans="1:19" x14ac:dyDescent="0.25">
      <c r="A6" s="11" t="s">
        <v>200</v>
      </c>
      <c r="B6" s="11" t="s">
        <v>471</v>
      </c>
      <c r="C6" s="13">
        <f>SUMIF(Estado!$A$9:$A$372,$A6,Estado!$C$9:$C$372)</f>
        <v>14210989756</v>
      </c>
      <c r="D6" s="13">
        <f>SUMIF(Estado!$A$9:$A$372,$A6,Estado!$D$9:$D$372)</f>
        <v>14210989756</v>
      </c>
      <c r="E6" s="13">
        <f>SUMIF(Estado!$A$9:$A$372,$A6,Estado!$E$9:$E$372)</f>
        <v>0</v>
      </c>
      <c r="F6" s="49">
        <f t="shared" si="0"/>
        <v>0</v>
      </c>
      <c r="G6" s="13">
        <f>SUMIF(Estado!$A$9:$A$372,$A6,Estado!$G$9:$G$372)</f>
        <v>0</v>
      </c>
      <c r="H6" s="49">
        <f>+G6/$C$6</f>
        <v>0</v>
      </c>
      <c r="I6" s="13">
        <f>SUMIF(Estado!$A$9:$A$372,$A6,Estado!$I$9:$I$372)</f>
        <v>0</v>
      </c>
      <c r="J6" s="49" t="e">
        <f t="shared" si="3"/>
        <v>#DIV/0!</v>
      </c>
      <c r="K6" s="13">
        <f>SUMIF(Estado!$A$9:$A$372,$A6,Estado!$K$9:$K$372)</f>
        <v>12787585774.42</v>
      </c>
      <c r="L6" s="49">
        <f>+K6/$C$6</f>
        <v>0.89983780116518441</v>
      </c>
      <c r="M6" s="13">
        <f>SUMIF(Estado!$A$9:$A$372,$A6,Estado!$M$9:$M$372)</f>
        <v>12355951713.209999</v>
      </c>
      <c r="N6" s="49">
        <f>+M6/$C$6</f>
        <v>0.8694645429600153</v>
      </c>
      <c r="O6" s="13">
        <f>SUMIF(Estado!$A$9:$A$372,$A6,Estado!$O$9:$O$372)</f>
        <v>1423403981.5800002</v>
      </c>
      <c r="P6" s="49">
        <f>+O6/$C$6</f>
        <v>0.10016219883481564</v>
      </c>
      <c r="Q6" s="13">
        <f>SUMIF(Estado!$A$9:$A$372,$A6,Estado!$Q$9:$Q$372)</f>
        <v>1423403981.5800002</v>
      </c>
      <c r="R6" s="49">
        <f>+Q6/$C$6</f>
        <v>0.10016219883481564</v>
      </c>
    </row>
    <row r="7" spans="1:19" x14ac:dyDescent="0.25">
      <c r="A7" s="11" t="s">
        <v>279</v>
      </c>
      <c r="B7" s="11" t="s">
        <v>280</v>
      </c>
      <c r="C7" s="13">
        <f>SUMIF(Estado!$A$9:$A$372,$A7,Estado!$C$9:$C$372)</f>
        <v>1954944685</v>
      </c>
      <c r="D7" s="13">
        <f>SUMIF(Estado!$A$9:$A$372,$A7,Estado!$D$9:$D$372)</f>
        <v>1954944685</v>
      </c>
      <c r="E7" s="13">
        <f>SUMIF(Estado!$A$9:$A$372,$A7,Estado!$E$9:$E$372)</f>
        <v>0</v>
      </c>
      <c r="F7" s="49">
        <f t="shared" si="0"/>
        <v>0</v>
      </c>
      <c r="G7" s="13">
        <f>SUMIF(Estado!$A$9:$A$372,$A7,Estado!$G$9:$G$372)</f>
        <v>0</v>
      </c>
      <c r="H7" s="49">
        <f>+G7/$C$7</f>
        <v>0</v>
      </c>
      <c r="I7" s="13">
        <f>SUMIF(Estado!$A$9:$A$372,$A7,Estado!$I$9:$I$372)</f>
        <v>0</v>
      </c>
      <c r="J7" s="49" t="e">
        <f t="shared" si="3"/>
        <v>#DIV/0!</v>
      </c>
      <c r="K7" s="13">
        <f>SUMIF(Estado!$A$9:$A$372,$A7,Estado!$K$9:$K$372)</f>
        <v>1418559473.8900001</v>
      </c>
      <c r="L7" s="49">
        <f>+K7/$C$7</f>
        <v>0.72562639995617073</v>
      </c>
      <c r="M7" s="13">
        <f>SUMIF(Estado!$A$9:$A$372,$A7,Estado!$M$9:$M$372)</f>
        <v>1087133667.0799999</v>
      </c>
      <c r="N7" s="49">
        <f>+M7/$C$7</f>
        <v>0.55609433628553018</v>
      </c>
      <c r="O7" s="13">
        <f>SUMIF(Estado!$A$9:$A$372,$A7,Estado!$O$9:$O$372)</f>
        <v>536385211.11000001</v>
      </c>
      <c r="P7" s="49">
        <f>+O7/$C$7</f>
        <v>0.27437360004382938</v>
      </c>
      <c r="Q7" s="13">
        <f>SUMIF(Estado!$A$9:$A$372,$A7,Estado!$Q$9:$Q$372)</f>
        <v>536385211.11000001</v>
      </c>
      <c r="R7" s="49">
        <f>+Q7/$C$7</f>
        <v>0.27437360004382938</v>
      </c>
    </row>
    <row r="8" spans="1:19" x14ac:dyDescent="0.25">
      <c r="A8" s="11" t="s">
        <v>251</v>
      </c>
      <c r="B8" s="11" t="s">
        <v>510</v>
      </c>
      <c r="C8" s="13">
        <f>SUMIF(Estado!$A$9:$A$372,$A8,Estado!$C$9:$C$372)</f>
        <v>13557931872</v>
      </c>
      <c r="D8" s="13">
        <f>SUMIF(Estado!$A$9:$A$372,$A8,Estado!$D$9:$D$372)</f>
        <v>13557401367</v>
      </c>
      <c r="E8" s="13">
        <f>SUMIF(Estado!$A$9:$A$372,$A8,Estado!$E$9:$E$372)</f>
        <v>0</v>
      </c>
      <c r="F8" s="49">
        <f t="shared" si="0"/>
        <v>0</v>
      </c>
      <c r="G8" s="13">
        <f>SUMIF(Estado!$A$9:$A$372,$A8,Estado!$G$9:$G$372)</f>
        <v>0</v>
      </c>
      <c r="H8" s="49">
        <f>+G8/$C$8</f>
        <v>0</v>
      </c>
      <c r="I8" s="13">
        <f>SUMIF(Estado!$A$9:$A$372,$A8,Estado!$I$9:$I$372)</f>
        <v>0</v>
      </c>
      <c r="J8" s="49" t="e">
        <f t="shared" si="3"/>
        <v>#DIV/0!</v>
      </c>
      <c r="K8" s="13">
        <f>SUMIF(Estado!$A$9:$A$372,$A8,Estado!$K$9:$K$372)</f>
        <v>13240377282.469999</v>
      </c>
      <c r="L8" s="49">
        <f>+K8/$C$8</f>
        <v>0.97657794768936568</v>
      </c>
      <c r="M8" s="13">
        <f>SUMIF(Estado!$A$9:$A$372,$A8,Estado!$M$9:$M$372)</f>
        <v>13240377282.469999</v>
      </c>
      <c r="N8" s="49">
        <f>+M8/$C$8</f>
        <v>0.97657794768936568</v>
      </c>
      <c r="O8" s="13">
        <f>SUMIF(Estado!$A$9:$A$372,$A8,Estado!$O$9:$O$372)</f>
        <v>317554589.53000003</v>
      </c>
      <c r="P8" s="49">
        <f>+O8/$C$8</f>
        <v>2.3422052310634302E-2</v>
      </c>
      <c r="Q8" s="13">
        <f>SUMIF(Estado!$A$9:$A$372,$A8,Estado!$Q$9:$Q$372)</f>
        <v>317024084.53000003</v>
      </c>
      <c r="R8" s="49">
        <f>+Q8/$C$8</f>
        <v>2.3382923555230566E-2</v>
      </c>
    </row>
    <row r="9" spans="1:19" x14ac:dyDescent="0.25">
      <c r="A9" s="11" t="s">
        <v>376</v>
      </c>
      <c r="B9" s="11" t="s">
        <v>528</v>
      </c>
      <c r="C9" s="13">
        <f>SUMIF(Estado!$A$9:$A$372,$A9,Estado!$C$9:$C$372)</f>
        <v>1938815591.4200001</v>
      </c>
      <c r="D9" s="13">
        <f>SUMIF(Estado!$A$9:$A$372,$A9,Estado!$D$9:$D$372)</f>
        <v>1938815591.4200001</v>
      </c>
      <c r="E9" s="13">
        <f>SUMIF(Estado!$A$9:$A$372,$A9,Estado!$E$9:$E$372)</f>
        <v>0</v>
      </c>
      <c r="F9" s="49">
        <f t="shared" si="0"/>
        <v>0</v>
      </c>
      <c r="G9" s="13">
        <f>SUMIF(Estado!$A$9:$A$372,$A9,Estado!$G$9:$G$372)</f>
        <v>93466512.689999998</v>
      </c>
      <c r="H9" s="49">
        <f>+G9/$C$9</f>
        <v>4.8208046759900751E-2</v>
      </c>
      <c r="I9" s="13">
        <f>SUMIF(Estado!$A$9:$A$372,$A9,Estado!$I$9:$I$372)</f>
        <v>0</v>
      </c>
      <c r="J9" s="49">
        <v>0</v>
      </c>
      <c r="K9" s="13">
        <f>SUMIF(Estado!$A$9:$A$372,$A9,Estado!$K$9:$K$372)</f>
        <v>1845349074</v>
      </c>
      <c r="L9" s="49">
        <f>+K9/$C$9</f>
        <v>0.95179195080046541</v>
      </c>
      <c r="M9" s="13">
        <f>SUMIF(Estado!$A$9:$A$372,$A9,Estado!$M$9:$M$372)</f>
        <v>1845349074</v>
      </c>
      <c r="N9" s="49">
        <f>+M9/$C$9</f>
        <v>0.95179195080046541</v>
      </c>
      <c r="O9" s="13">
        <f>SUMIF(Estado!$A$9:$A$372,$A9,Estado!$O$9:$O$372)</f>
        <v>4.7300000000000004</v>
      </c>
      <c r="P9" s="49">
        <f>+O9/$C$9</f>
        <v>2.4396337748324584E-9</v>
      </c>
      <c r="Q9" s="13">
        <f>SUMIF(Estado!$A$9:$A$372,$A9,Estado!$Q$9:$Q$372)</f>
        <v>4.7300000000000004</v>
      </c>
      <c r="R9" s="49">
        <f>+Q9/$C$9</f>
        <v>2.4396337748324584E-9</v>
      </c>
    </row>
    <row r="10" spans="1:19" x14ac:dyDescent="0.25">
      <c r="A10" s="11" t="s">
        <v>576</v>
      </c>
      <c r="B10" s="11" t="s">
        <v>577</v>
      </c>
      <c r="C10" s="13">
        <f>SUMIF(Estado!$A$9:$A$372,$A10,Estado!$C$9:$C$372)</f>
        <v>0</v>
      </c>
      <c r="D10" s="13">
        <f>SUMIF(Estado!$A$9:$A$372,$A10,Estado!$D$9:$D$372)</f>
        <v>0</v>
      </c>
      <c r="E10" s="13">
        <f>SUMIF(Estado!$A$9:$A$372,$A10,Estado!$E$9:$E$372)</f>
        <v>0</v>
      </c>
      <c r="F10" s="49" t="e">
        <f t="shared" ref="F10" si="4">+E10/C10</f>
        <v>#DIV/0!</v>
      </c>
      <c r="G10" s="13">
        <f>SUMIF(Estado!$A$9:$A$372,$A10,Estado!$G$9:$G$372)</f>
        <v>0</v>
      </c>
      <c r="H10" s="49" t="e">
        <f>+G10/$C$10</f>
        <v>#DIV/0!</v>
      </c>
      <c r="I10" s="13">
        <f>SUMIF(Estado!$A$9:$A$372,$A10,Estado!$I$9:$I$372)</f>
        <v>0</v>
      </c>
      <c r="J10" s="49">
        <v>0</v>
      </c>
      <c r="K10" s="13">
        <f>SUMIF(Estado!$A$9:$A$372,$A10,Estado!$K$9:$K$372)</f>
        <v>0</v>
      </c>
      <c r="L10" s="49" t="e">
        <f>+K10/$C$10</f>
        <v>#DIV/0!</v>
      </c>
      <c r="M10" s="13">
        <f>SUMIF(Estado!$A$9:$A$372,$A10,Estado!$M$9:$M$372)</f>
        <v>0</v>
      </c>
      <c r="N10" s="49" t="e">
        <f>+M10/$C$10</f>
        <v>#DIV/0!</v>
      </c>
      <c r="O10" s="13">
        <f>SUMIF(Estado!$A$9:$A$372,$A10,Estado!$O$9:$O$372)</f>
        <v>0</v>
      </c>
      <c r="P10" s="49" t="e">
        <f>+O10/$C$10</f>
        <v>#DIV/0!</v>
      </c>
      <c r="Q10" s="13">
        <f>SUMIF(Estado!$A$9:$A$372,$A10,Estado!$Q$9:$Q$372)</f>
        <v>0</v>
      </c>
      <c r="R10" s="49" t="e">
        <f>+Q10/$C$10</f>
        <v>#DIV/0!</v>
      </c>
    </row>
    <row r="11" spans="1:19" x14ac:dyDescent="0.25">
      <c r="A11" s="54" t="s">
        <v>58</v>
      </c>
      <c r="B11" s="54"/>
      <c r="C11" s="55">
        <f>SUM(C4:C10)</f>
        <v>143111405132.42001</v>
      </c>
      <c r="D11" s="55">
        <f>SUM(D4:D10)</f>
        <v>143098560293.42001</v>
      </c>
      <c r="E11" s="55">
        <f>SUM(E4:E10)</f>
        <v>0</v>
      </c>
      <c r="F11" s="56">
        <f t="shared" ref="F11" si="5">+E11/C11</f>
        <v>0</v>
      </c>
      <c r="G11" s="55">
        <f>SUM(G4:G10)</f>
        <v>93466512.689999998</v>
      </c>
      <c r="H11" s="56">
        <f>+G11/$C$11</f>
        <v>6.5310317233987093E-4</v>
      </c>
      <c r="I11" s="55">
        <f>SUM(I4:I10)</f>
        <v>0</v>
      </c>
      <c r="J11" s="56">
        <f t="shared" ref="J11" si="6">+I11/(E11+G11)</f>
        <v>0</v>
      </c>
      <c r="K11" s="55">
        <f>SUM(K4:K10)</f>
        <v>133752594481.5</v>
      </c>
      <c r="L11" s="56">
        <f>+K11/$C$11</f>
        <v>0.93460471831535463</v>
      </c>
      <c r="M11" s="55">
        <f>SUM(M4:M10)</f>
        <v>131401421073.56999</v>
      </c>
      <c r="N11" s="56">
        <f>+M11/$C$11</f>
        <v>0.91817574533619561</v>
      </c>
      <c r="O11" s="55">
        <f>SUM(O4:O10)</f>
        <v>9265344138.2299995</v>
      </c>
      <c r="P11" s="56">
        <f>+O11/$C$11</f>
        <v>6.4742178512305432E-2</v>
      </c>
      <c r="Q11" s="55">
        <f>SUM(Q4:Q10)</f>
        <v>9252499299.2299995</v>
      </c>
      <c r="R11" s="56">
        <f>+Q11/$C$11</f>
        <v>6.4652424386922369E-2</v>
      </c>
    </row>
    <row r="12" spans="1:19" s="43" customFormat="1" ht="12.75" x14ac:dyDescent="0.2">
      <c r="D12" s="44">
        <f>+Estado!C203-C11</f>
        <v>0</v>
      </c>
      <c r="E12" s="44">
        <f>+Estado!D203-D11</f>
        <v>0</v>
      </c>
      <c r="F12" s="44">
        <f>+Estado!E203-E11</f>
        <v>0</v>
      </c>
      <c r="G12" s="44"/>
      <c r="H12" s="44">
        <f>+Estado!G203-G11</f>
        <v>0</v>
      </c>
      <c r="I12" s="44"/>
      <c r="J12" s="44">
        <f>+Estado!I203-I11</f>
        <v>0</v>
      </c>
      <c r="K12" s="44"/>
      <c r="L12" s="44">
        <f>+Estado!K203-K11</f>
        <v>0</v>
      </c>
      <c r="M12" s="44"/>
      <c r="N12" s="44">
        <f>+Estado!M203-M11</f>
        <v>0</v>
      </c>
      <c r="O12" s="44"/>
      <c r="P12" s="44">
        <f>+Estado!O203-O11</f>
        <v>0</v>
      </c>
      <c r="Q12" s="44"/>
      <c r="R12" s="44">
        <f>+Estado!Q203-Q11</f>
        <v>0</v>
      </c>
      <c r="S12" s="44"/>
    </row>
    <row r="13" spans="1:19" ht="25.5" x14ac:dyDescent="0.25">
      <c r="A13" s="57"/>
      <c r="B13" s="57"/>
      <c r="C13" s="58" t="s">
        <v>59</v>
      </c>
      <c r="D13" s="59" t="s">
        <v>60</v>
      </c>
    </row>
    <row r="14" spans="1:19" x14ac:dyDescent="0.25">
      <c r="A14" s="317" t="s">
        <v>61</v>
      </c>
      <c r="B14" s="318"/>
      <c r="C14" s="42">
        <f>+D14/C11*100</f>
        <v>0</v>
      </c>
      <c r="D14" s="45">
        <f>+E11</f>
        <v>0</v>
      </c>
    </row>
    <row r="15" spans="1:19" x14ac:dyDescent="0.25">
      <c r="A15" s="315" t="s">
        <v>62</v>
      </c>
      <c r="B15" s="316"/>
      <c r="C15" s="42">
        <f>+D15/C11*100</f>
        <v>6.5310317233987086E-2</v>
      </c>
      <c r="D15" s="45">
        <f>+G11</f>
        <v>93466512.689999998</v>
      </c>
    </row>
    <row r="16" spans="1:19" x14ac:dyDescent="0.25">
      <c r="A16" s="315" t="s">
        <v>63</v>
      </c>
      <c r="B16" s="316"/>
      <c r="C16" s="42">
        <f>+D16/C11*100</f>
        <v>0</v>
      </c>
      <c r="D16" s="45">
        <f>+I11</f>
        <v>0</v>
      </c>
    </row>
    <row r="17" spans="1:4" ht="56.25" customHeight="1" x14ac:dyDescent="0.25">
      <c r="A17" s="315" t="s">
        <v>64</v>
      </c>
      <c r="B17" s="316"/>
      <c r="C17" s="42">
        <f>+D17/C11*100</f>
        <v>93.460471831535457</v>
      </c>
      <c r="D17" s="45">
        <f>+K11</f>
        <v>133752594481.5</v>
      </c>
    </row>
    <row r="18" spans="1:4" x14ac:dyDescent="0.25">
      <c r="A18" s="315" t="s">
        <v>65</v>
      </c>
      <c r="B18" s="316"/>
      <c r="C18" s="42">
        <f>+D18/C11*100</f>
        <v>6.4742178512305433</v>
      </c>
      <c r="D18" s="45">
        <f>+O11</f>
        <v>9265344138.2299995</v>
      </c>
    </row>
    <row r="19" spans="1:4" x14ac:dyDescent="0.25">
      <c r="A19" s="315" t="s">
        <v>15</v>
      </c>
      <c r="B19" s="316"/>
      <c r="C19" s="46">
        <f>SUM(C14:C18)</f>
        <v>100</v>
      </c>
      <c r="D19" s="47">
        <f>SUM(D14:D18)</f>
        <v>143111405132.42001</v>
      </c>
    </row>
    <row r="20" spans="1:4" x14ac:dyDescent="0.25">
      <c r="A20" s="315"/>
      <c r="B20" s="316"/>
    </row>
    <row r="21" spans="1:4" x14ac:dyDescent="0.25">
      <c r="A21" s="315" t="s">
        <v>66</v>
      </c>
      <c r="B21" s="316"/>
      <c r="C21" s="42">
        <f>+D21/C11*100</f>
        <v>93.525782148769451</v>
      </c>
      <c r="D21" s="45">
        <f>+E11+G11+I11+K11</f>
        <v>133846060994.19</v>
      </c>
    </row>
    <row r="22" spans="1:4" x14ac:dyDescent="0.25">
      <c r="A22" s="315" t="s">
        <v>67</v>
      </c>
      <c r="B22" s="316"/>
      <c r="C22" s="42">
        <f>+D22/C11*100</f>
        <v>91.817574533619563</v>
      </c>
      <c r="D22" s="45">
        <f>+M11</f>
        <v>131401421073.56999</v>
      </c>
    </row>
    <row r="23" spans="1:4" x14ac:dyDescent="0.25">
      <c r="A23" s="315" t="s">
        <v>68</v>
      </c>
      <c r="B23" s="316"/>
      <c r="C23" s="42">
        <f>+D23/C11*100</f>
        <v>6.4652424386922371</v>
      </c>
      <c r="D23" s="45">
        <f>+Q11</f>
        <v>9252499299.2299995</v>
      </c>
    </row>
  </sheetData>
  <mergeCells count="10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</mergeCells>
  <pageMargins left="0.9055118110236221" right="0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</vt:i4>
      </vt:variant>
    </vt:vector>
  </HeadingPairs>
  <TitlesOfParts>
    <vt:vector size="33" baseType="lpstr">
      <vt:lpstr>Estado</vt:lpstr>
      <vt:lpstr>Resumen Estado</vt:lpstr>
      <vt:lpstr>ANALISIS POR PROG</vt:lpstr>
      <vt:lpstr>Partidas mayor al 50%</vt:lpstr>
      <vt:lpstr>Hoja4</vt:lpstr>
      <vt:lpstr>sigaf</vt:lpstr>
      <vt:lpstr>Resumen por Partida</vt:lpstr>
      <vt:lpstr>SIGAF 2018</vt:lpstr>
      <vt:lpstr>COMPORT. RESUMEN</vt:lpstr>
      <vt:lpstr>Hoja1</vt:lpstr>
      <vt:lpstr>MENSUAL</vt:lpstr>
      <vt:lpstr>Ejecucion por Programa</vt:lpstr>
      <vt:lpstr>2018-1</vt:lpstr>
      <vt:lpstr>2018</vt:lpstr>
      <vt:lpstr>RESUMEN</vt:lpstr>
      <vt:lpstr>COMPARATIVO</vt:lpstr>
      <vt:lpstr>DEVENGADO MENSUAL</vt:lpstr>
      <vt:lpstr>AGOST</vt:lpstr>
      <vt:lpstr>JULIO 2019</vt:lpstr>
      <vt:lpstr>JUNIO 2019</vt:lpstr>
      <vt:lpstr>MAYO 2019</vt:lpstr>
      <vt:lpstr>ABRIL 2019</vt:lpstr>
      <vt:lpstr>MARZO 2019</vt:lpstr>
      <vt:lpstr>ENERO 2019</vt:lpstr>
      <vt:lpstr>FEBRERO 2019</vt:lpstr>
      <vt:lpstr>DICIEMBRE 2018</vt:lpstr>
      <vt:lpstr>NOVIEMBRE 2018</vt:lpstr>
      <vt:lpstr>Hoja9</vt:lpstr>
      <vt:lpstr>Hoja10</vt:lpstr>
      <vt:lpstr>proyeccion</vt:lpstr>
      <vt:lpstr>'ANALISIS POR PROG'!Área_de_impresión</vt:lpstr>
      <vt:lpstr>Estado!Área_de_impresión</vt:lpstr>
      <vt:lpstr>RESUMEN!Área_de_impresión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Arroyo Hernadez</dc:creator>
  <cp:lastModifiedBy>Roy Torres León</cp:lastModifiedBy>
  <cp:lastPrinted>2019-12-04T13:43:18Z</cp:lastPrinted>
  <dcterms:created xsi:type="dcterms:W3CDTF">2015-09-07T19:14:27Z</dcterms:created>
  <dcterms:modified xsi:type="dcterms:W3CDTF">2020-06-19T22:57:59Z</dcterms:modified>
</cp:coreProperties>
</file>