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royo\Documents\Unidad de Presupuesto\Informes de Ejecución mensual\PERIODO 2016\12 DICIEMBRE (31-DIC-16)  sin contrapartida\"/>
    </mc:Choice>
  </mc:AlternateContent>
  <bookViews>
    <workbookView xWindow="0" yWindow="0" windowWidth="19200" windowHeight="11595" firstSheet="1" activeTab="3"/>
  </bookViews>
  <sheets>
    <sheet name="Hoja1" sheetId="1" state="hidden" r:id="rId1"/>
    <sheet name="Estado" sheetId="2" r:id="rId2"/>
    <sheet name="SIGAF" sheetId="7" state="hidden" r:id="rId3"/>
    <sheet name="Resumen partida" sheetId="3" r:id="rId4"/>
    <sheet name="Hoja4" sheetId="4" state="hidden" r:id="rId5"/>
    <sheet name="Resumen por Partida" sheetId="5" r:id="rId6"/>
    <sheet name="COMPORT. RESUMEN" sheetId="8" state="hidden" r:id="rId7"/>
    <sheet name="MENSUAL" sheetId="9" r:id="rId8"/>
    <sheet name="ANALISIS POR PROG" sheetId="10" r:id="rId9"/>
    <sheet name="Ejecucion por Programa" sheetId="11" r:id="rId10"/>
    <sheet name="RESUMEN" sheetId="12" r:id="rId11"/>
    <sheet name="proyeccion" sheetId="6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2" hidden="1">SIGAF!$A$1:$P$478</definedName>
    <definedName name="_xlnm.Print_Area" localSheetId="1">Estado!$A$1:$R$200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2" l="1"/>
  <c r="C23" i="12"/>
  <c r="B23" i="12"/>
  <c r="D19" i="12"/>
  <c r="C19" i="12"/>
  <c r="B19" i="12"/>
  <c r="D15" i="12"/>
  <c r="C15" i="12"/>
  <c r="B15" i="12"/>
  <c r="D11" i="12"/>
  <c r="C11" i="12"/>
  <c r="B11" i="12"/>
  <c r="D7" i="12"/>
  <c r="C7" i="12"/>
  <c r="B7" i="12"/>
  <c r="E7" i="12" l="1"/>
  <c r="B3" i="12"/>
  <c r="B25" i="12" s="1"/>
  <c r="N10" i="10"/>
  <c r="L10" i="10"/>
  <c r="J10" i="10"/>
  <c r="G10" i="10"/>
  <c r="E10" i="10"/>
  <c r="C10" i="10"/>
  <c r="N9" i="10"/>
  <c r="L9" i="10"/>
  <c r="J9" i="10"/>
  <c r="G9" i="10"/>
  <c r="E9" i="10"/>
  <c r="C9" i="10"/>
  <c r="N8" i="10"/>
  <c r="L8" i="10"/>
  <c r="J8" i="10"/>
  <c r="G8" i="10"/>
  <c r="E8" i="10"/>
  <c r="C8" i="10"/>
  <c r="N7" i="10"/>
  <c r="L7" i="10"/>
  <c r="J7" i="10"/>
  <c r="G7" i="10"/>
  <c r="E7" i="10"/>
  <c r="C7" i="10"/>
  <c r="N6" i="10"/>
  <c r="L6" i="10"/>
  <c r="J6" i="10"/>
  <c r="G6" i="10"/>
  <c r="E6" i="10"/>
  <c r="C6" i="10"/>
  <c r="I9" i="10" l="1"/>
  <c r="C189" i="2"/>
  <c r="D189" i="2"/>
  <c r="E189" i="2"/>
  <c r="F189" i="2" s="1"/>
  <c r="G189" i="2"/>
  <c r="I189" i="2"/>
  <c r="J189" i="2" s="1"/>
  <c r="K189" i="2"/>
  <c r="L189" i="2" s="1"/>
  <c r="M189" i="2"/>
  <c r="N189" i="2" s="1"/>
  <c r="O189" i="2"/>
  <c r="P189" i="2" s="1"/>
  <c r="Q189" i="2"/>
  <c r="R189" i="2" s="1"/>
  <c r="H189" i="2" l="1"/>
  <c r="AS7" i="11"/>
  <c r="AS8" i="11"/>
  <c r="AS9" i="11"/>
  <c r="AS10" i="11"/>
  <c r="AS6" i="11"/>
  <c r="X12" i="11" l="1"/>
  <c r="I10" i="10" l="1"/>
  <c r="F10" i="10" l="1"/>
  <c r="H10" i="10"/>
  <c r="M10" i="10"/>
  <c r="O10" i="10"/>
  <c r="K10" i="10"/>
  <c r="K9" i="10" l="1"/>
  <c r="O9" i="10" l="1"/>
  <c r="F9" i="10"/>
  <c r="M9" i="10"/>
  <c r="H9" i="10"/>
  <c r="K8" i="10" l="1"/>
  <c r="F8" i="10" l="1"/>
  <c r="M8" i="10"/>
  <c r="O8" i="10"/>
  <c r="H8" i="10"/>
  <c r="I8" i="10"/>
  <c r="K6" i="10" l="1"/>
  <c r="E11" i="10"/>
  <c r="M6" i="10" l="1"/>
  <c r="I6" i="10"/>
  <c r="H6" i="10"/>
  <c r="V12" i="11"/>
  <c r="T12" i="11"/>
  <c r="R12" i="11"/>
  <c r="AR7" i="11"/>
  <c r="AR8" i="11"/>
  <c r="AR9" i="11"/>
  <c r="AR10" i="11"/>
  <c r="AR6" i="11"/>
  <c r="Q195" i="2" l="1"/>
  <c r="Q194" i="2"/>
  <c r="Q192" i="2"/>
  <c r="Q190" i="2"/>
  <c r="Q188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6" i="2"/>
  <c r="Q165" i="2"/>
  <c r="Q164" i="2"/>
  <c r="Q163" i="2"/>
  <c r="Q161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7" i="2"/>
  <c r="Q56" i="2"/>
  <c r="Q55" i="2"/>
  <c r="Q54" i="2"/>
  <c r="Q53" i="2"/>
  <c r="Q51" i="2"/>
  <c r="Q50" i="2"/>
  <c r="Q49" i="2"/>
  <c r="Q48" i="2"/>
  <c r="Q47" i="2"/>
  <c r="Q45" i="2"/>
  <c r="Q44" i="2"/>
  <c r="Q43" i="2"/>
  <c r="Q42" i="2"/>
  <c r="Q41" i="2"/>
  <c r="Q39" i="2"/>
  <c r="Q38" i="2"/>
  <c r="Q37" i="2"/>
  <c r="Q36" i="2"/>
  <c r="Q35" i="2"/>
  <c r="Q34" i="2"/>
  <c r="Q32" i="2"/>
  <c r="Q31" i="2"/>
  <c r="Q30" i="2"/>
  <c r="Q29" i="2"/>
  <c r="Q28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O195" i="2"/>
  <c r="O194" i="2"/>
  <c r="O192" i="2"/>
  <c r="O190" i="2"/>
  <c r="O188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6" i="2"/>
  <c r="O165" i="2"/>
  <c r="O164" i="2"/>
  <c r="O163" i="2"/>
  <c r="O161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7" i="2"/>
  <c r="O56" i="2"/>
  <c r="O55" i="2"/>
  <c r="O54" i="2"/>
  <c r="O53" i="2"/>
  <c r="O51" i="2"/>
  <c r="O50" i="2"/>
  <c r="O49" i="2"/>
  <c r="O48" i="2"/>
  <c r="O47" i="2"/>
  <c r="O45" i="2"/>
  <c r="O44" i="2"/>
  <c r="O43" i="2"/>
  <c r="O42" i="2"/>
  <c r="O41" i="2"/>
  <c r="O39" i="2"/>
  <c r="O38" i="2"/>
  <c r="O37" i="2"/>
  <c r="O36" i="2"/>
  <c r="O35" i="2"/>
  <c r="O34" i="2"/>
  <c r="O32" i="2"/>
  <c r="O31" i="2"/>
  <c r="O30" i="2"/>
  <c r="O29" i="2"/>
  <c r="O28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G195" i="2"/>
  <c r="G194" i="2"/>
  <c r="G192" i="2"/>
  <c r="G190" i="2"/>
  <c r="G188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6" i="2"/>
  <c r="G165" i="2"/>
  <c r="G164" i="2"/>
  <c r="G163" i="2"/>
  <c r="G161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7" i="2"/>
  <c r="G56" i="2"/>
  <c r="G55" i="2"/>
  <c r="G54" i="2"/>
  <c r="G53" i="2"/>
  <c r="G51" i="2"/>
  <c r="G50" i="2"/>
  <c r="G49" i="2"/>
  <c r="G48" i="2"/>
  <c r="G47" i="2"/>
  <c r="G45" i="2"/>
  <c r="G44" i="2"/>
  <c r="G43" i="2"/>
  <c r="G42" i="2"/>
  <c r="G41" i="2"/>
  <c r="G39" i="2"/>
  <c r="G38" i="2"/>
  <c r="G37" i="2"/>
  <c r="G36" i="2"/>
  <c r="G35" i="2"/>
  <c r="G34" i="2"/>
  <c r="G32" i="2"/>
  <c r="G31" i="2"/>
  <c r="G30" i="2"/>
  <c r="G29" i="2"/>
  <c r="G28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E195" i="2"/>
  <c r="E194" i="2"/>
  <c r="E192" i="2"/>
  <c r="E190" i="2"/>
  <c r="E188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6" i="2"/>
  <c r="E165" i="2"/>
  <c r="E164" i="2"/>
  <c r="E163" i="2"/>
  <c r="E161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7" i="2"/>
  <c r="E56" i="2"/>
  <c r="E55" i="2"/>
  <c r="E54" i="2"/>
  <c r="E53" i="2"/>
  <c r="E51" i="2"/>
  <c r="E50" i="2"/>
  <c r="E49" i="2"/>
  <c r="E48" i="2"/>
  <c r="E47" i="2"/>
  <c r="E45" i="2"/>
  <c r="E44" i="2"/>
  <c r="E43" i="2"/>
  <c r="E42" i="2"/>
  <c r="E41" i="2"/>
  <c r="E39" i="2"/>
  <c r="E38" i="2"/>
  <c r="E37" i="2"/>
  <c r="E36" i="2"/>
  <c r="E35" i="2"/>
  <c r="E34" i="2"/>
  <c r="E32" i="2"/>
  <c r="E31" i="2"/>
  <c r="E30" i="2"/>
  <c r="E29" i="2"/>
  <c r="E28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12" i="10" s="1"/>
  <c r="I195" i="2"/>
  <c r="I194" i="2"/>
  <c r="I192" i="2"/>
  <c r="I191" i="2" s="1"/>
  <c r="I190" i="2"/>
  <c r="I188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6" i="2"/>
  <c r="I165" i="2"/>
  <c r="I164" i="2"/>
  <c r="I163" i="2"/>
  <c r="I161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 s="1"/>
  <c r="I57" i="2"/>
  <c r="I56" i="2"/>
  <c r="I55" i="2"/>
  <c r="I54" i="2"/>
  <c r="I53" i="2"/>
  <c r="I51" i="2"/>
  <c r="I50" i="2"/>
  <c r="I49" i="2"/>
  <c r="I48" i="2"/>
  <c r="I47" i="2"/>
  <c r="I45" i="2"/>
  <c r="I44" i="2"/>
  <c r="I43" i="2"/>
  <c r="I42" i="2"/>
  <c r="I41" i="2"/>
  <c r="I39" i="2"/>
  <c r="I38" i="2"/>
  <c r="I37" i="2"/>
  <c r="I36" i="2"/>
  <c r="I35" i="2"/>
  <c r="I34" i="2"/>
  <c r="I32" i="2"/>
  <c r="I31" i="2"/>
  <c r="I30" i="2"/>
  <c r="I29" i="2"/>
  <c r="I28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D195" i="2"/>
  <c r="D194" i="2"/>
  <c r="D192" i="2"/>
  <c r="D190" i="2"/>
  <c r="D188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6" i="2"/>
  <c r="D165" i="2"/>
  <c r="D164" i="2"/>
  <c r="D163" i="2"/>
  <c r="D161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7" i="2"/>
  <c r="D56" i="2"/>
  <c r="D55" i="2"/>
  <c r="D54" i="2"/>
  <c r="D53" i="2"/>
  <c r="D51" i="2"/>
  <c r="D50" i="2"/>
  <c r="D49" i="2"/>
  <c r="D48" i="2"/>
  <c r="D47" i="2"/>
  <c r="D45" i="2"/>
  <c r="D44" i="2"/>
  <c r="D43" i="2"/>
  <c r="D42" i="2"/>
  <c r="D41" i="2"/>
  <c r="D39" i="2"/>
  <c r="D38" i="2"/>
  <c r="D37" i="2"/>
  <c r="D36" i="2"/>
  <c r="D35" i="2"/>
  <c r="D34" i="2"/>
  <c r="D32" i="2"/>
  <c r="D31" i="2"/>
  <c r="D30" i="2"/>
  <c r="D29" i="2"/>
  <c r="D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C12" i="2"/>
  <c r="S116" i="2" l="1"/>
  <c r="I46" i="2"/>
  <c r="I27" i="2"/>
  <c r="I187" i="2"/>
  <c r="J12" i="2"/>
  <c r="I52" i="2"/>
  <c r="I40" i="2"/>
  <c r="I193" i="2"/>
  <c r="I167" i="2"/>
  <c r="I162" i="2"/>
  <c r="I33" i="2"/>
  <c r="I160" i="2"/>
  <c r="I196" i="2" s="1"/>
  <c r="I197" i="2" s="1"/>
  <c r="AQ7" i="11"/>
  <c r="AQ8" i="11"/>
  <c r="AQ9" i="11"/>
  <c r="AQ10" i="11"/>
  <c r="AQ6" i="11"/>
  <c r="AP7" i="11" l="1"/>
  <c r="AP8" i="11"/>
  <c r="AP9" i="11"/>
  <c r="AP10" i="11"/>
  <c r="AP6" i="11"/>
  <c r="AO7" i="11" l="1"/>
  <c r="AO8" i="11"/>
  <c r="AO9" i="11"/>
  <c r="AO10" i="11"/>
  <c r="AO6" i="11"/>
  <c r="AN7" i="11" l="1"/>
  <c r="AN8" i="11"/>
  <c r="AN9" i="11"/>
  <c r="AN10" i="11"/>
  <c r="AN6" i="11"/>
  <c r="L12" i="11" l="1"/>
  <c r="AM7" i="11" l="1"/>
  <c r="AM8" i="11"/>
  <c r="AM9" i="11"/>
  <c r="AM10" i="11"/>
  <c r="AM6" i="11"/>
  <c r="M195" i="2" l="1"/>
  <c r="M194" i="2"/>
  <c r="M192" i="2"/>
  <c r="M190" i="2"/>
  <c r="M188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6" i="2"/>
  <c r="M165" i="2"/>
  <c r="M164" i="2"/>
  <c r="M163" i="2"/>
  <c r="M161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7" i="2"/>
  <c r="M56" i="2"/>
  <c r="M55" i="2"/>
  <c r="M54" i="2"/>
  <c r="M53" i="2"/>
  <c r="M51" i="2"/>
  <c r="M50" i="2"/>
  <c r="M49" i="2"/>
  <c r="M48" i="2"/>
  <c r="M47" i="2"/>
  <c r="M45" i="2"/>
  <c r="M44" i="2"/>
  <c r="M43" i="2"/>
  <c r="M42" i="2"/>
  <c r="M41" i="2"/>
  <c r="M39" i="2"/>
  <c r="M38" i="2"/>
  <c r="M37" i="2"/>
  <c r="M36" i="2"/>
  <c r="M35" i="2"/>
  <c r="M34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K195" i="2"/>
  <c r="K194" i="2"/>
  <c r="K192" i="2"/>
  <c r="K190" i="2"/>
  <c r="K188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6" i="2"/>
  <c r="K165" i="2"/>
  <c r="K164" i="2"/>
  <c r="K163" i="2"/>
  <c r="K161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6" i="2"/>
  <c r="K55" i="2"/>
  <c r="K54" i="2"/>
  <c r="K53" i="2"/>
  <c r="K51" i="2"/>
  <c r="K50" i="2"/>
  <c r="K49" i="2"/>
  <c r="K48" i="2"/>
  <c r="K47" i="2"/>
  <c r="K45" i="2"/>
  <c r="K44" i="2"/>
  <c r="K43" i="2"/>
  <c r="K42" i="2"/>
  <c r="K41" i="2"/>
  <c r="K39" i="2"/>
  <c r="K38" i="2"/>
  <c r="K37" i="2"/>
  <c r="K36" i="2"/>
  <c r="K35" i="2"/>
  <c r="K34" i="2"/>
  <c r="K32" i="2"/>
  <c r="K31" i="2"/>
  <c r="K30" i="2"/>
  <c r="K29" i="2"/>
  <c r="K28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C195" i="2"/>
  <c r="J195" i="2" s="1"/>
  <c r="C194" i="2"/>
  <c r="J194" i="2" s="1"/>
  <c r="C192" i="2"/>
  <c r="C190" i="2"/>
  <c r="J190" i="2" s="1"/>
  <c r="C188" i="2"/>
  <c r="J188" i="2" s="1"/>
  <c r="C186" i="2"/>
  <c r="C185" i="2"/>
  <c r="C184" i="2"/>
  <c r="C183" i="2"/>
  <c r="C182" i="2"/>
  <c r="C181" i="2"/>
  <c r="C180" i="2"/>
  <c r="C179" i="2"/>
  <c r="C178" i="2"/>
  <c r="C177" i="2"/>
  <c r="J177" i="2" s="1"/>
  <c r="C176" i="2"/>
  <c r="J176" i="2" s="1"/>
  <c r="C175" i="2"/>
  <c r="J175" i="2" s="1"/>
  <c r="C174" i="2"/>
  <c r="J174" i="2" s="1"/>
  <c r="C173" i="2"/>
  <c r="J173" i="2" s="1"/>
  <c r="C172" i="2"/>
  <c r="J172" i="2" s="1"/>
  <c r="C171" i="2"/>
  <c r="J171" i="2" s="1"/>
  <c r="C170" i="2"/>
  <c r="J170" i="2" s="1"/>
  <c r="C169" i="2"/>
  <c r="J169" i="2" s="1"/>
  <c r="C168" i="2"/>
  <c r="J168" i="2" s="1"/>
  <c r="C166" i="2"/>
  <c r="J166" i="2" s="1"/>
  <c r="C165" i="2"/>
  <c r="J165" i="2" s="1"/>
  <c r="C164" i="2"/>
  <c r="J164" i="2" s="1"/>
  <c r="C163" i="2"/>
  <c r="J163" i="2" s="1"/>
  <c r="C161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J145" i="2" s="1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J115" i="2" s="1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J62" i="2" s="1"/>
  <c r="C61" i="2"/>
  <c r="C60" i="2"/>
  <c r="C59" i="2"/>
  <c r="J59" i="2" s="1"/>
  <c r="C57" i="2"/>
  <c r="J57" i="2" s="1"/>
  <c r="C56" i="2"/>
  <c r="J56" i="2" s="1"/>
  <c r="C55" i="2"/>
  <c r="J55" i="2" s="1"/>
  <c r="C54" i="2"/>
  <c r="J54" i="2" s="1"/>
  <c r="C53" i="2"/>
  <c r="J53" i="2" s="1"/>
  <c r="C51" i="2"/>
  <c r="J51" i="2" s="1"/>
  <c r="C50" i="2"/>
  <c r="J50" i="2" s="1"/>
  <c r="C49" i="2"/>
  <c r="J49" i="2" s="1"/>
  <c r="C48" i="2"/>
  <c r="J48" i="2" s="1"/>
  <c r="C47" i="2"/>
  <c r="J47" i="2" s="1"/>
  <c r="C45" i="2"/>
  <c r="J45" i="2" s="1"/>
  <c r="C44" i="2"/>
  <c r="J44" i="2" s="1"/>
  <c r="C43" i="2"/>
  <c r="J43" i="2" s="1"/>
  <c r="C42" i="2"/>
  <c r="J42" i="2" s="1"/>
  <c r="C41" i="2"/>
  <c r="J41" i="2" s="1"/>
  <c r="C39" i="2"/>
  <c r="C38" i="2"/>
  <c r="J38" i="2" s="1"/>
  <c r="C37" i="2"/>
  <c r="J37" i="2" s="1"/>
  <c r="C36" i="2"/>
  <c r="J36" i="2" s="1"/>
  <c r="C35" i="2"/>
  <c r="J35" i="2" s="1"/>
  <c r="C34" i="2"/>
  <c r="J34" i="2" s="1"/>
  <c r="C32" i="2"/>
  <c r="J32" i="2" s="1"/>
  <c r="C31" i="2"/>
  <c r="J31" i="2" s="1"/>
  <c r="C30" i="2"/>
  <c r="J30" i="2" s="1"/>
  <c r="C29" i="2"/>
  <c r="J29" i="2" s="1"/>
  <c r="C28" i="2"/>
  <c r="J28" i="2" s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1" i="2"/>
  <c r="J11" i="2" s="1"/>
  <c r="C10" i="2"/>
  <c r="J10" i="2" s="1"/>
  <c r="J71" i="2" l="1"/>
  <c r="J103" i="2"/>
  <c r="J135" i="2"/>
  <c r="J72" i="2"/>
  <c r="J104" i="2"/>
  <c r="J144" i="2"/>
  <c r="J73" i="2"/>
  <c r="J105" i="2"/>
  <c r="J137" i="2"/>
  <c r="J74" i="2"/>
  <c r="J106" i="2"/>
  <c r="J138" i="2"/>
  <c r="J13" i="2"/>
  <c r="J21" i="2"/>
  <c r="J39" i="2"/>
  <c r="J67" i="2"/>
  <c r="J75" i="2"/>
  <c r="J83" i="2"/>
  <c r="J91" i="2"/>
  <c r="J99" i="2"/>
  <c r="J107" i="2"/>
  <c r="J123" i="2"/>
  <c r="J131" i="2"/>
  <c r="J139" i="2"/>
  <c r="J147" i="2"/>
  <c r="J155" i="2"/>
  <c r="J182" i="2"/>
  <c r="J17" i="2"/>
  <c r="J87" i="2"/>
  <c r="J119" i="2"/>
  <c r="J151" i="2"/>
  <c r="J186" i="2"/>
  <c r="J18" i="2"/>
  <c r="J88" i="2"/>
  <c r="J120" i="2"/>
  <c r="J152" i="2"/>
  <c r="J81" i="2"/>
  <c r="J113" i="2"/>
  <c r="J180" i="2"/>
  <c r="J66" i="2"/>
  <c r="J98" i="2"/>
  <c r="J130" i="2"/>
  <c r="J14" i="2"/>
  <c r="J22" i="2"/>
  <c r="J60" i="2"/>
  <c r="J68" i="2"/>
  <c r="J76" i="2"/>
  <c r="J84" i="2"/>
  <c r="J92" i="2"/>
  <c r="J100" i="2"/>
  <c r="J108" i="2"/>
  <c r="J116" i="2"/>
  <c r="J124" i="2"/>
  <c r="J132" i="2"/>
  <c r="J140" i="2"/>
  <c r="J148" i="2"/>
  <c r="J156" i="2"/>
  <c r="J183" i="2"/>
  <c r="J79" i="2"/>
  <c r="J111" i="2"/>
  <c r="J143" i="2"/>
  <c r="J178" i="2"/>
  <c r="J80" i="2"/>
  <c r="J112" i="2"/>
  <c r="J136" i="2"/>
  <c r="J179" i="2"/>
  <c r="J65" i="2"/>
  <c r="J97" i="2"/>
  <c r="J129" i="2"/>
  <c r="J20" i="2"/>
  <c r="J90" i="2"/>
  <c r="J122" i="2"/>
  <c r="J154" i="2"/>
  <c r="J192" i="2"/>
  <c r="J15" i="2"/>
  <c r="J23" i="2"/>
  <c r="J61" i="2"/>
  <c r="J69" i="2"/>
  <c r="J77" i="2"/>
  <c r="J85" i="2"/>
  <c r="J93" i="2"/>
  <c r="J101" i="2"/>
  <c r="J109" i="2"/>
  <c r="J117" i="2"/>
  <c r="J125" i="2"/>
  <c r="J133" i="2"/>
  <c r="J141" i="2"/>
  <c r="J149" i="2"/>
  <c r="J157" i="2"/>
  <c r="J184" i="2"/>
  <c r="J25" i="2"/>
  <c r="J63" i="2"/>
  <c r="J95" i="2"/>
  <c r="J127" i="2"/>
  <c r="J159" i="2"/>
  <c r="J26" i="2"/>
  <c r="J64" i="2"/>
  <c r="J96" i="2"/>
  <c r="J128" i="2"/>
  <c r="J161" i="2"/>
  <c r="J19" i="2"/>
  <c r="J89" i="2"/>
  <c r="J121" i="2"/>
  <c r="J153" i="2"/>
  <c r="J82" i="2"/>
  <c r="J114" i="2"/>
  <c r="J146" i="2"/>
  <c r="J181" i="2"/>
  <c r="J16" i="2"/>
  <c r="J24" i="2"/>
  <c r="J70" i="2"/>
  <c r="J78" i="2"/>
  <c r="J86" i="2"/>
  <c r="J94" i="2"/>
  <c r="J102" i="2"/>
  <c r="J110" i="2"/>
  <c r="J118" i="2"/>
  <c r="J126" i="2"/>
  <c r="J134" i="2"/>
  <c r="J142" i="2"/>
  <c r="J150" i="2"/>
  <c r="J158" i="2"/>
  <c r="J185" i="2"/>
  <c r="B5" i="4"/>
  <c r="G5" i="4" s="1"/>
  <c r="D5" i="4" l="1"/>
  <c r="A9" i="5"/>
  <c r="B141" i="4"/>
  <c r="B142" i="4"/>
  <c r="B140" i="4"/>
  <c r="B137" i="4"/>
  <c r="B138" i="4"/>
  <c r="B139" i="4"/>
  <c r="B131" i="4"/>
  <c r="B132" i="4"/>
  <c r="B133" i="4"/>
  <c r="D133" i="4" s="1"/>
  <c r="B134" i="4"/>
  <c r="D134" i="4" s="1"/>
  <c r="B135" i="4"/>
  <c r="D135" i="4" s="1"/>
  <c r="B136" i="4"/>
  <c r="D136" i="4" s="1"/>
  <c r="B130" i="4"/>
  <c r="B129" i="4"/>
  <c r="A133" i="5" s="1"/>
  <c r="B125" i="4"/>
  <c r="B126" i="4"/>
  <c r="B127" i="4"/>
  <c r="B128" i="4"/>
  <c r="A132" i="5" s="1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89" i="4"/>
  <c r="D89" i="4" s="1"/>
  <c r="B90" i="4"/>
  <c r="D90" i="4" s="1"/>
  <c r="B91" i="4"/>
  <c r="D91" i="4" s="1"/>
  <c r="B92" i="4"/>
  <c r="D92" i="4" s="1"/>
  <c r="B93" i="4"/>
  <c r="D93" i="4" s="1"/>
  <c r="B94" i="4"/>
  <c r="D94" i="4" s="1"/>
  <c r="B95" i="4"/>
  <c r="D95" i="4" s="1"/>
  <c r="B96" i="4"/>
  <c r="D96" i="4" s="1"/>
  <c r="B97" i="4"/>
  <c r="D97" i="4" s="1"/>
  <c r="B98" i="4"/>
  <c r="D98" i="4" s="1"/>
  <c r="B99" i="4"/>
  <c r="D99" i="4" s="1"/>
  <c r="B100" i="4"/>
  <c r="D100" i="4" s="1"/>
  <c r="B101" i="4"/>
  <c r="D101" i="4" s="1"/>
  <c r="B77" i="4"/>
  <c r="D77" i="4" s="1"/>
  <c r="B78" i="4"/>
  <c r="D78" i="4" s="1"/>
  <c r="B79" i="4"/>
  <c r="D79" i="4" s="1"/>
  <c r="B80" i="4"/>
  <c r="D80" i="4" s="1"/>
  <c r="B81" i="4"/>
  <c r="B82" i="4"/>
  <c r="D82" i="4" s="1"/>
  <c r="B83" i="4"/>
  <c r="D83" i="4" s="1"/>
  <c r="B84" i="4"/>
  <c r="D84" i="4" s="1"/>
  <c r="B85" i="4"/>
  <c r="D85" i="4" s="1"/>
  <c r="B86" i="4"/>
  <c r="D86" i="4" s="1"/>
  <c r="B87" i="4"/>
  <c r="D87" i="4" s="1"/>
  <c r="B88" i="4"/>
  <c r="D88" i="4" s="1"/>
  <c r="B66" i="4"/>
  <c r="D66" i="4" s="1"/>
  <c r="B67" i="4"/>
  <c r="D67" i="4" s="1"/>
  <c r="B68" i="4"/>
  <c r="D68" i="4" s="1"/>
  <c r="B69" i="4"/>
  <c r="D69" i="4" s="1"/>
  <c r="B70" i="4"/>
  <c r="D70" i="4" s="1"/>
  <c r="B71" i="4"/>
  <c r="D71" i="4" s="1"/>
  <c r="B72" i="4"/>
  <c r="D72" i="4" s="1"/>
  <c r="B73" i="4"/>
  <c r="D73" i="4" s="1"/>
  <c r="B74" i="4"/>
  <c r="D74" i="4" s="1"/>
  <c r="B75" i="4"/>
  <c r="D75" i="4" s="1"/>
  <c r="B76" i="4"/>
  <c r="D76" i="4" s="1"/>
  <c r="B54" i="4"/>
  <c r="D54" i="4" s="1"/>
  <c r="B55" i="4"/>
  <c r="D55" i="4" s="1"/>
  <c r="B56" i="4"/>
  <c r="D56" i="4" s="1"/>
  <c r="B57" i="4"/>
  <c r="D57" i="4" s="1"/>
  <c r="B58" i="4"/>
  <c r="D58" i="4" s="1"/>
  <c r="B59" i="4"/>
  <c r="D59" i="4" s="1"/>
  <c r="B60" i="4"/>
  <c r="D60" i="4" s="1"/>
  <c r="B61" i="4"/>
  <c r="D61" i="4" s="1"/>
  <c r="B62" i="4"/>
  <c r="D62" i="4" s="1"/>
  <c r="B63" i="4"/>
  <c r="D63" i="4" s="1"/>
  <c r="B64" i="4"/>
  <c r="D64" i="4" s="1"/>
  <c r="B65" i="4"/>
  <c r="D65" i="4" s="1"/>
  <c r="B46" i="4"/>
  <c r="D46" i="4" s="1"/>
  <c r="B47" i="4"/>
  <c r="D47" i="4" s="1"/>
  <c r="B48" i="4"/>
  <c r="D48" i="4" s="1"/>
  <c r="B49" i="4"/>
  <c r="D49" i="4" s="1"/>
  <c r="B50" i="4"/>
  <c r="D50" i="4" s="1"/>
  <c r="B51" i="4"/>
  <c r="D51" i="4" s="1"/>
  <c r="B52" i="4"/>
  <c r="D52" i="4" s="1"/>
  <c r="B53" i="4"/>
  <c r="D53" i="4" s="1"/>
  <c r="B38" i="4"/>
  <c r="D38" i="4" s="1"/>
  <c r="B39" i="4"/>
  <c r="D39" i="4" s="1"/>
  <c r="B40" i="4"/>
  <c r="D40" i="4" s="1"/>
  <c r="B41" i="4"/>
  <c r="D41" i="4" s="1"/>
  <c r="B42" i="4"/>
  <c r="D42" i="4" s="1"/>
  <c r="B43" i="4"/>
  <c r="D43" i="4" s="1"/>
  <c r="B44" i="4"/>
  <c r="D44" i="4" s="1"/>
  <c r="B45" i="4"/>
  <c r="D45" i="4" s="1"/>
  <c r="B27" i="4"/>
  <c r="D27" i="4" s="1"/>
  <c r="B28" i="4"/>
  <c r="B29" i="4"/>
  <c r="D29" i="4" s="1"/>
  <c r="B30" i="4"/>
  <c r="D30" i="4" s="1"/>
  <c r="B31" i="4"/>
  <c r="D31" i="4" s="1"/>
  <c r="B32" i="4"/>
  <c r="D32" i="4" s="1"/>
  <c r="B33" i="4"/>
  <c r="D33" i="4" s="1"/>
  <c r="B34" i="4"/>
  <c r="D34" i="4" s="1"/>
  <c r="B35" i="4"/>
  <c r="D35" i="4" s="1"/>
  <c r="B36" i="4"/>
  <c r="D36" i="4" s="1"/>
  <c r="B37" i="4"/>
  <c r="D37" i="4" s="1"/>
  <c r="B26" i="4"/>
  <c r="D26" i="4" s="1"/>
  <c r="B25" i="4"/>
  <c r="B24" i="4"/>
  <c r="B23" i="4"/>
  <c r="B22" i="4"/>
  <c r="B21" i="4"/>
  <c r="D21" i="4" s="1"/>
  <c r="B20" i="4"/>
  <c r="B4" i="4"/>
  <c r="D4" i="4" s="1"/>
  <c r="C5" i="4"/>
  <c r="B9" i="5" s="1"/>
  <c r="B6" i="4"/>
  <c r="D6" i="4" s="1"/>
  <c r="B7" i="4"/>
  <c r="D7" i="4" s="1"/>
  <c r="B8" i="4"/>
  <c r="D8" i="4" s="1"/>
  <c r="B9" i="4"/>
  <c r="D9" i="4" s="1"/>
  <c r="B10" i="4"/>
  <c r="D10" i="4" s="1"/>
  <c r="B11" i="4"/>
  <c r="D11" i="4" s="1"/>
  <c r="B12" i="4"/>
  <c r="D12" i="4" s="1"/>
  <c r="B13" i="4"/>
  <c r="D13" i="4" s="1"/>
  <c r="B14" i="4"/>
  <c r="D14" i="4" s="1"/>
  <c r="B15" i="4"/>
  <c r="D15" i="4" s="1"/>
  <c r="B16" i="4"/>
  <c r="D16" i="4" s="1"/>
  <c r="B17" i="4"/>
  <c r="D17" i="4" s="1"/>
  <c r="B18" i="4"/>
  <c r="B19" i="4"/>
  <c r="B3" i="4"/>
  <c r="A12" i="1"/>
  <c r="A11" i="1"/>
  <c r="A10" i="1"/>
  <c r="A9" i="1"/>
  <c r="A8" i="1"/>
  <c r="A7" i="1"/>
  <c r="A124" i="5" l="1"/>
  <c r="D120" i="4"/>
  <c r="A116" i="5"/>
  <c r="D112" i="4"/>
  <c r="A108" i="5"/>
  <c r="D104" i="4"/>
  <c r="A134" i="5"/>
  <c r="D130" i="4"/>
  <c r="A142" i="5"/>
  <c r="D138" i="4"/>
  <c r="A123" i="5"/>
  <c r="D119" i="4"/>
  <c r="A107" i="5"/>
  <c r="D103" i="4"/>
  <c r="A141" i="5"/>
  <c r="D137" i="4"/>
  <c r="A122" i="5"/>
  <c r="D118" i="4"/>
  <c r="A114" i="5"/>
  <c r="D110" i="4"/>
  <c r="A106" i="5"/>
  <c r="D102" i="4"/>
  <c r="A22" i="5"/>
  <c r="D18" i="4"/>
  <c r="A121" i="5"/>
  <c r="D117" i="4"/>
  <c r="A113" i="5"/>
  <c r="D109" i="4"/>
  <c r="A128" i="5"/>
  <c r="D124" i="4"/>
  <c r="A120" i="5"/>
  <c r="D116" i="4"/>
  <c r="A112" i="5"/>
  <c r="D108" i="4"/>
  <c r="A131" i="5"/>
  <c r="D127" i="4"/>
  <c r="A145" i="5"/>
  <c r="D141" i="4"/>
  <c r="A125" i="5"/>
  <c r="D121" i="4"/>
  <c r="A117" i="5"/>
  <c r="D113" i="4"/>
  <c r="A109" i="5"/>
  <c r="D105" i="4"/>
  <c r="A143" i="5"/>
  <c r="A146" i="5"/>
  <c r="A127" i="5"/>
  <c r="D123" i="4"/>
  <c r="A119" i="5"/>
  <c r="D115" i="4"/>
  <c r="A111" i="5"/>
  <c r="D107" i="4"/>
  <c r="A136" i="5"/>
  <c r="D132" i="4"/>
  <c r="A126" i="5"/>
  <c r="D122" i="4"/>
  <c r="A118" i="5"/>
  <c r="D114" i="4"/>
  <c r="A110" i="5"/>
  <c r="D106" i="4"/>
  <c r="A129" i="5"/>
  <c r="D125" i="4"/>
  <c r="A135" i="5"/>
  <c r="D131" i="4"/>
  <c r="C32" i="4"/>
  <c r="B36" i="5" s="1"/>
  <c r="A36" i="5"/>
  <c r="C55" i="4"/>
  <c r="B59" i="5" s="1"/>
  <c r="A59" i="5"/>
  <c r="C14" i="4"/>
  <c r="B18" i="5" s="1"/>
  <c r="A18" i="5"/>
  <c r="C6" i="4"/>
  <c r="B10" i="5" s="1"/>
  <c r="A10" i="5"/>
  <c r="C50" i="4"/>
  <c r="B54" i="5" s="1"/>
  <c r="A54" i="5"/>
  <c r="C69" i="4"/>
  <c r="B73" i="5" s="1"/>
  <c r="A73" i="5"/>
  <c r="C101" i="4"/>
  <c r="B105" i="5" s="1"/>
  <c r="A105" i="5"/>
  <c r="C13" i="4"/>
  <c r="B17" i="5" s="1"/>
  <c r="A17" i="5"/>
  <c r="C26" i="4"/>
  <c r="B30" i="5" s="1"/>
  <c r="A30" i="5"/>
  <c r="C30" i="4"/>
  <c r="B34" i="5" s="1"/>
  <c r="A34" i="5"/>
  <c r="C49" i="4"/>
  <c r="B53" i="5" s="1"/>
  <c r="A53" i="5"/>
  <c r="C76" i="4"/>
  <c r="B80" i="5" s="1"/>
  <c r="A80" i="5"/>
  <c r="C83" i="4"/>
  <c r="B87" i="5" s="1"/>
  <c r="A87" i="5"/>
  <c r="C92" i="4"/>
  <c r="B96" i="5" s="1"/>
  <c r="A96" i="5"/>
  <c r="C12" i="4"/>
  <c r="B16" i="5" s="1"/>
  <c r="A16" i="5"/>
  <c r="C4" i="4"/>
  <c r="B8" i="5" s="1"/>
  <c r="A8" i="5"/>
  <c r="C37" i="4"/>
  <c r="B41" i="5" s="1"/>
  <c r="A41" i="5"/>
  <c r="C29" i="4"/>
  <c r="B33" i="5" s="1"/>
  <c r="A33" i="5"/>
  <c r="C40" i="4"/>
  <c r="B44" i="5" s="1"/>
  <c r="A44" i="5"/>
  <c r="C48" i="4"/>
  <c r="B52" i="5" s="1"/>
  <c r="A52" i="5"/>
  <c r="C60" i="4"/>
  <c r="B64" i="5" s="1"/>
  <c r="A64" i="5"/>
  <c r="C75" i="4"/>
  <c r="B79" i="5" s="1"/>
  <c r="A79" i="5"/>
  <c r="C67" i="4"/>
  <c r="B71" i="5" s="1"/>
  <c r="A71" i="5"/>
  <c r="C82" i="4"/>
  <c r="B86" i="5" s="1"/>
  <c r="A86" i="5"/>
  <c r="C99" i="4"/>
  <c r="B103" i="5" s="1"/>
  <c r="A103" i="5"/>
  <c r="C91" i="4"/>
  <c r="B95" i="5" s="1"/>
  <c r="A95" i="5"/>
  <c r="C111" i="4"/>
  <c r="B115" i="5" s="1"/>
  <c r="A115" i="5"/>
  <c r="C136" i="4"/>
  <c r="B140" i="5" s="1"/>
  <c r="A140" i="5"/>
  <c r="C7" i="4"/>
  <c r="B11" i="5" s="1"/>
  <c r="A11" i="5"/>
  <c r="C70" i="4"/>
  <c r="B74" i="5" s="1"/>
  <c r="A74" i="5"/>
  <c r="C41" i="4"/>
  <c r="B45" i="5" s="1"/>
  <c r="A45" i="5"/>
  <c r="C61" i="4"/>
  <c r="B65" i="5" s="1"/>
  <c r="A65" i="5"/>
  <c r="C68" i="4"/>
  <c r="B72" i="5" s="1"/>
  <c r="A72" i="5"/>
  <c r="C100" i="4"/>
  <c r="B104" i="5" s="1"/>
  <c r="A104" i="5"/>
  <c r="C19" i="4"/>
  <c r="B23" i="5" s="1"/>
  <c r="A23" i="5"/>
  <c r="C11" i="4"/>
  <c r="B15" i="5" s="1"/>
  <c r="A15" i="5"/>
  <c r="C20" i="4"/>
  <c r="B24" i="5" s="1"/>
  <c r="A24" i="5"/>
  <c r="C36" i="4"/>
  <c r="B40" i="5" s="1"/>
  <c r="A40" i="5"/>
  <c r="C28" i="4"/>
  <c r="B32" i="5" s="1"/>
  <c r="A32" i="5"/>
  <c r="C39" i="4"/>
  <c r="B43" i="5" s="1"/>
  <c r="A43" i="5"/>
  <c r="C47" i="4"/>
  <c r="B51" i="5" s="1"/>
  <c r="A51" i="5"/>
  <c r="C59" i="4"/>
  <c r="B63" i="5" s="1"/>
  <c r="A63" i="5"/>
  <c r="C74" i="4"/>
  <c r="B78" i="5" s="1"/>
  <c r="A78" i="5"/>
  <c r="C66" i="4"/>
  <c r="B70" i="5" s="1"/>
  <c r="A70" i="5"/>
  <c r="C81" i="4"/>
  <c r="B85" i="5" s="1"/>
  <c r="A85" i="5"/>
  <c r="C98" i="4"/>
  <c r="B102" i="5" s="1"/>
  <c r="A102" i="5"/>
  <c r="C90" i="4"/>
  <c r="B94" i="5" s="1"/>
  <c r="A94" i="5"/>
  <c r="C135" i="4"/>
  <c r="B139" i="5" s="1"/>
  <c r="A139" i="5"/>
  <c r="C140" i="4"/>
  <c r="B144" i="5" s="1"/>
  <c r="A144" i="5"/>
  <c r="C51" i="4"/>
  <c r="B55" i="5" s="1"/>
  <c r="A55" i="5"/>
  <c r="C94" i="4"/>
  <c r="B98" i="5" s="1"/>
  <c r="A98" i="5"/>
  <c r="C25" i="4"/>
  <c r="B29" i="5" s="1"/>
  <c r="A29" i="5"/>
  <c r="C54" i="4"/>
  <c r="B58" i="5" s="1"/>
  <c r="A58" i="5"/>
  <c r="C93" i="4"/>
  <c r="B97" i="5" s="1"/>
  <c r="A97" i="5"/>
  <c r="C10" i="4"/>
  <c r="B14" i="5" s="1"/>
  <c r="A14" i="5"/>
  <c r="C35" i="4"/>
  <c r="B39" i="5" s="1"/>
  <c r="A39" i="5"/>
  <c r="C38" i="4"/>
  <c r="B42" i="5" s="1"/>
  <c r="A42" i="5"/>
  <c r="C46" i="4"/>
  <c r="B50" i="5" s="1"/>
  <c r="A50" i="5"/>
  <c r="C58" i="4"/>
  <c r="B62" i="5" s="1"/>
  <c r="A62" i="5"/>
  <c r="C73" i="4"/>
  <c r="B77" i="5" s="1"/>
  <c r="A77" i="5"/>
  <c r="C88" i="4"/>
  <c r="B92" i="5" s="1"/>
  <c r="A92" i="5"/>
  <c r="C80" i="4"/>
  <c r="B84" i="5" s="1"/>
  <c r="A84" i="5"/>
  <c r="C97" i="4"/>
  <c r="B101" i="5" s="1"/>
  <c r="A101" i="5"/>
  <c r="C89" i="4"/>
  <c r="B93" i="5" s="1"/>
  <c r="A93" i="5"/>
  <c r="C134" i="4"/>
  <c r="B138" i="5" s="1"/>
  <c r="A138" i="5"/>
  <c r="C24" i="4"/>
  <c r="B28" i="5" s="1"/>
  <c r="A28" i="5"/>
  <c r="C85" i="4"/>
  <c r="B89" i="5" s="1"/>
  <c r="A89" i="5"/>
  <c r="C42" i="4"/>
  <c r="B46" i="5" s="1"/>
  <c r="A46" i="5"/>
  <c r="C84" i="4"/>
  <c r="B88" i="5" s="1"/>
  <c r="A88" i="5"/>
  <c r="C22" i="4"/>
  <c r="B26" i="5" s="1"/>
  <c r="A26" i="5"/>
  <c r="C45" i="4"/>
  <c r="B49" i="5" s="1"/>
  <c r="A49" i="5"/>
  <c r="C72" i="4"/>
  <c r="B76" i="5" s="1"/>
  <c r="A76" i="5"/>
  <c r="C133" i="4"/>
  <c r="B137" i="5" s="1"/>
  <c r="A137" i="5"/>
  <c r="C15" i="4"/>
  <c r="B19" i="5" s="1"/>
  <c r="A19" i="5"/>
  <c r="C43" i="4"/>
  <c r="B47" i="5" s="1"/>
  <c r="A47" i="5"/>
  <c r="C63" i="4"/>
  <c r="B67" i="5" s="1"/>
  <c r="A67" i="5"/>
  <c r="C77" i="4"/>
  <c r="B81" i="5" s="1"/>
  <c r="A81" i="5"/>
  <c r="C31" i="4"/>
  <c r="B35" i="5" s="1"/>
  <c r="A35" i="5"/>
  <c r="C62" i="4"/>
  <c r="B66" i="5" s="1"/>
  <c r="A66" i="5"/>
  <c r="C21" i="4"/>
  <c r="B25" i="5" s="1"/>
  <c r="A25" i="5"/>
  <c r="C27" i="4"/>
  <c r="B31" i="5" s="1"/>
  <c r="A31" i="5"/>
  <c r="C17" i="4"/>
  <c r="B21" i="5" s="1"/>
  <c r="A21" i="5"/>
  <c r="C9" i="4"/>
  <c r="B13" i="5" s="1"/>
  <c r="A13" i="5"/>
  <c r="C34" i="4"/>
  <c r="B38" i="5" s="1"/>
  <c r="A38" i="5"/>
  <c r="C53" i="4"/>
  <c r="B57" i="5" s="1"/>
  <c r="A57" i="5"/>
  <c r="C65" i="4"/>
  <c r="B69" i="5" s="1"/>
  <c r="A69" i="5"/>
  <c r="C57" i="4"/>
  <c r="B61" i="5" s="1"/>
  <c r="A61" i="5"/>
  <c r="C87" i="4"/>
  <c r="B91" i="5" s="1"/>
  <c r="A91" i="5"/>
  <c r="C79" i="4"/>
  <c r="B83" i="5" s="1"/>
  <c r="A83" i="5"/>
  <c r="C96" i="4"/>
  <c r="B100" i="5" s="1"/>
  <c r="A100" i="5"/>
  <c r="C16" i="4"/>
  <c r="B20" i="5" s="1"/>
  <c r="A20" i="5"/>
  <c r="C8" i="4"/>
  <c r="B12" i="5" s="1"/>
  <c r="E8" i="4"/>
  <c r="A12" i="5"/>
  <c r="C23" i="4"/>
  <c r="B27" i="5" s="1"/>
  <c r="A27" i="5"/>
  <c r="C33" i="4"/>
  <c r="B37" i="5" s="1"/>
  <c r="A37" i="5"/>
  <c r="C44" i="4"/>
  <c r="B48" i="5" s="1"/>
  <c r="A48" i="5"/>
  <c r="C52" i="4"/>
  <c r="B56" i="5" s="1"/>
  <c r="A56" i="5"/>
  <c r="C64" i="4"/>
  <c r="B68" i="5" s="1"/>
  <c r="A68" i="5"/>
  <c r="C56" i="4"/>
  <c r="B60" i="5" s="1"/>
  <c r="A60" i="5"/>
  <c r="C71" i="4"/>
  <c r="B75" i="5" s="1"/>
  <c r="A75" i="5"/>
  <c r="C86" i="4"/>
  <c r="B90" i="5" s="1"/>
  <c r="A90" i="5"/>
  <c r="C78" i="4"/>
  <c r="B82" i="5" s="1"/>
  <c r="A82" i="5"/>
  <c r="C95" i="4"/>
  <c r="B99" i="5" s="1"/>
  <c r="A99" i="5"/>
  <c r="C126" i="4"/>
  <c r="B130" i="5" s="1"/>
  <c r="A130" i="5"/>
  <c r="C122" i="4"/>
  <c r="B126" i="5" s="1"/>
  <c r="C113" i="4"/>
  <c r="B117" i="5" s="1"/>
  <c r="C112" i="4"/>
  <c r="B116" i="5" s="1"/>
  <c r="C130" i="4"/>
  <c r="B134" i="5" s="1"/>
  <c r="C103" i="4"/>
  <c r="B107" i="5" s="1"/>
  <c r="C18" i="4"/>
  <c r="B22" i="5" s="1"/>
  <c r="C117" i="4"/>
  <c r="B121" i="5" s="1"/>
  <c r="C109" i="4"/>
  <c r="B113" i="5" s="1"/>
  <c r="C128" i="4"/>
  <c r="B132" i="5" s="1"/>
  <c r="C142" i="4"/>
  <c r="B146" i="5" s="1"/>
  <c r="C121" i="4"/>
  <c r="B125" i="5" s="1"/>
  <c r="C105" i="4"/>
  <c r="B109" i="5" s="1"/>
  <c r="C129" i="4"/>
  <c r="B133" i="5" s="1"/>
  <c r="C139" i="4"/>
  <c r="B143" i="5" s="1"/>
  <c r="C120" i="4"/>
  <c r="B124" i="5" s="1"/>
  <c r="C104" i="4"/>
  <c r="B108" i="5" s="1"/>
  <c r="C3" i="4"/>
  <c r="B7" i="5" s="1"/>
  <c r="A7" i="5"/>
  <c r="C118" i="4"/>
  <c r="B122" i="5" s="1"/>
  <c r="C110" i="4"/>
  <c r="B114" i="5" s="1"/>
  <c r="C102" i="4"/>
  <c r="B106" i="5" s="1"/>
  <c r="C124" i="4"/>
  <c r="B128" i="5" s="1"/>
  <c r="C116" i="4"/>
  <c r="B120" i="5" s="1"/>
  <c r="C108" i="4"/>
  <c r="B112" i="5" s="1"/>
  <c r="C127" i="4"/>
  <c r="B131" i="5" s="1"/>
  <c r="C141" i="4"/>
  <c r="B145" i="5" s="1"/>
  <c r="C114" i="4"/>
  <c r="B118" i="5" s="1"/>
  <c r="C106" i="4"/>
  <c r="B110" i="5" s="1"/>
  <c r="C125" i="4"/>
  <c r="B129" i="5" s="1"/>
  <c r="C131" i="4"/>
  <c r="B135" i="5" s="1"/>
  <c r="C138" i="4"/>
  <c r="B142" i="5" s="1"/>
  <c r="C119" i="4"/>
  <c r="B123" i="5" s="1"/>
  <c r="C137" i="4"/>
  <c r="B141" i="5" s="1"/>
  <c r="C123" i="4"/>
  <c r="B127" i="5" s="1"/>
  <c r="C115" i="4"/>
  <c r="B119" i="5" s="1"/>
  <c r="C107" i="4"/>
  <c r="B111" i="5" s="1"/>
  <c r="C132" i="4"/>
  <c r="B136" i="5" s="1"/>
  <c r="C187" i="2" l="1"/>
  <c r="D139" i="4" s="1"/>
  <c r="C141" i="5"/>
  <c r="C135" i="5"/>
  <c r="C134" i="5" s="1"/>
  <c r="K134" i="5" s="1"/>
  <c r="C129" i="5"/>
  <c r="C128" i="5" s="1"/>
  <c r="C127" i="5"/>
  <c r="C126" i="5"/>
  <c r="C124" i="5"/>
  <c r="C123" i="5"/>
  <c r="C122" i="5"/>
  <c r="C121" i="5"/>
  <c r="C120" i="5"/>
  <c r="C119" i="5"/>
  <c r="C118" i="5"/>
  <c r="C117" i="5"/>
  <c r="C7" i="8"/>
  <c r="C113" i="5"/>
  <c r="C109" i="5"/>
  <c r="C105" i="5"/>
  <c r="C99" i="5"/>
  <c r="C6" i="8"/>
  <c r="C70" i="5"/>
  <c r="C69" i="5"/>
  <c r="C5" i="8"/>
  <c r="C58" i="2"/>
  <c r="C9" i="5"/>
  <c r="C4" i="8"/>
  <c r="K138" i="4"/>
  <c r="K137" i="4"/>
  <c r="G141" i="5" s="1"/>
  <c r="K132" i="4"/>
  <c r="K131" i="4"/>
  <c r="G135" i="5" s="1"/>
  <c r="G134" i="5" s="1"/>
  <c r="K130" i="4"/>
  <c r="K125" i="4"/>
  <c r="G129" i="5" s="1"/>
  <c r="G128" i="5" s="1"/>
  <c r="K124" i="4"/>
  <c r="K123" i="4"/>
  <c r="G127" i="5" s="1"/>
  <c r="K122" i="4"/>
  <c r="G126" i="5" s="1"/>
  <c r="K121" i="4"/>
  <c r="K120" i="4"/>
  <c r="G124" i="5" s="1"/>
  <c r="K119" i="4"/>
  <c r="G123" i="5" s="1"/>
  <c r="K118" i="4"/>
  <c r="G122" i="5" s="1"/>
  <c r="K117" i="4"/>
  <c r="G121" i="5" s="1"/>
  <c r="K116" i="4"/>
  <c r="G120" i="5" s="1"/>
  <c r="K115" i="4"/>
  <c r="G119" i="5" s="1"/>
  <c r="K114" i="4"/>
  <c r="G118" i="5" s="1"/>
  <c r="K113" i="4"/>
  <c r="G117" i="5" s="1"/>
  <c r="K112" i="4"/>
  <c r="O7" i="8"/>
  <c r="K110" i="4"/>
  <c r="K109" i="4"/>
  <c r="K108" i="4"/>
  <c r="K107" i="4"/>
  <c r="K106" i="4"/>
  <c r="K105" i="4"/>
  <c r="K104" i="4"/>
  <c r="K103" i="4"/>
  <c r="K101" i="4"/>
  <c r="K100" i="4"/>
  <c r="K99" i="4"/>
  <c r="K98" i="4"/>
  <c r="K97" i="4"/>
  <c r="K96" i="4"/>
  <c r="K95" i="4"/>
  <c r="K94" i="4"/>
  <c r="K93" i="4"/>
  <c r="K92" i="4"/>
  <c r="K91" i="4"/>
  <c r="K90" i="4"/>
  <c r="O6" i="8"/>
  <c r="K66" i="4"/>
  <c r="G70" i="5" s="1"/>
  <c r="K65" i="4"/>
  <c r="G69" i="5" s="1"/>
  <c r="O5" i="8"/>
  <c r="O58" i="2"/>
  <c r="M191" i="2"/>
  <c r="M9" i="8" s="1"/>
  <c r="M7" i="8"/>
  <c r="M6" i="8"/>
  <c r="M5" i="8"/>
  <c r="M58" i="2"/>
  <c r="M4" i="8"/>
  <c r="H142" i="4"/>
  <c r="H141" i="4"/>
  <c r="H140" i="4" s="1"/>
  <c r="I9" i="8"/>
  <c r="H139" i="4"/>
  <c r="H138" i="4"/>
  <c r="H137" i="4"/>
  <c r="H132" i="4"/>
  <c r="H131" i="4"/>
  <c r="H130" i="4"/>
  <c r="H129" i="4"/>
  <c r="H128" i="4"/>
  <c r="H127" i="4"/>
  <c r="I8" i="8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I7" i="8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I6" i="8"/>
  <c r="H66" i="4"/>
  <c r="H65" i="4"/>
  <c r="I5" i="8"/>
  <c r="H22" i="4"/>
  <c r="I138" i="4"/>
  <c r="I137" i="4"/>
  <c r="I132" i="4"/>
  <c r="I131" i="4"/>
  <c r="I130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K7" i="8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K6" i="8"/>
  <c r="I66" i="4"/>
  <c r="I65" i="4"/>
  <c r="K5" i="8"/>
  <c r="K58" i="2"/>
  <c r="K4" i="8"/>
  <c r="G138" i="4"/>
  <c r="G137" i="4"/>
  <c r="G132" i="4"/>
  <c r="G131" i="4"/>
  <c r="G130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7" i="8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6" i="8"/>
  <c r="G66" i="4"/>
  <c r="G65" i="4"/>
  <c r="G5" i="8"/>
  <c r="G58" i="2"/>
  <c r="G4" i="8"/>
  <c r="F138" i="4"/>
  <c r="F137" i="4"/>
  <c r="E141" i="5" s="1"/>
  <c r="F132" i="4"/>
  <c r="F131" i="4"/>
  <c r="E135" i="5" s="1"/>
  <c r="E134" i="5" s="1"/>
  <c r="F130" i="4"/>
  <c r="F125" i="4"/>
  <c r="E129" i="5" s="1"/>
  <c r="E128" i="5" s="1"/>
  <c r="F124" i="4"/>
  <c r="F123" i="4"/>
  <c r="E127" i="5" s="1"/>
  <c r="F122" i="4"/>
  <c r="E126" i="5" s="1"/>
  <c r="F121" i="4"/>
  <c r="F120" i="4"/>
  <c r="E124" i="5" s="1"/>
  <c r="F119" i="4"/>
  <c r="E123" i="5" s="1"/>
  <c r="F118" i="4"/>
  <c r="E122" i="5" s="1"/>
  <c r="F117" i="4"/>
  <c r="E121" i="5" s="1"/>
  <c r="F116" i="4"/>
  <c r="E120" i="5" s="1"/>
  <c r="F115" i="4"/>
  <c r="E119" i="5" s="1"/>
  <c r="F114" i="4"/>
  <c r="E118" i="5" s="1"/>
  <c r="F113" i="4"/>
  <c r="E117" i="5" s="1"/>
  <c r="F112" i="4"/>
  <c r="E7" i="8"/>
  <c r="F110" i="4"/>
  <c r="E114" i="5" s="1"/>
  <c r="F109" i="4"/>
  <c r="E113" i="5" s="1"/>
  <c r="F108" i="4"/>
  <c r="E112" i="5" s="1"/>
  <c r="F107" i="4"/>
  <c r="E111" i="5" s="1"/>
  <c r="F106" i="4"/>
  <c r="E110" i="5" s="1"/>
  <c r="F105" i="4"/>
  <c r="E109" i="5" s="1"/>
  <c r="F104" i="4"/>
  <c r="E108" i="5" s="1"/>
  <c r="F103" i="4"/>
  <c r="E107" i="5" s="1"/>
  <c r="F102" i="4"/>
  <c r="F101" i="4"/>
  <c r="E105" i="5" s="1"/>
  <c r="F100" i="4"/>
  <c r="E104" i="5" s="1"/>
  <c r="F99" i="4"/>
  <c r="F98" i="4"/>
  <c r="E102" i="5" s="1"/>
  <c r="F97" i="4"/>
  <c r="E101" i="5" s="1"/>
  <c r="F96" i="4"/>
  <c r="E100" i="5" s="1"/>
  <c r="F95" i="4"/>
  <c r="E99" i="5" s="1"/>
  <c r="F94" i="4"/>
  <c r="E98" i="5" s="1"/>
  <c r="F93" i="4"/>
  <c r="E97" i="5" s="1"/>
  <c r="F92" i="4"/>
  <c r="E96" i="5" s="1"/>
  <c r="F91" i="4"/>
  <c r="F90" i="4"/>
  <c r="E94" i="5" s="1"/>
  <c r="E6" i="8"/>
  <c r="F66" i="4"/>
  <c r="E70" i="5" s="1"/>
  <c r="F65" i="4"/>
  <c r="E69" i="5" s="1"/>
  <c r="E5" i="8"/>
  <c r="E58" i="2"/>
  <c r="E4" i="8"/>
  <c r="E138" i="4"/>
  <c r="E137" i="4"/>
  <c r="D141" i="5" s="1"/>
  <c r="E132" i="4"/>
  <c r="E131" i="4"/>
  <c r="D135" i="5" s="1"/>
  <c r="D134" i="5" s="1"/>
  <c r="E130" i="4"/>
  <c r="E125" i="4"/>
  <c r="D129" i="5" s="1"/>
  <c r="D128" i="5" s="1"/>
  <c r="E124" i="4"/>
  <c r="E123" i="4"/>
  <c r="D127" i="5" s="1"/>
  <c r="E122" i="4"/>
  <c r="D126" i="5" s="1"/>
  <c r="E121" i="4"/>
  <c r="E120" i="4"/>
  <c r="D124" i="5" s="1"/>
  <c r="E119" i="4"/>
  <c r="D123" i="5" s="1"/>
  <c r="E118" i="4"/>
  <c r="D122" i="5" s="1"/>
  <c r="E117" i="4"/>
  <c r="D121" i="5" s="1"/>
  <c r="E116" i="4"/>
  <c r="D120" i="5" s="1"/>
  <c r="E115" i="4"/>
  <c r="D119" i="5" s="1"/>
  <c r="E114" i="4"/>
  <c r="D118" i="5" s="1"/>
  <c r="E113" i="4"/>
  <c r="D117" i="5" s="1"/>
  <c r="E112" i="4"/>
  <c r="D7" i="8"/>
  <c r="E110" i="4"/>
  <c r="D114" i="5" s="1"/>
  <c r="E109" i="4"/>
  <c r="D113" i="5" s="1"/>
  <c r="E108" i="4"/>
  <c r="D112" i="5" s="1"/>
  <c r="E107" i="4"/>
  <c r="D111" i="5" s="1"/>
  <c r="E106" i="4"/>
  <c r="D110" i="5" s="1"/>
  <c r="E105" i="4"/>
  <c r="D109" i="5" s="1"/>
  <c r="E104" i="4"/>
  <c r="D108" i="5" s="1"/>
  <c r="E103" i="4"/>
  <c r="D107" i="5" s="1"/>
  <c r="E102" i="4"/>
  <c r="E101" i="4"/>
  <c r="D105" i="5" s="1"/>
  <c r="E100" i="4"/>
  <c r="D104" i="5" s="1"/>
  <c r="E99" i="4"/>
  <c r="E98" i="4"/>
  <c r="D102" i="5" s="1"/>
  <c r="E97" i="4"/>
  <c r="D101" i="5" s="1"/>
  <c r="E96" i="4"/>
  <c r="D100" i="5" s="1"/>
  <c r="E95" i="4"/>
  <c r="D99" i="5" s="1"/>
  <c r="E94" i="4"/>
  <c r="D98" i="5" s="1"/>
  <c r="E93" i="4"/>
  <c r="D97" i="5" s="1"/>
  <c r="E92" i="4"/>
  <c r="D96" i="5" s="1"/>
  <c r="E91" i="4"/>
  <c r="E90" i="4"/>
  <c r="D94" i="5" s="1"/>
  <c r="D6" i="8"/>
  <c r="E66" i="4"/>
  <c r="D70" i="5" s="1"/>
  <c r="E65" i="4"/>
  <c r="D69" i="5" s="1"/>
  <c r="D5" i="8"/>
  <c r="D58" i="2"/>
  <c r="Q191" i="2"/>
  <c r="Q9" i="8" s="1"/>
  <c r="Q7" i="8"/>
  <c r="Q6" i="8"/>
  <c r="Q5" i="8"/>
  <c r="Q58" i="2"/>
  <c r="Q4" i="8"/>
  <c r="J58" i="2" l="1"/>
  <c r="D25" i="4"/>
  <c r="C143" i="5"/>
  <c r="C142" i="5" s="1"/>
  <c r="K142" i="5" s="1"/>
  <c r="J187" i="2"/>
  <c r="L6" i="8"/>
  <c r="N5" i="8"/>
  <c r="P6" i="8"/>
  <c r="F6" i="8"/>
  <c r="E125" i="5"/>
  <c r="H5" i="8"/>
  <c r="L7" i="8"/>
  <c r="P7" i="8"/>
  <c r="M193" i="2"/>
  <c r="G187" i="2"/>
  <c r="G139" i="4" s="1"/>
  <c r="K193" i="2"/>
  <c r="I142" i="4" s="1"/>
  <c r="M124" i="4"/>
  <c r="F111" i="4"/>
  <c r="J115" i="4"/>
  <c r="F119" i="5" s="1"/>
  <c r="L120" i="4"/>
  <c r="H124" i="5" s="1"/>
  <c r="J118" i="4"/>
  <c r="F122" i="5" s="1"/>
  <c r="M121" i="4"/>
  <c r="I125" i="5" s="1"/>
  <c r="E187" i="2"/>
  <c r="F139" i="4" s="1"/>
  <c r="E143" i="5" s="1"/>
  <c r="E142" i="5" s="1"/>
  <c r="J113" i="4"/>
  <c r="F117" i="5" s="1"/>
  <c r="J121" i="4"/>
  <c r="G193" i="2"/>
  <c r="G142" i="4" s="1"/>
  <c r="C125" i="5"/>
  <c r="J122" i="4"/>
  <c r="F126" i="5" s="1"/>
  <c r="J123" i="4"/>
  <c r="F127" i="5" s="1"/>
  <c r="L118" i="4"/>
  <c r="H122" i="5" s="1"/>
  <c r="E116" i="5"/>
  <c r="E193" i="2"/>
  <c r="F142" i="4" s="1"/>
  <c r="E146" i="5" s="1"/>
  <c r="E145" i="5" s="1"/>
  <c r="E144" i="5" s="1"/>
  <c r="G33" i="2"/>
  <c r="G52" i="2"/>
  <c r="J92" i="4"/>
  <c r="F96" i="5" s="1"/>
  <c r="J100" i="4"/>
  <c r="F104" i="5" s="1"/>
  <c r="J108" i="4"/>
  <c r="F112" i="5" s="1"/>
  <c r="J116" i="4"/>
  <c r="F120" i="5" s="1"/>
  <c r="J124" i="4"/>
  <c r="J137" i="4"/>
  <c r="F141" i="5" s="1"/>
  <c r="K27" i="2"/>
  <c r="K46" i="2"/>
  <c r="K162" i="2"/>
  <c r="I128" i="4" s="1"/>
  <c r="L130" i="4"/>
  <c r="H134" i="5" s="1"/>
  <c r="L138" i="4"/>
  <c r="H142" i="5" s="1"/>
  <c r="L115" i="4"/>
  <c r="H119" i="5" s="1"/>
  <c r="J117" i="4"/>
  <c r="F121" i="5" s="1"/>
  <c r="J138" i="4"/>
  <c r="I111" i="4"/>
  <c r="M52" i="2"/>
  <c r="R5" i="8"/>
  <c r="E167" i="2"/>
  <c r="F129" i="4" s="1"/>
  <c r="E133" i="5" s="1"/>
  <c r="J131" i="4"/>
  <c r="F135" i="5" s="1"/>
  <c r="F134" i="5" s="1"/>
  <c r="L121" i="4"/>
  <c r="H125" i="5" s="1"/>
  <c r="J7" i="8"/>
  <c r="C27" i="2"/>
  <c r="C46" i="2"/>
  <c r="C162" i="2"/>
  <c r="D128" i="4" s="1"/>
  <c r="L132" i="4"/>
  <c r="H136" i="5" s="1"/>
  <c r="J130" i="4"/>
  <c r="J94" i="4"/>
  <c r="F98" i="5" s="1"/>
  <c r="M33" i="2"/>
  <c r="L113" i="4"/>
  <c r="H117" i="5" s="1"/>
  <c r="E33" i="2"/>
  <c r="E52" i="2"/>
  <c r="F5" i="8"/>
  <c r="E103" i="5"/>
  <c r="G27" i="2"/>
  <c r="G46" i="2"/>
  <c r="G162" i="2"/>
  <c r="G128" i="4" s="1"/>
  <c r="J132" i="4"/>
  <c r="K40" i="2"/>
  <c r="I22" i="4" s="1"/>
  <c r="J114" i="4"/>
  <c r="F118" i="5" s="1"/>
  <c r="H111" i="4"/>
  <c r="M187" i="2"/>
  <c r="L112" i="4"/>
  <c r="H116" i="5" s="1"/>
  <c r="L123" i="4"/>
  <c r="H127" i="5" s="1"/>
  <c r="J107" i="4"/>
  <c r="F111" i="5" s="1"/>
  <c r="E40" i="2"/>
  <c r="F22" i="4" s="1"/>
  <c r="E26" i="5" s="1"/>
  <c r="J125" i="4"/>
  <c r="F129" i="5" s="1"/>
  <c r="F128" i="5" s="1"/>
  <c r="J120" i="4"/>
  <c r="F124" i="5" s="1"/>
  <c r="M162" i="2"/>
  <c r="M91" i="4"/>
  <c r="M99" i="4"/>
  <c r="C193" i="2"/>
  <c r="D142" i="4" s="1"/>
  <c r="M167" i="2"/>
  <c r="L102" i="4"/>
  <c r="H106" i="5" s="1"/>
  <c r="J102" i="4"/>
  <c r="G160" i="2"/>
  <c r="G8" i="8" s="1"/>
  <c r="H8" i="8" s="1"/>
  <c r="G127" i="4"/>
  <c r="L119" i="4"/>
  <c r="H123" i="5" s="1"/>
  <c r="J103" i="4"/>
  <c r="F107" i="5" s="1"/>
  <c r="E191" i="2"/>
  <c r="E9" i="8" s="1"/>
  <c r="F141" i="4"/>
  <c r="F140" i="4" s="1"/>
  <c r="L91" i="4"/>
  <c r="J91" i="4"/>
  <c r="L99" i="4"/>
  <c r="H103" i="5" s="1"/>
  <c r="J99" i="4"/>
  <c r="G167" i="2"/>
  <c r="G129" i="4" s="1"/>
  <c r="K160" i="2"/>
  <c r="K8" i="8" s="1"/>
  <c r="L8" i="8" s="1"/>
  <c r="I127" i="4"/>
  <c r="K187" i="2"/>
  <c r="I139" i="4" s="1"/>
  <c r="J5" i="8"/>
  <c r="M40" i="2"/>
  <c r="C33" i="2"/>
  <c r="C52" i="2"/>
  <c r="C96" i="5"/>
  <c r="L92" i="4"/>
  <c r="L100" i="4"/>
  <c r="H104" i="5" s="1"/>
  <c r="C104" i="5"/>
  <c r="C103" i="5" s="1"/>
  <c r="C112" i="5"/>
  <c r="L108" i="4"/>
  <c r="H112" i="5" s="1"/>
  <c r="D111" i="4"/>
  <c r="L131" i="4"/>
  <c r="H135" i="5" s="1"/>
  <c r="C98" i="5"/>
  <c r="L94" i="4"/>
  <c r="L124" i="4"/>
  <c r="L101" i="4"/>
  <c r="H105" i="5" s="1"/>
  <c r="J101" i="4"/>
  <c r="F105" i="5" s="1"/>
  <c r="C114" i="5"/>
  <c r="L110" i="4"/>
  <c r="H114" i="5" s="1"/>
  <c r="E95" i="5"/>
  <c r="H7" i="8"/>
  <c r="C108" i="5"/>
  <c r="L104" i="4"/>
  <c r="H108" i="5" s="1"/>
  <c r="L117" i="4"/>
  <c r="H121" i="5" s="1"/>
  <c r="L137" i="4"/>
  <c r="H141" i="5" s="1"/>
  <c r="L109" i="4"/>
  <c r="H113" i="5" s="1"/>
  <c r="J109" i="4"/>
  <c r="F113" i="5" s="1"/>
  <c r="K191" i="2"/>
  <c r="K9" i="8" s="1"/>
  <c r="L9" i="8" s="1"/>
  <c r="I141" i="4"/>
  <c r="I140" i="4" s="1"/>
  <c r="C160" i="2"/>
  <c r="J110" i="4"/>
  <c r="F114" i="5" s="1"/>
  <c r="L95" i="4"/>
  <c r="J95" i="4"/>
  <c r="F99" i="5" s="1"/>
  <c r="C100" i="5"/>
  <c r="L96" i="4"/>
  <c r="C191" i="2"/>
  <c r="L125" i="4"/>
  <c r="H129" i="5" s="1"/>
  <c r="J96" i="4"/>
  <c r="F100" i="5" s="1"/>
  <c r="J104" i="4"/>
  <c r="F108" i="5" s="1"/>
  <c r="J112" i="4"/>
  <c r="G191" i="2"/>
  <c r="G9" i="8" s="1"/>
  <c r="H9" i="8" s="1"/>
  <c r="G141" i="4"/>
  <c r="K167" i="2"/>
  <c r="I129" i="4" s="1"/>
  <c r="I4" i="8"/>
  <c r="J4" i="8" s="1"/>
  <c r="G7" i="1"/>
  <c r="G18" i="1" s="1"/>
  <c r="J6" i="8"/>
  <c r="M27" i="2"/>
  <c r="M46" i="2"/>
  <c r="N7" i="8"/>
  <c r="C101" i="5"/>
  <c r="L97" i="4"/>
  <c r="C116" i="5"/>
  <c r="C107" i="5"/>
  <c r="L103" i="4"/>
  <c r="H107" i="5" s="1"/>
  <c r="J119" i="4"/>
  <c r="F123" i="5" s="1"/>
  <c r="M160" i="2"/>
  <c r="M8" i="8" s="1"/>
  <c r="N8" i="8" s="1"/>
  <c r="E160" i="2"/>
  <c r="E8" i="8" s="1"/>
  <c r="F127" i="4"/>
  <c r="J65" i="4"/>
  <c r="F69" i="5" s="1"/>
  <c r="H6" i="8"/>
  <c r="J97" i="4"/>
  <c r="F101" i="5" s="1"/>
  <c r="L105" i="4"/>
  <c r="H109" i="5" s="1"/>
  <c r="J105" i="4"/>
  <c r="F109" i="5" s="1"/>
  <c r="K33" i="2"/>
  <c r="K52" i="2"/>
  <c r="L5" i="8"/>
  <c r="J98" i="4"/>
  <c r="F102" i="5" s="1"/>
  <c r="N9" i="8"/>
  <c r="P5" i="8"/>
  <c r="C40" i="2"/>
  <c r="D22" i="4" s="1"/>
  <c r="L90" i="4"/>
  <c r="C94" i="5"/>
  <c r="C102" i="5"/>
  <c r="L98" i="4"/>
  <c r="H102" i="5" s="1"/>
  <c r="C110" i="5"/>
  <c r="L106" i="4"/>
  <c r="H110" i="5" s="1"/>
  <c r="L116" i="4"/>
  <c r="H120" i="5" s="1"/>
  <c r="G111" i="4"/>
  <c r="C97" i="5"/>
  <c r="L93" i="4"/>
  <c r="J93" i="4"/>
  <c r="F97" i="5" s="1"/>
  <c r="E27" i="2"/>
  <c r="E46" i="2"/>
  <c r="E106" i="5"/>
  <c r="F7" i="8"/>
  <c r="E162" i="2"/>
  <c r="F128" i="4" s="1"/>
  <c r="E132" i="5" s="1"/>
  <c r="G40" i="2"/>
  <c r="G22" i="4" s="1"/>
  <c r="J66" i="4"/>
  <c r="F70" i="5" s="1"/>
  <c r="J90" i="4"/>
  <c r="F94" i="5" s="1"/>
  <c r="J106" i="4"/>
  <c r="F110" i="5" s="1"/>
  <c r="N6" i="8"/>
  <c r="C111" i="5"/>
  <c r="L107" i="4"/>
  <c r="H111" i="5" s="1"/>
  <c r="C167" i="2"/>
  <c r="D129" i="4" s="1"/>
  <c r="L122" i="4"/>
  <c r="H126" i="5" s="1"/>
  <c r="L114" i="4"/>
  <c r="H118" i="5" s="1"/>
  <c r="O4" i="8"/>
  <c r="D4" i="8"/>
  <c r="D103" i="5"/>
  <c r="G125" i="5"/>
  <c r="D125" i="5"/>
  <c r="G116" i="5"/>
  <c r="D116" i="5"/>
  <c r="D106" i="5"/>
  <c r="D95" i="5"/>
  <c r="M110" i="4"/>
  <c r="I114" i="5" s="1"/>
  <c r="G114" i="5"/>
  <c r="M109" i="4"/>
  <c r="I113" i="5" s="1"/>
  <c r="G113" i="5"/>
  <c r="M108" i="4"/>
  <c r="I112" i="5" s="1"/>
  <c r="G112" i="5"/>
  <c r="M107" i="4"/>
  <c r="I111" i="5" s="1"/>
  <c r="G111" i="5"/>
  <c r="M106" i="4"/>
  <c r="I110" i="5" s="1"/>
  <c r="G110" i="5"/>
  <c r="M105" i="4"/>
  <c r="I109" i="5" s="1"/>
  <c r="G109" i="5"/>
  <c r="M104" i="4"/>
  <c r="I108" i="5" s="1"/>
  <c r="G108" i="5"/>
  <c r="M103" i="4"/>
  <c r="I107" i="5" s="1"/>
  <c r="G107" i="5"/>
  <c r="M101" i="4"/>
  <c r="G105" i="5"/>
  <c r="M100" i="4"/>
  <c r="G104" i="5"/>
  <c r="M98" i="4"/>
  <c r="G102" i="5"/>
  <c r="M97" i="4"/>
  <c r="G101" i="5"/>
  <c r="M96" i="4"/>
  <c r="G100" i="5"/>
  <c r="M95" i="4"/>
  <c r="G99" i="5"/>
  <c r="M94" i="4"/>
  <c r="G98" i="5"/>
  <c r="M93" i="4"/>
  <c r="G97" i="5"/>
  <c r="M92" i="4"/>
  <c r="G96" i="5"/>
  <c r="M90" i="4"/>
  <c r="G94" i="5"/>
  <c r="K102" i="4"/>
  <c r="M102" i="4" s="1"/>
  <c r="I106" i="5" s="1"/>
  <c r="M137" i="4"/>
  <c r="I141" i="5" s="1"/>
  <c r="M138" i="4"/>
  <c r="I142" i="5" s="1"/>
  <c r="M132" i="4"/>
  <c r="I136" i="5" s="1"/>
  <c r="M131" i="4"/>
  <c r="I135" i="5" s="1"/>
  <c r="M130" i="4"/>
  <c r="I134" i="5" s="1"/>
  <c r="M125" i="4"/>
  <c r="I129" i="5" s="1"/>
  <c r="M123" i="4"/>
  <c r="I127" i="5" s="1"/>
  <c r="M122" i="4"/>
  <c r="I126" i="5" s="1"/>
  <c r="M120" i="4"/>
  <c r="I124" i="5" s="1"/>
  <c r="M119" i="4"/>
  <c r="I123" i="5" s="1"/>
  <c r="M118" i="4"/>
  <c r="I122" i="5" s="1"/>
  <c r="M117" i="4"/>
  <c r="I121" i="5" s="1"/>
  <c r="M116" i="4"/>
  <c r="I120" i="5" s="1"/>
  <c r="M115" i="4"/>
  <c r="I119" i="5" s="1"/>
  <c r="M114" i="4"/>
  <c r="I118" i="5" s="1"/>
  <c r="M113" i="4"/>
  <c r="I117" i="5" s="1"/>
  <c r="Q193" i="2"/>
  <c r="O193" i="2"/>
  <c r="K142" i="4" s="1"/>
  <c r="G146" i="5" s="1"/>
  <c r="D193" i="2"/>
  <c r="E142" i="4" s="1"/>
  <c r="D146" i="5" s="1"/>
  <c r="D145" i="5" s="1"/>
  <c r="D144" i="5" s="1"/>
  <c r="Q187" i="2"/>
  <c r="O187" i="2"/>
  <c r="K139" i="4" s="1"/>
  <c r="G143" i="5" s="1"/>
  <c r="G142" i="5" s="1"/>
  <c r="D187" i="2"/>
  <c r="E139" i="4" s="1"/>
  <c r="D143" i="5" s="1"/>
  <c r="D142" i="5" s="1"/>
  <c r="Q167" i="2"/>
  <c r="O167" i="2"/>
  <c r="K129" i="4" s="1"/>
  <c r="G133" i="5" s="1"/>
  <c r="D167" i="2"/>
  <c r="E129" i="4" s="1"/>
  <c r="D133" i="5" s="1"/>
  <c r="Q162" i="2"/>
  <c r="O162" i="2"/>
  <c r="K128" i="4" s="1"/>
  <c r="G132" i="5" s="1"/>
  <c r="D162" i="2"/>
  <c r="E128" i="4" s="1"/>
  <c r="D132" i="5" s="1"/>
  <c r="Q52" i="2"/>
  <c r="O52" i="2"/>
  <c r="D52" i="2"/>
  <c r="Q27" i="2"/>
  <c r="O33" i="2"/>
  <c r="O27" i="2"/>
  <c r="D27" i="2"/>
  <c r="Q33" i="2"/>
  <c r="D33" i="2"/>
  <c r="Q46" i="2"/>
  <c r="O46" i="2"/>
  <c r="D46" i="2"/>
  <c r="Q40" i="2"/>
  <c r="O40" i="2"/>
  <c r="K22" i="4" s="1"/>
  <c r="G26" i="5" s="1"/>
  <c r="D40" i="2"/>
  <c r="E22" i="4" s="1"/>
  <c r="D26" i="5" s="1"/>
  <c r="Q160" i="2"/>
  <c r="Q8" i="8" s="1"/>
  <c r="K127" i="4"/>
  <c r="O160" i="2"/>
  <c r="O8" i="8" s="1"/>
  <c r="P8" i="8" s="1"/>
  <c r="E127" i="4"/>
  <c r="D160" i="2"/>
  <c r="D8" i="8" s="1"/>
  <c r="K141" i="4"/>
  <c r="O191" i="2"/>
  <c r="O9" i="8" s="1"/>
  <c r="P9" i="8" s="1"/>
  <c r="E141" i="4"/>
  <c r="E140" i="4" s="1"/>
  <c r="D191" i="2"/>
  <c r="D9" i="8" s="1"/>
  <c r="E111" i="4"/>
  <c r="K111" i="4"/>
  <c r="M112" i="4"/>
  <c r="I116" i="5" s="1"/>
  <c r="AL7" i="11"/>
  <c r="AL8" i="11"/>
  <c r="AL9" i="11"/>
  <c r="AL10" i="11"/>
  <c r="AL6" i="11"/>
  <c r="J33" i="2" l="1"/>
  <c r="D20" i="4"/>
  <c r="J46" i="2"/>
  <c r="D23" i="4"/>
  <c r="J27" i="2"/>
  <c r="D19" i="4"/>
  <c r="J52" i="2"/>
  <c r="D24" i="4"/>
  <c r="C132" i="5"/>
  <c r="J162" i="2"/>
  <c r="C26" i="5"/>
  <c r="J40" i="2"/>
  <c r="C146" i="5"/>
  <c r="C145" i="5" s="1"/>
  <c r="C144" i="5" s="1"/>
  <c r="K144" i="5" s="1"/>
  <c r="J193" i="2"/>
  <c r="C9" i="8"/>
  <c r="F9" i="8" s="1"/>
  <c r="J191" i="2"/>
  <c r="M129" i="4"/>
  <c r="I133" i="5" s="1"/>
  <c r="J167" i="2"/>
  <c r="C8" i="8"/>
  <c r="F8" i="8" s="1"/>
  <c r="J160" i="2"/>
  <c r="E115" i="5"/>
  <c r="C115" i="5"/>
  <c r="K115" i="5" s="1"/>
  <c r="J111" i="4"/>
  <c r="J142" i="4"/>
  <c r="F146" i="5" s="1"/>
  <c r="F145" i="5" s="1"/>
  <c r="F144" i="5" s="1"/>
  <c r="J139" i="4"/>
  <c r="F143" i="5" s="1"/>
  <c r="F142" i="5" s="1"/>
  <c r="J128" i="4"/>
  <c r="F132" i="5" s="1"/>
  <c r="L139" i="4"/>
  <c r="H143" i="5" s="1"/>
  <c r="E131" i="5"/>
  <c r="F116" i="5"/>
  <c r="F103" i="5"/>
  <c r="J127" i="4"/>
  <c r="L127" i="4"/>
  <c r="H131" i="5" s="1"/>
  <c r="L111" i="4"/>
  <c r="H115" i="5" s="1"/>
  <c r="F95" i="5"/>
  <c r="J22" i="4"/>
  <c r="F26" i="5" s="1"/>
  <c r="F125" i="5"/>
  <c r="C95" i="5"/>
  <c r="F106" i="5"/>
  <c r="D140" i="4"/>
  <c r="L141" i="4"/>
  <c r="H145" i="5" s="1"/>
  <c r="J129" i="4"/>
  <c r="F133" i="5" s="1"/>
  <c r="C133" i="5"/>
  <c r="L129" i="4"/>
  <c r="H133" i="5" s="1"/>
  <c r="C106" i="5"/>
  <c r="J8" i="8"/>
  <c r="G140" i="4"/>
  <c r="J141" i="4"/>
  <c r="J140" i="4" s="1"/>
  <c r="D131" i="5"/>
  <c r="G131" i="5"/>
  <c r="G103" i="5"/>
  <c r="G106" i="5"/>
  <c r="G95" i="5"/>
  <c r="M141" i="4"/>
  <c r="I145" i="5" s="1"/>
  <c r="K140" i="4"/>
  <c r="G145" i="5"/>
  <c r="G144" i="5" s="1"/>
  <c r="M139" i="4"/>
  <c r="I143" i="5" s="1"/>
  <c r="M127" i="4"/>
  <c r="I131" i="5" s="1"/>
  <c r="AK7" i="11"/>
  <c r="AK8" i="11"/>
  <c r="AK9" i="11"/>
  <c r="AK10" i="11"/>
  <c r="AK6" i="11"/>
  <c r="C131" i="5" l="1"/>
  <c r="K131" i="5" s="1"/>
  <c r="L128" i="4"/>
  <c r="H132" i="5" s="1"/>
  <c r="M128" i="4"/>
  <c r="I132" i="5" s="1"/>
  <c r="L142" i="4"/>
  <c r="H146" i="5" s="1"/>
  <c r="M142" i="4"/>
  <c r="I146" i="5" s="1"/>
  <c r="F131" i="5"/>
  <c r="F115" i="5"/>
  <c r="L140" i="4"/>
  <c r="H144" i="5" s="1"/>
  <c r="B21" i="12"/>
  <c r="B17" i="12"/>
  <c r="B13" i="12"/>
  <c r="B9" i="12"/>
  <c r="B5" i="12"/>
  <c r="E23" i="12" l="1"/>
  <c r="E19" i="12" l="1"/>
  <c r="E15" i="12" l="1"/>
  <c r="AJ7" i="11"/>
  <c r="AJ8" i="11"/>
  <c r="AJ9" i="11"/>
  <c r="AJ10" i="11"/>
  <c r="AJ6" i="11"/>
  <c r="AI6" i="11"/>
  <c r="F12" i="11"/>
  <c r="AI7" i="11" l="1"/>
  <c r="AI8" i="11"/>
  <c r="AI9" i="11"/>
  <c r="AI10" i="11"/>
  <c r="AH7" i="11"/>
  <c r="AH8" i="11"/>
  <c r="AH9" i="11"/>
  <c r="AH10" i="11"/>
  <c r="AH6" i="11"/>
  <c r="D12" i="11" l="1"/>
  <c r="AI5" i="11"/>
  <c r="AD11" i="11" l="1"/>
  <c r="AD10" i="11"/>
  <c r="AD9" i="11"/>
  <c r="AD7" i="11"/>
  <c r="AH5" i="11" l="1"/>
  <c r="C12" i="11" l="1"/>
  <c r="B12" i="11" l="1"/>
  <c r="AE9" i="11" l="1"/>
  <c r="AV8" i="11" s="1"/>
  <c r="AE10" i="11"/>
  <c r="AV9" i="11" s="1"/>
  <c r="AE11" i="11"/>
  <c r="AV10" i="11" s="1"/>
  <c r="O6" i="10" l="1"/>
  <c r="AE7" i="11" l="1"/>
  <c r="AV6" i="11" s="1"/>
  <c r="F6" i="10"/>
  <c r="B2" i="3" l="1"/>
  <c r="B33" i="3"/>
  <c r="E35" i="3"/>
  <c r="D35" i="3"/>
  <c r="C35" i="3"/>
  <c r="B32" i="3" l="1"/>
  <c r="A2" i="5"/>
  <c r="B16" i="3"/>
  <c r="A1" i="8"/>
  <c r="B2" i="10" l="1"/>
  <c r="A2" i="11" s="1"/>
  <c r="R6" i="8"/>
  <c r="R7" i="8"/>
  <c r="R4" i="8"/>
  <c r="H4" i="8"/>
  <c r="F4" i="8"/>
  <c r="N4" i="8"/>
  <c r="R8" i="8"/>
  <c r="P4" i="8"/>
  <c r="R9" i="8"/>
  <c r="L4" i="8"/>
  <c r="E10" i="8"/>
  <c r="D13" i="8" s="1"/>
  <c r="Q10" i="8"/>
  <c r="O10" i="8"/>
  <c r="M10" i="8"/>
  <c r="K10" i="8"/>
  <c r="I10" i="8"/>
  <c r="G10" i="8"/>
  <c r="D10" i="8"/>
  <c r="C10" i="8"/>
  <c r="R10" i="8" l="1"/>
  <c r="B17" i="9"/>
  <c r="P10" i="8"/>
  <c r="B39" i="9" s="1"/>
  <c r="H10" i="8"/>
  <c r="L10" i="8"/>
  <c r="N10" i="8"/>
  <c r="J10" i="8"/>
  <c r="F10" i="8"/>
  <c r="D15" i="8"/>
  <c r="C15" i="8" s="1"/>
  <c r="D17" i="8"/>
  <c r="C17" i="8" s="1"/>
  <c r="D21" i="8"/>
  <c r="C21" i="8" s="1"/>
  <c r="D22" i="8"/>
  <c r="C22" i="8" s="1"/>
  <c r="D16" i="8"/>
  <c r="C16" i="8" s="1"/>
  <c r="D20" i="8"/>
  <c r="C20" i="8" s="1"/>
  <c r="D14" i="8"/>
  <c r="C14" i="8" s="1"/>
  <c r="C13" i="8"/>
  <c r="D18" i="8" l="1"/>
  <c r="C18" i="8"/>
  <c r="D5" i="6" l="1"/>
  <c r="C21" i="6" l="1"/>
  <c r="D21" i="6"/>
  <c r="B21" i="6"/>
  <c r="E21" i="6" l="1"/>
  <c r="D20" i="6"/>
  <c r="C20" i="6"/>
  <c r="B20" i="6"/>
  <c r="D19" i="6"/>
  <c r="C19" i="6"/>
  <c r="B19" i="6"/>
  <c r="D18" i="6"/>
  <c r="C18" i="6"/>
  <c r="B18" i="6"/>
  <c r="E19" i="6" l="1"/>
  <c r="E18" i="6"/>
  <c r="E20" i="6"/>
  <c r="D22" i="6" l="1"/>
  <c r="B22" i="6" l="1"/>
  <c r="C22" i="6"/>
  <c r="E22" i="6"/>
  <c r="D7" i="6" l="1"/>
  <c r="D6" i="6"/>
  <c r="D4" i="6"/>
  <c r="L195" i="2" l="1"/>
  <c r="N195" i="2"/>
  <c r="P195" i="2"/>
  <c r="R195" i="2"/>
  <c r="N187" i="2"/>
  <c r="R187" i="2"/>
  <c r="R188" i="2"/>
  <c r="R190" i="2"/>
  <c r="H191" i="2"/>
  <c r="R192" i="2"/>
  <c r="R193" i="2"/>
  <c r="R194" i="2"/>
  <c r="L50" i="2"/>
  <c r="N50" i="2"/>
  <c r="P50" i="2"/>
  <c r="R50" i="2"/>
  <c r="N51" i="2"/>
  <c r="R51" i="2"/>
  <c r="R52" i="2"/>
  <c r="R53" i="2"/>
  <c r="H54" i="2"/>
  <c r="R54" i="2"/>
  <c r="R55" i="2"/>
  <c r="R56" i="2"/>
  <c r="L58" i="2"/>
  <c r="N58" i="2"/>
  <c r="P58" i="2"/>
  <c r="R58" i="2"/>
  <c r="N59" i="2"/>
  <c r="R59" i="2"/>
  <c r="R60" i="2"/>
  <c r="R61" i="2"/>
  <c r="H62" i="2"/>
  <c r="R62" i="2"/>
  <c r="L66" i="2"/>
  <c r="N66" i="2"/>
  <c r="P66" i="2"/>
  <c r="R66" i="2"/>
  <c r="N67" i="2"/>
  <c r="R67" i="2"/>
  <c r="R68" i="2"/>
  <c r="R69" i="2"/>
  <c r="H70" i="2"/>
  <c r="R72" i="2"/>
  <c r="R73" i="2"/>
  <c r="L74" i="2"/>
  <c r="N74" i="2"/>
  <c r="P74" i="2"/>
  <c r="R74" i="2"/>
  <c r="N75" i="2"/>
  <c r="R75" i="2"/>
  <c r="R76" i="2"/>
  <c r="H78" i="2"/>
  <c r="R78" i="2"/>
  <c r="R79" i="2"/>
  <c r="R81" i="2"/>
  <c r="L82" i="2"/>
  <c r="N82" i="2"/>
  <c r="P82" i="2"/>
  <c r="R82" i="2"/>
  <c r="N83" i="2"/>
  <c r="R83" i="2"/>
  <c r="R84" i="2"/>
  <c r="R85" i="2"/>
  <c r="H86" i="2"/>
  <c r="R86" i="2"/>
  <c r="R87" i="2"/>
  <c r="R89" i="2"/>
  <c r="L90" i="2"/>
  <c r="N90" i="2"/>
  <c r="P90" i="2"/>
  <c r="R90" i="2"/>
  <c r="N91" i="2"/>
  <c r="R91" i="2"/>
  <c r="R92" i="2"/>
  <c r="R93" i="2"/>
  <c r="H94" i="2"/>
  <c r="R94" i="2"/>
  <c r="R95" i="2"/>
  <c r="R96" i="2"/>
  <c r="R97" i="2"/>
  <c r="L98" i="2"/>
  <c r="N98" i="2"/>
  <c r="P98" i="2"/>
  <c r="R98" i="2"/>
  <c r="N99" i="2"/>
  <c r="R99" i="2"/>
  <c r="R100" i="2"/>
  <c r="R101" i="2"/>
  <c r="H102" i="2"/>
  <c r="R102" i="2"/>
  <c r="L106" i="2"/>
  <c r="N106" i="2"/>
  <c r="P106" i="2"/>
  <c r="R106" i="2"/>
  <c r="N107" i="2"/>
  <c r="R107" i="2"/>
  <c r="H108" i="2"/>
  <c r="R109" i="2"/>
  <c r="H110" i="2"/>
  <c r="R112" i="2"/>
  <c r="R113" i="2"/>
  <c r="L114" i="2"/>
  <c r="N114" i="2"/>
  <c r="P114" i="2"/>
  <c r="R114" i="2"/>
  <c r="N115" i="2"/>
  <c r="R115" i="2"/>
  <c r="H116" i="2"/>
  <c r="R116" i="2"/>
  <c r="R117" i="2"/>
  <c r="H118" i="2"/>
  <c r="R118" i="2"/>
  <c r="R121" i="2"/>
  <c r="L122" i="2"/>
  <c r="N122" i="2"/>
  <c r="P122" i="2"/>
  <c r="R122" i="2"/>
  <c r="N123" i="2"/>
  <c r="R123" i="2"/>
  <c r="H124" i="2"/>
  <c r="R124" i="2"/>
  <c r="H126" i="2"/>
  <c r="R126" i="2"/>
  <c r="R127" i="2"/>
  <c r="R128" i="2"/>
  <c r="R129" i="2"/>
  <c r="L130" i="2"/>
  <c r="N130" i="2"/>
  <c r="P130" i="2"/>
  <c r="R130" i="2"/>
  <c r="N131" i="2"/>
  <c r="R131" i="2"/>
  <c r="H132" i="2"/>
  <c r="L132" i="2"/>
  <c r="R132" i="2"/>
  <c r="R133" i="2"/>
  <c r="H134" i="2"/>
  <c r="R135" i="2"/>
  <c r="R136" i="2"/>
  <c r="R137" i="2"/>
  <c r="L138" i="2"/>
  <c r="N138" i="2"/>
  <c r="P138" i="2"/>
  <c r="R138" i="2"/>
  <c r="N139" i="2"/>
  <c r="R139" i="2"/>
  <c r="H140" i="2"/>
  <c r="L140" i="2"/>
  <c r="R140" i="2"/>
  <c r="R141" i="2"/>
  <c r="H142" i="2"/>
  <c r="R144" i="2"/>
  <c r="L146" i="2"/>
  <c r="N146" i="2"/>
  <c r="P146" i="2"/>
  <c r="R146" i="2"/>
  <c r="N147" i="2"/>
  <c r="R147" i="2"/>
  <c r="H148" i="2"/>
  <c r="L148" i="2"/>
  <c r="R148" i="2"/>
  <c r="R149" i="2"/>
  <c r="H150" i="2"/>
  <c r="R150" i="2"/>
  <c r="R151" i="2"/>
  <c r="R153" i="2"/>
  <c r="L154" i="2"/>
  <c r="N154" i="2"/>
  <c r="P154" i="2"/>
  <c r="R154" i="2"/>
  <c r="N155" i="2"/>
  <c r="R155" i="2"/>
  <c r="H156" i="2"/>
  <c r="L156" i="2"/>
  <c r="R156" i="2"/>
  <c r="R157" i="2"/>
  <c r="H158" i="2"/>
  <c r="R159" i="2"/>
  <c r="R160" i="2"/>
  <c r="R161" i="2"/>
  <c r="L162" i="2"/>
  <c r="N162" i="2"/>
  <c r="P162" i="2"/>
  <c r="R162" i="2"/>
  <c r="N163" i="2"/>
  <c r="R163" i="2"/>
  <c r="H164" i="2"/>
  <c r="L164" i="2"/>
  <c r="R164" i="2"/>
  <c r="R165" i="2"/>
  <c r="H166" i="2"/>
  <c r="R168" i="2"/>
  <c r="R169" i="2"/>
  <c r="L170" i="2"/>
  <c r="N170" i="2"/>
  <c r="P170" i="2"/>
  <c r="R170" i="2"/>
  <c r="N171" i="2"/>
  <c r="R171" i="2"/>
  <c r="H172" i="2"/>
  <c r="L172" i="2"/>
  <c r="R172" i="2"/>
  <c r="R173" i="2"/>
  <c r="H174" i="2"/>
  <c r="R176" i="2"/>
  <c r="R177" i="2"/>
  <c r="L178" i="2"/>
  <c r="N178" i="2"/>
  <c r="P178" i="2"/>
  <c r="R178" i="2"/>
  <c r="N179" i="2"/>
  <c r="R179" i="2"/>
  <c r="H180" i="2"/>
  <c r="L180" i="2"/>
  <c r="R180" i="2"/>
  <c r="R181" i="2"/>
  <c r="H182" i="2"/>
  <c r="R182" i="2"/>
  <c r="R183" i="2"/>
  <c r="R184" i="2"/>
  <c r="R185" i="2"/>
  <c r="L186" i="2"/>
  <c r="N186" i="2"/>
  <c r="P186" i="2"/>
  <c r="R186" i="2"/>
  <c r="R105" i="2" l="1"/>
  <c r="R57" i="2"/>
  <c r="R111" i="2"/>
  <c r="R125" i="2"/>
  <c r="R145" i="2"/>
  <c r="H181" i="2"/>
  <c r="H173" i="2"/>
  <c r="H69" i="2"/>
  <c r="H61" i="2"/>
  <c r="H53" i="2"/>
  <c r="H190" i="2"/>
  <c r="F181" i="2"/>
  <c r="F173" i="2"/>
  <c r="F165" i="2"/>
  <c r="F157" i="2"/>
  <c r="F149" i="2"/>
  <c r="F141" i="2"/>
  <c r="F133" i="2"/>
  <c r="F125" i="2"/>
  <c r="F117" i="2"/>
  <c r="F109" i="2"/>
  <c r="F101" i="2"/>
  <c r="H100" i="2"/>
  <c r="F93" i="2"/>
  <c r="H92" i="2"/>
  <c r="F85" i="2"/>
  <c r="H84" i="2"/>
  <c r="F77" i="2"/>
  <c r="H76" i="2"/>
  <c r="F69" i="2"/>
  <c r="H68" i="2"/>
  <c r="F61" i="2"/>
  <c r="H60" i="2"/>
  <c r="F53" i="2"/>
  <c r="H52" i="2"/>
  <c r="F190" i="2"/>
  <c r="H188" i="2"/>
  <c r="F180" i="2"/>
  <c r="F172" i="2"/>
  <c r="F164" i="2"/>
  <c r="F156" i="2"/>
  <c r="F148" i="2"/>
  <c r="F140" i="2"/>
  <c r="H75" i="2"/>
  <c r="H67" i="2"/>
  <c r="H59" i="2"/>
  <c r="H51" i="2"/>
  <c r="H187" i="2"/>
  <c r="R77" i="2"/>
  <c r="N77" i="2"/>
  <c r="N69" i="2"/>
  <c r="N61" i="2"/>
  <c r="N53" i="2"/>
  <c r="R108" i="2"/>
  <c r="L61" i="2"/>
  <c r="L190" i="2"/>
  <c r="H165" i="2"/>
  <c r="H77" i="2"/>
  <c r="L187" i="2"/>
  <c r="H179" i="2"/>
  <c r="H163" i="2"/>
  <c r="H147" i="2"/>
  <c r="H139" i="2"/>
  <c r="H115" i="2"/>
  <c r="H91" i="2"/>
  <c r="H171" i="2"/>
  <c r="H155" i="2"/>
  <c r="H131" i="2"/>
  <c r="H123" i="2"/>
  <c r="H107" i="2"/>
  <c r="H99" i="2"/>
  <c r="H83" i="2"/>
  <c r="L69" i="2"/>
  <c r="L53" i="2"/>
  <c r="P187" i="2"/>
  <c r="R103" i="2"/>
  <c r="R80" i="2"/>
  <c r="R142" i="2"/>
  <c r="R119" i="2"/>
  <c r="R71" i="2"/>
  <c r="R134" i="2"/>
  <c r="R64" i="2"/>
  <c r="R88" i="2"/>
  <c r="P85" i="2"/>
  <c r="P77" i="2"/>
  <c r="P69" i="2"/>
  <c r="P61" i="2"/>
  <c r="P53" i="2"/>
  <c r="P190" i="2"/>
  <c r="F195" i="2"/>
  <c r="N190" i="2"/>
  <c r="R152" i="2"/>
  <c r="R175" i="2"/>
  <c r="R143" i="2"/>
  <c r="R63" i="2"/>
  <c r="R166" i="2"/>
  <c r="R110" i="2"/>
  <c r="R104" i="2"/>
  <c r="R158" i="2"/>
  <c r="N93" i="2"/>
  <c r="N85" i="2"/>
  <c r="R65" i="2"/>
  <c r="L173" i="2"/>
  <c r="L165" i="2"/>
  <c r="L93" i="2"/>
  <c r="L85" i="2"/>
  <c r="L77" i="2"/>
  <c r="N185" i="2"/>
  <c r="N153" i="2"/>
  <c r="N113" i="2"/>
  <c r="N105" i="2"/>
  <c r="P168" i="2"/>
  <c r="P160" i="2"/>
  <c r="N145" i="2"/>
  <c r="P136" i="2"/>
  <c r="P128" i="2"/>
  <c r="P120" i="2"/>
  <c r="P112" i="2"/>
  <c r="R120" i="2"/>
  <c r="P184" i="2"/>
  <c r="N177" i="2"/>
  <c r="P152" i="2"/>
  <c r="P144" i="2"/>
  <c r="N137" i="2"/>
  <c r="N129" i="2"/>
  <c r="N121" i="2"/>
  <c r="P104" i="2"/>
  <c r="P176" i="2"/>
  <c r="N169" i="2"/>
  <c r="N161" i="2"/>
  <c r="P96" i="2"/>
  <c r="N89" i="2"/>
  <c r="P88" i="2"/>
  <c r="N81" i="2"/>
  <c r="P72" i="2"/>
  <c r="P64" i="2"/>
  <c r="N57" i="2"/>
  <c r="N194" i="2"/>
  <c r="N112" i="2"/>
  <c r="N104" i="2"/>
  <c r="N64" i="2"/>
  <c r="H178" i="2"/>
  <c r="H170" i="2"/>
  <c r="H162" i="2"/>
  <c r="L160" i="2"/>
  <c r="H154" i="2"/>
  <c r="L152" i="2"/>
  <c r="H146" i="2"/>
  <c r="L144" i="2"/>
  <c r="H138" i="2"/>
  <c r="L136" i="2"/>
  <c r="H130" i="2"/>
  <c r="L128" i="2"/>
  <c r="H122" i="2"/>
  <c r="L120" i="2"/>
  <c r="H114" i="2"/>
  <c r="L112" i="2"/>
  <c r="H106" i="2"/>
  <c r="L104" i="2"/>
  <c r="H98" i="2"/>
  <c r="L96" i="2"/>
  <c r="H90" i="2"/>
  <c r="L88" i="2"/>
  <c r="H82" i="2"/>
  <c r="L80" i="2"/>
  <c r="H74" i="2"/>
  <c r="L72" i="2"/>
  <c r="H66" i="2"/>
  <c r="L64" i="2"/>
  <c r="H58" i="2"/>
  <c r="H50" i="2"/>
  <c r="L193" i="2"/>
  <c r="N97" i="2"/>
  <c r="P80" i="2"/>
  <c r="N73" i="2"/>
  <c r="N65" i="2"/>
  <c r="P56" i="2"/>
  <c r="P193" i="2"/>
  <c r="N184" i="2"/>
  <c r="N176" i="2"/>
  <c r="R174" i="2"/>
  <c r="N152" i="2"/>
  <c r="N96" i="2"/>
  <c r="N88" i="2"/>
  <c r="N80" i="2"/>
  <c r="N72" i="2"/>
  <c r="H186" i="2"/>
  <c r="F186" i="2"/>
  <c r="P181" i="2"/>
  <c r="F178" i="2"/>
  <c r="P173" i="2"/>
  <c r="F170" i="2"/>
  <c r="P165" i="2"/>
  <c r="F162" i="2"/>
  <c r="P157" i="2"/>
  <c r="F154" i="2"/>
  <c r="P149" i="2"/>
  <c r="F146" i="2"/>
  <c r="P141" i="2"/>
  <c r="F138" i="2"/>
  <c r="N134" i="2"/>
  <c r="P133" i="2"/>
  <c r="F130" i="2"/>
  <c r="N126" i="2"/>
  <c r="P125" i="2"/>
  <c r="F122" i="2"/>
  <c r="H121" i="2"/>
  <c r="N118" i="2"/>
  <c r="P117" i="2"/>
  <c r="F114" i="2"/>
  <c r="H113" i="2"/>
  <c r="N110" i="2"/>
  <c r="P109" i="2"/>
  <c r="F106" i="2"/>
  <c r="H105" i="2"/>
  <c r="N102" i="2"/>
  <c r="P101" i="2"/>
  <c r="F98" i="2"/>
  <c r="H97" i="2"/>
  <c r="N94" i="2"/>
  <c r="P93" i="2"/>
  <c r="F90" i="2"/>
  <c r="H89" i="2"/>
  <c r="N86" i="2"/>
  <c r="F82" i="2"/>
  <c r="H81" i="2"/>
  <c r="N78" i="2"/>
  <c r="F74" i="2"/>
  <c r="H73" i="2"/>
  <c r="N70" i="2"/>
  <c r="F66" i="2"/>
  <c r="H65" i="2"/>
  <c r="N62" i="2"/>
  <c r="F58" i="2"/>
  <c r="H57" i="2"/>
  <c r="N54" i="2"/>
  <c r="F50" i="2"/>
  <c r="H194" i="2"/>
  <c r="N191" i="2"/>
  <c r="N168" i="2"/>
  <c r="N160" i="2"/>
  <c r="N144" i="2"/>
  <c r="N136" i="2"/>
  <c r="N128" i="2"/>
  <c r="N120" i="2"/>
  <c r="R70" i="2"/>
  <c r="N56" i="2"/>
  <c r="N193" i="2"/>
  <c r="R191" i="2"/>
  <c r="H184" i="2"/>
  <c r="N181" i="2"/>
  <c r="H176" i="2"/>
  <c r="N173" i="2"/>
  <c r="H168" i="2"/>
  <c r="N165" i="2"/>
  <c r="H160" i="2"/>
  <c r="N157" i="2"/>
  <c r="H152" i="2"/>
  <c r="N149" i="2"/>
  <c r="H144" i="2"/>
  <c r="N141" i="2"/>
  <c r="H136" i="2"/>
  <c r="N133" i="2"/>
  <c r="H128" i="2"/>
  <c r="N125" i="2"/>
  <c r="H120" i="2"/>
  <c r="N117" i="2"/>
  <c r="H112" i="2"/>
  <c r="N109" i="2"/>
  <c r="H104" i="2"/>
  <c r="N101" i="2"/>
  <c r="H96" i="2"/>
  <c r="H88" i="2"/>
  <c r="H80" i="2"/>
  <c r="H72" i="2"/>
  <c r="H64" i="2"/>
  <c r="H56" i="2"/>
  <c r="H193" i="2"/>
  <c r="F160" i="2"/>
  <c r="F152" i="2"/>
  <c r="F144" i="2"/>
  <c r="F136" i="2"/>
  <c r="F128" i="2"/>
  <c r="F120" i="2"/>
  <c r="F112" i="2"/>
  <c r="F104" i="2"/>
  <c r="F96" i="2"/>
  <c r="F88" i="2"/>
  <c r="F64" i="2"/>
  <c r="F193" i="2"/>
  <c r="F183" i="2"/>
  <c r="F175" i="2"/>
  <c r="F167" i="2"/>
  <c r="F159" i="2"/>
  <c r="F151" i="2"/>
  <c r="F143" i="2"/>
  <c r="F135" i="2"/>
  <c r="F127" i="2"/>
  <c r="L124" i="2"/>
  <c r="F119" i="2"/>
  <c r="L116" i="2"/>
  <c r="F111" i="2"/>
  <c r="L108" i="2"/>
  <c r="F103" i="2"/>
  <c r="L100" i="2"/>
  <c r="F95" i="2"/>
  <c r="L92" i="2"/>
  <c r="F87" i="2"/>
  <c r="L84" i="2"/>
  <c r="F79" i="2"/>
  <c r="L76" i="2"/>
  <c r="F71" i="2"/>
  <c r="L68" i="2"/>
  <c r="F63" i="2"/>
  <c r="L60" i="2"/>
  <c r="F55" i="2"/>
  <c r="L52" i="2"/>
  <c r="F192" i="2"/>
  <c r="L188" i="2"/>
  <c r="P185" i="2"/>
  <c r="F182" i="2"/>
  <c r="L179" i="2"/>
  <c r="P177" i="2"/>
  <c r="F174" i="2"/>
  <c r="L171" i="2"/>
  <c r="P169" i="2"/>
  <c r="F166" i="2"/>
  <c r="L163" i="2"/>
  <c r="P161" i="2"/>
  <c r="F158" i="2"/>
  <c r="H157" i="2"/>
  <c r="L155" i="2"/>
  <c r="P153" i="2"/>
  <c r="F150" i="2"/>
  <c r="H149" i="2"/>
  <c r="L147" i="2"/>
  <c r="P145" i="2"/>
  <c r="F142" i="2"/>
  <c r="H141" i="2"/>
  <c r="L139" i="2"/>
  <c r="P137" i="2"/>
  <c r="F134" i="2"/>
  <c r="H133" i="2"/>
  <c r="L131" i="2"/>
  <c r="P129" i="2"/>
  <c r="F126" i="2"/>
  <c r="H125" i="2"/>
  <c r="L123" i="2"/>
  <c r="P121" i="2"/>
  <c r="F118" i="2"/>
  <c r="H117" i="2"/>
  <c r="L115" i="2"/>
  <c r="P113" i="2"/>
  <c r="F110" i="2"/>
  <c r="H109" i="2"/>
  <c r="L107" i="2"/>
  <c r="P105" i="2"/>
  <c r="F102" i="2"/>
  <c r="H101" i="2"/>
  <c r="L99" i="2"/>
  <c r="P97" i="2"/>
  <c r="F94" i="2"/>
  <c r="H93" i="2"/>
  <c r="L91" i="2"/>
  <c r="P89" i="2"/>
  <c r="F86" i="2"/>
  <c r="H85" i="2"/>
  <c r="L83" i="2"/>
  <c r="P81" i="2"/>
  <c r="F78" i="2"/>
  <c r="L75" i="2"/>
  <c r="P73" i="2"/>
  <c r="F70" i="2"/>
  <c r="L67" i="2"/>
  <c r="P65" i="2"/>
  <c r="F62" i="2"/>
  <c r="L59" i="2"/>
  <c r="P57" i="2"/>
  <c r="F54" i="2"/>
  <c r="L51" i="2"/>
  <c r="P194" i="2"/>
  <c r="F191" i="2"/>
  <c r="P183" i="2"/>
  <c r="P175" i="2"/>
  <c r="P167" i="2"/>
  <c r="L153" i="2"/>
  <c r="P151" i="2"/>
  <c r="L145" i="2"/>
  <c r="P143" i="2"/>
  <c r="L137" i="2"/>
  <c r="P135" i="2"/>
  <c r="F132" i="2"/>
  <c r="L129" i="2"/>
  <c r="P127" i="2"/>
  <c r="F124" i="2"/>
  <c r="L121" i="2"/>
  <c r="P119" i="2"/>
  <c r="F116" i="2"/>
  <c r="L113" i="2"/>
  <c r="P111" i="2"/>
  <c r="F108" i="2"/>
  <c r="L105" i="2"/>
  <c r="P103" i="2"/>
  <c r="F100" i="2"/>
  <c r="L97" i="2"/>
  <c r="P95" i="2"/>
  <c r="F92" i="2"/>
  <c r="L89" i="2"/>
  <c r="P87" i="2"/>
  <c r="F84" i="2"/>
  <c r="L81" i="2"/>
  <c r="P79" i="2"/>
  <c r="F76" i="2"/>
  <c r="L73" i="2"/>
  <c r="P71" i="2"/>
  <c r="F68" i="2"/>
  <c r="L65" i="2"/>
  <c r="P63" i="2"/>
  <c r="F60" i="2"/>
  <c r="L57" i="2"/>
  <c r="P55" i="2"/>
  <c r="F52" i="2"/>
  <c r="L194" i="2"/>
  <c r="P192" i="2"/>
  <c r="F188" i="2"/>
  <c r="L184" i="2"/>
  <c r="N183" i="2"/>
  <c r="P182" i="2"/>
  <c r="F179" i="2"/>
  <c r="L176" i="2"/>
  <c r="N175" i="2"/>
  <c r="P174" i="2"/>
  <c r="F171" i="2"/>
  <c r="L168" i="2"/>
  <c r="N167" i="2"/>
  <c r="P166" i="2"/>
  <c r="F163" i="2"/>
  <c r="N159" i="2"/>
  <c r="P158" i="2"/>
  <c r="F155" i="2"/>
  <c r="N151" i="2"/>
  <c r="P150" i="2"/>
  <c r="F147" i="2"/>
  <c r="N143" i="2"/>
  <c r="P142" i="2"/>
  <c r="F139" i="2"/>
  <c r="N135" i="2"/>
  <c r="P134" i="2"/>
  <c r="F131" i="2"/>
  <c r="N127" i="2"/>
  <c r="P126" i="2"/>
  <c r="F123" i="2"/>
  <c r="N119" i="2"/>
  <c r="P118" i="2"/>
  <c r="F115" i="2"/>
  <c r="N111" i="2"/>
  <c r="P110" i="2"/>
  <c r="F107" i="2"/>
  <c r="N103" i="2"/>
  <c r="P102" i="2"/>
  <c r="F99" i="2"/>
  <c r="N95" i="2"/>
  <c r="P94" i="2"/>
  <c r="F91" i="2"/>
  <c r="N87" i="2"/>
  <c r="P86" i="2"/>
  <c r="F83" i="2"/>
  <c r="N79" i="2"/>
  <c r="P78" i="2"/>
  <c r="F75" i="2"/>
  <c r="N71" i="2"/>
  <c r="P70" i="2"/>
  <c r="F67" i="2"/>
  <c r="N63" i="2"/>
  <c r="P62" i="2"/>
  <c r="F59" i="2"/>
  <c r="L56" i="2"/>
  <c r="N55" i="2"/>
  <c r="P54" i="2"/>
  <c r="F51" i="2"/>
  <c r="N192" i="2"/>
  <c r="P191" i="2"/>
  <c r="F187" i="2"/>
  <c r="H195" i="2"/>
  <c r="L185" i="2"/>
  <c r="L183" i="2"/>
  <c r="N174" i="2"/>
  <c r="H169" i="2"/>
  <c r="L167" i="2"/>
  <c r="H161" i="2"/>
  <c r="L159" i="2"/>
  <c r="N150" i="2"/>
  <c r="H145" i="2"/>
  <c r="L143" i="2"/>
  <c r="H137" i="2"/>
  <c r="L135" i="2"/>
  <c r="L127" i="2"/>
  <c r="L119" i="2"/>
  <c r="L111" i="2"/>
  <c r="L95" i="2"/>
  <c r="L79" i="2"/>
  <c r="L71" i="2"/>
  <c r="L63" i="2"/>
  <c r="L55" i="2"/>
  <c r="F185" i="2"/>
  <c r="L174" i="2"/>
  <c r="P172" i="2"/>
  <c r="F169" i="2"/>
  <c r="L166" i="2"/>
  <c r="P164" i="2"/>
  <c r="F161" i="2"/>
  <c r="F137" i="2"/>
  <c r="L126" i="2"/>
  <c r="P124" i="2"/>
  <c r="L118" i="2"/>
  <c r="P116" i="2"/>
  <c r="F113" i="2"/>
  <c r="P108" i="2"/>
  <c r="F105" i="2"/>
  <c r="P100" i="2"/>
  <c r="F97" i="2"/>
  <c r="L94" i="2"/>
  <c r="P92" i="2"/>
  <c r="F89" i="2"/>
  <c r="L86" i="2"/>
  <c r="P84" i="2"/>
  <c r="F81" i="2"/>
  <c r="L78" i="2"/>
  <c r="P76" i="2"/>
  <c r="F73" i="2"/>
  <c r="L70" i="2"/>
  <c r="P68" i="2"/>
  <c r="F65" i="2"/>
  <c r="L62" i="2"/>
  <c r="P60" i="2"/>
  <c r="F57" i="2"/>
  <c r="L54" i="2"/>
  <c r="P52" i="2"/>
  <c r="F194" i="2"/>
  <c r="L191" i="2"/>
  <c r="P188" i="2"/>
  <c r="R167" i="2"/>
  <c r="L177" i="2"/>
  <c r="L169" i="2"/>
  <c r="L161" i="2"/>
  <c r="P159" i="2"/>
  <c r="H185" i="2"/>
  <c r="N182" i="2"/>
  <c r="H177" i="2"/>
  <c r="L175" i="2"/>
  <c r="N166" i="2"/>
  <c r="N158" i="2"/>
  <c r="H153" i="2"/>
  <c r="L151" i="2"/>
  <c r="N142" i="2"/>
  <c r="H129" i="2"/>
  <c r="L103" i="2"/>
  <c r="L87" i="2"/>
  <c r="L192" i="2"/>
  <c r="L182" i="2"/>
  <c r="P180" i="2"/>
  <c r="F177" i="2"/>
  <c r="L158" i="2"/>
  <c r="P156" i="2"/>
  <c r="F153" i="2"/>
  <c r="L150" i="2"/>
  <c r="P148" i="2"/>
  <c r="F145" i="2"/>
  <c r="L142" i="2"/>
  <c r="P140" i="2"/>
  <c r="L134" i="2"/>
  <c r="P132" i="2"/>
  <c r="F129" i="2"/>
  <c r="F121" i="2"/>
  <c r="L110" i="2"/>
  <c r="L102" i="2"/>
  <c r="F184" i="2"/>
  <c r="H183" i="2"/>
  <c r="L181" i="2"/>
  <c r="N180" i="2"/>
  <c r="P179" i="2"/>
  <c r="F176" i="2"/>
  <c r="H175" i="2"/>
  <c r="N172" i="2"/>
  <c r="P171" i="2"/>
  <c r="F168" i="2"/>
  <c r="H167" i="2"/>
  <c r="N164" i="2"/>
  <c r="P163" i="2"/>
  <c r="H159" i="2"/>
  <c r="L157" i="2"/>
  <c r="N156" i="2"/>
  <c r="P155" i="2"/>
  <c r="H151" i="2"/>
  <c r="L149" i="2"/>
  <c r="N148" i="2"/>
  <c r="P147" i="2"/>
  <c r="H143" i="2"/>
  <c r="L141" i="2"/>
  <c r="N140" i="2"/>
  <c r="P139" i="2"/>
  <c r="H135" i="2"/>
  <c r="L133" i="2"/>
  <c r="N132" i="2"/>
  <c r="P131" i="2"/>
  <c r="H127" i="2"/>
  <c r="L125" i="2"/>
  <c r="N124" i="2"/>
  <c r="P123" i="2"/>
  <c r="H119" i="2"/>
  <c r="L117" i="2"/>
  <c r="N116" i="2"/>
  <c r="P115" i="2"/>
  <c r="H111" i="2"/>
  <c r="L109" i="2"/>
  <c r="N108" i="2"/>
  <c r="P107" i="2"/>
  <c r="H103" i="2"/>
  <c r="L101" i="2"/>
  <c r="N100" i="2"/>
  <c r="P99" i="2"/>
  <c r="H95" i="2"/>
  <c r="N92" i="2"/>
  <c r="P91" i="2"/>
  <c r="H87" i="2"/>
  <c r="N84" i="2"/>
  <c r="P83" i="2"/>
  <c r="F80" i="2"/>
  <c r="H79" i="2"/>
  <c r="N76" i="2"/>
  <c r="P75" i="2"/>
  <c r="F72" i="2"/>
  <c r="H71" i="2"/>
  <c r="N68" i="2"/>
  <c r="P67" i="2"/>
  <c r="H63" i="2"/>
  <c r="N60" i="2"/>
  <c r="P59" i="2"/>
  <c r="F56" i="2"/>
  <c r="H55" i="2"/>
  <c r="N52" i="2"/>
  <c r="P51" i="2"/>
  <c r="H192" i="2"/>
  <c r="N188" i="2"/>
  <c r="D196" i="2"/>
  <c r="D197" i="2" s="1"/>
  <c r="C196" i="2"/>
  <c r="C197" i="2" s="1"/>
  <c r="J196" i="2" l="1"/>
  <c r="F45" i="2"/>
  <c r="F37" i="2"/>
  <c r="F29" i="2"/>
  <c r="F21" i="2"/>
  <c r="F13" i="2"/>
  <c r="F49" i="2"/>
  <c r="F33" i="2"/>
  <c r="F41" i="2"/>
  <c r="F17" i="2"/>
  <c r="F25" i="2"/>
  <c r="H40" i="2"/>
  <c r="L40" i="2"/>
  <c r="N40" i="2"/>
  <c r="P40" i="2"/>
  <c r="R40" i="2"/>
  <c r="H31" i="2"/>
  <c r="H23" i="2"/>
  <c r="H15" i="2"/>
  <c r="L47" i="2"/>
  <c r="L39" i="2"/>
  <c r="L31" i="2"/>
  <c r="L23" i="2"/>
  <c r="L15" i="2"/>
  <c r="N47" i="2"/>
  <c r="N39" i="2"/>
  <c r="N31" i="2"/>
  <c r="N23" i="2"/>
  <c r="N15" i="2"/>
  <c r="P47" i="2"/>
  <c r="P39" i="2"/>
  <c r="P31" i="2"/>
  <c r="P23" i="2"/>
  <c r="P15" i="2"/>
  <c r="R47" i="2"/>
  <c r="R39" i="2"/>
  <c r="R31" i="2"/>
  <c r="R23" i="2"/>
  <c r="R15" i="2"/>
  <c r="F48" i="2"/>
  <c r="F44" i="2"/>
  <c r="F40" i="2"/>
  <c r="F36" i="2"/>
  <c r="F32" i="2"/>
  <c r="F28" i="2"/>
  <c r="F24" i="2"/>
  <c r="F20" i="2"/>
  <c r="F16" i="2"/>
  <c r="F12" i="2"/>
  <c r="H46" i="2"/>
  <c r="H38" i="2"/>
  <c r="H30" i="2"/>
  <c r="H22" i="2"/>
  <c r="H14" i="2"/>
  <c r="L46" i="2"/>
  <c r="L38" i="2"/>
  <c r="L30" i="2"/>
  <c r="L22" i="2"/>
  <c r="L14" i="2"/>
  <c r="N46" i="2"/>
  <c r="N38" i="2"/>
  <c r="N30" i="2"/>
  <c r="N22" i="2"/>
  <c r="N14" i="2"/>
  <c r="P46" i="2"/>
  <c r="P38" i="2"/>
  <c r="P30" i="2"/>
  <c r="P22" i="2"/>
  <c r="P14" i="2"/>
  <c r="R46" i="2"/>
  <c r="R38" i="2"/>
  <c r="R30" i="2"/>
  <c r="R22" i="2"/>
  <c r="R14" i="2"/>
  <c r="H32" i="2"/>
  <c r="L16" i="2"/>
  <c r="N32" i="2"/>
  <c r="P48" i="2"/>
  <c r="P24" i="2"/>
  <c r="R16" i="2"/>
  <c r="H47" i="2"/>
  <c r="H45" i="2"/>
  <c r="H21" i="2"/>
  <c r="H13" i="2"/>
  <c r="L45" i="2"/>
  <c r="L37" i="2"/>
  <c r="L29" i="2"/>
  <c r="L21" i="2"/>
  <c r="L13" i="2"/>
  <c r="N45" i="2"/>
  <c r="N37" i="2"/>
  <c r="N29" i="2"/>
  <c r="N21" i="2"/>
  <c r="N13" i="2"/>
  <c r="P45" i="2"/>
  <c r="P37" i="2"/>
  <c r="P29" i="2"/>
  <c r="P21" i="2"/>
  <c r="P13" i="2"/>
  <c r="R45" i="2"/>
  <c r="R37" i="2"/>
  <c r="R29" i="2"/>
  <c r="R21" i="2"/>
  <c r="R13" i="2"/>
  <c r="F47" i="2"/>
  <c r="F43" i="2"/>
  <c r="F39" i="2"/>
  <c r="F35" i="2"/>
  <c r="F31" i="2"/>
  <c r="F27" i="2"/>
  <c r="F23" i="2"/>
  <c r="F19" i="2"/>
  <c r="F15" i="2"/>
  <c r="F11" i="2"/>
  <c r="H44" i="2"/>
  <c r="H36" i="2"/>
  <c r="H28" i="2"/>
  <c r="H20" i="2"/>
  <c r="H12" i="2"/>
  <c r="L44" i="2"/>
  <c r="L36" i="2"/>
  <c r="L28" i="2"/>
  <c r="L20" i="2"/>
  <c r="L12" i="2"/>
  <c r="N44" i="2"/>
  <c r="N36" i="2"/>
  <c r="N28" i="2"/>
  <c r="N20" i="2"/>
  <c r="N12" i="2"/>
  <c r="P44" i="2"/>
  <c r="P36" i="2"/>
  <c r="P28" i="2"/>
  <c r="P20" i="2"/>
  <c r="P12" i="2"/>
  <c r="R44" i="2"/>
  <c r="R36" i="2"/>
  <c r="R28" i="2"/>
  <c r="R20" i="2"/>
  <c r="R12" i="2"/>
  <c r="H16" i="2"/>
  <c r="L48" i="2"/>
  <c r="L24" i="2"/>
  <c r="N16" i="2"/>
  <c r="P32" i="2"/>
  <c r="R48" i="2"/>
  <c r="R24" i="2"/>
  <c r="H39" i="2"/>
  <c r="H37" i="2"/>
  <c r="H35" i="2"/>
  <c r="H19" i="2"/>
  <c r="L35" i="2"/>
  <c r="L19" i="2"/>
  <c r="N43" i="2"/>
  <c r="N27" i="2"/>
  <c r="N11" i="2"/>
  <c r="P35" i="2"/>
  <c r="P19" i="2"/>
  <c r="R43" i="2"/>
  <c r="R35" i="2"/>
  <c r="R19" i="2"/>
  <c r="F46" i="2"/>
  <c r="F42" i="2"/>
  <c r="F38" i="2"/>
  <c r="F34" i="2"/>
  <c r="F30" i="2"/>
  <c r="F26" i="2"/>
  <c r="F22" i="2"/>
  <c r="F18" i="2"/>
  <c r="F14" i="2"/>
  <c r="H10" i="2"/>
  <c r="H42" i="2"/>
  <c r="H34" i="2"/>
  <c r="H26" i="2"/>
  <c r="H18" i="2"/>
  <c r="L10" i="2"/>
  <c r="L42" i="2"/>
  <c r="L34" i="2"/>
  <c r="L26" i="2"/>
  <c r="L18" i="2"/>
  <c r="N10" i="2"/>
  <c r="N42" i="2"/>
  <c r="N34" i="2"/>
  <c r="N26" i="2"/>
  <c r="N18" i="2"/>
  <c r="P10" i="2"/>
  <c r="P42" i="2"/>
  <c r="P34" i="2"/>
  <c r="P26" i="2"/>
  <c r="P18" i="2"/>
  <c r="R10" i="2"/>
  <c r="R42" i="2"/>
  <c r="R34" i="2"/>
  <c r="R26" i="2"/>
  <c r="R18" i="2"/>
  <c r="H48" i="2"/>
  <c r="H24" i="2"/>
  <c r="L32" i="2"/>
  <c r="N48" i="2"/>
  <c r="N24" i="2"/>
  <c r="P16" i="2"/>
  <c r="R32" i="2"/>
  <c r="H29" i="2"/>
  <c r="H43" i="2"/>
  <c r="H27" i="2"/>
  <c r="H11" i="2"/>
  <c r="L43" i="2"/>
  <c r="L27" i="2"/>
  <c r="L11" i="2"/>
  <c r="N35" i="2"/>
  <c r="N19" i="2"/>
  <c r="P43" i="2"/>
  <c r="P27" i="2"/>
  <c r="P11" i="2"/>
  <c r="R27" i="2"/>
  <c r="R11" i="2"/>
  <c r="F10" i="2"/>
  <c r="H49" i="2"/>
  <c r="H41" i="2"/>
  <c r="H33" i="2"/>
  <c r="H25" i="2"/>
  <c r="H17" i="2"/>
  <c r="L49" i="2"/>
  <c r="L41" i="2"/>
  <c r="L33" i="2"/>
  <c r="L25" i="2"/>
  <c r="L17" i="2"/>
  <c r="N49" i="2"/>
  <c r="N41" i="2"/>
  <c r="N33" i="2"/>
  <c r="N25" i="2"/>
  <c r="N17" i="2"/>
  <c r="P49" i="2"/>
  <c r="P41" i="2"/>
  <c r="P33" i="2"/>
  <c r="P25" i="2"/>
  <c r="P17" i="2"/>
  <c r="R49" i="2"/>
  <c r="R41" i="2"/>
  <c r="R33" i="2"/>
  <c r="R25" i="2"/>
  <c r="R17" i="2"/>
  <c r="K196" i="2"/>
  <c r="K197" i="2" s="1"/>
  <c r="Q196" i="2"/>
  <c r="Q197" i="2" s="1"/>
  <c r="G196" i="2"/>
  <c r="G197" i="2" s="1"/>
  <c r="M196" i="2"/>
  <c r="M197" i="2" s="1"/>
  <c r="O196" i="2"/>
  <c r="O197" i="2" s="1"/>
  <c r="E196" i="2"/>
  <c r="E197" i="2" s="1"/>
  <c r="E11" i="8"/>
  <c r="D11" i="8"/>
  <c r="B23" i="6"/>
  <c r="C23" i="6"/>
  <c r="N196" i="2" l="1"/>
  <c r="F196" i="2"/>
  <c r="H196" i="2"/>
  <c r="R196" i="2"/>
  <c r="L196" i="2"/>
  <c r="N11" i="8"/>
  <c r="F11" i="8"/>
  <c r="H11" i="8"/>
  <c r="P11" i="8"/>
  <c r="P196" i="2"/>
  <c r="R11" i="8"/>
  <c r="J11" i="8"/>
  <c r="L11" i="8"/>
  <c r="E23" i="6"/>
  <c r="F22" i="6"/>
  <c r="F19" i="6"/>
  <c r="F21" i="6"/>
  <c r="F20" i="6"/>
  <c r="D23" i="6"/>
  <c r="F18" i="6"/>
  <c r="E4" i="4"/>
  <c r="F4" i="4"/>
  <c r="G4" i="4"/>
  <c r="H4" i="4"/>
  <c r="I4" i="4"/>
  <c r="E5" i="4"/>
  <c r="D9" i="5" s="1"/>
  <c r="F5" i="4"/>
  <c r="E9" i="5" s="1"/>
  <c r="H5" i="4"/>
  <c r="I5" i="4"/>
  <c r="C10" i="5"/>
  <c r="E6" i="4"/>
  <c r="D10" i="5" s="1"/>
  <c r="F6" i="4"/>
  <c r="E10" i="5" s="1"/>
  <c r="G6" i="4"/>
  <c r="H6" i="4"/>
  <c r="I6" i="4"/>
  <c r="C11" i="5"/>
  <c r="E7" i="4"/>
  <c r="D11" i="5" s="1"/>
  <c r="F7" i="4"/>
  <c r="E11" i="5" s="1"/>
  <c r="G7" i="4"/>
  <c r="H7" i="4"/>
  <c r="I7" i="4"/>
  <c r="F8" i="4"/>
  <c r="G8" i="4"/>
  <c r="H8" i="4"/>
  <c r="I8" i="4"/>
  <c r="C13" i="5"/>
  <c r="E9" i="4"/>
  <c r="D13" i="5" s="1"/>
  <c r="F9" i="4"/>
  <c r="E13" i="5" s="1"/>
  <c r="G9" i="4"/>
  <c r="H9" i="4"/>
  <c r="I9" i="4"/>
  <c r="C14" i="5"/>
  <c r="E10" i="4"/>
  <c r="D14" i="5" s="1"/>
  <c r="F10" i="4"/>
  <c r="E14" i="5" s="1"/>
  <c r="G10" i="4"/>
  <c r="H10" i="4"/>
  <c r="I10" i="4"/>
  <c r="C15" i="5"/>
  <c r="E11" i="4"/>
  <c r="D15" i="5" s="1"/>
  <c r="F11" i="4"/>
  <c r="E15" i="5" s="1"/>
  <c r="G11" i="4"/>
  <c r="H11" i="4"/>
  <c r="I11" i="4"/>
  <c r="E12" i="4"/>
  <c r="F12" i="4"/>
  <c r="G12" i="4"/>
  <c r="H12" i="4"/>
  <c r="I12" i="4"/>
  <c r="C17" i="5"/>
  <c r="E13" i="4"/>
  <c r="D17" i="5" s="1"/>
  <c r="F13" i="4"/>
  <c r="E17" i="5" s="1"/>
  <c r="G13" i="4"/>
  <c r="H13" i="4"/>
  <c r="I13" i="4"/>
  <c r="C18" i="5"/>
  <c r="E14" i="4"/>
  <c r="D18" i="5" s="1"/>
  <c r="F14" i="4"/>
  <c r="E18" i="5" s="1"/>
  <c r="G14" i="4"/>
  <c r="H14" i="4"/>
  <c r="I14" i="4"/>
  <c r="C19" i="5"/>
  <c r="E15" i="4"/>
  <c r="D19" i="5" s="1"/>
  <c r="F15" i="4"/>
  <c r="E19" i="5" s="1"/>
  <c r="G15" i="4"/>
  <c r="H15" i="4"/>
  <c r="I15" i="4"/>
  <c r="C20" i="5"/>
  <c r="E16" i="4"/>
  <c r="D20" i="5" s="1"/>
  <c r="F16" i="4"/>
  <c r="E20" i="5" s="1"/>
  <c r="G16" i="4"/>
  <c r="H16" i="4"/>
  <c r="I16" i="4"/>
  <c r="C21" i="5"/>
  <c r="E17" i="4"/>
  <c r="D21" i="5" s="1"/>
  <c r="F17" i="4"/>
  <c r="E21" i="5" s="1"/>
  <c r="G17" i="4"/>
  <c r="H17" i="4"/>
  <c r="I17" i="4"/>
  <c r="E18" i="4"/>
  <c r="F18" i="4"/>
  <c r="G18" i="4"/>
  <c r="H18" i="4"/>
  <c r="I18" i="4"/>
  <c r="C23" i="5"/>
  <c r="E19" i="4"/>
  <c r="D23" i="5" s="1"/>
  <c r="F19" i="4"/>
  <c r="E23" i="5" s="1"/>
  <c r="G19" i="4"/>
  <c r="H19" i="4"/>
  <c r="I19" i="4"/>
  <c r="C24" i="5"/>
  <c r="E20" i="4"/>
  <c r="D24" i="5" s="1"/>
  <c r="F20" i="4"/>
  <c r="E24" i="5" s="1"/>
  <c r="G20" i="4"/>
  <c r="H20" i="4"/>
  <c r="I20" i="4"/>
  <c r="E21" i="4"/>
  <c r="F21" i="4"/>
  <c r="G21" i="4"/>
  <c r="H21" i="4"/>
  <c r="I21" i="4"/>
  <c r="C27" i="5"/>
  <c r="E23" i="4"/>
  <c r="D27" i="5" s="1"/>
  <c r="F23" i="4"/>
  <c r="E27" i="5" s="1"/>
  <c r="G23" i="4"/>
  <c r="H23" i="4"/>
  <c r="I23" i="4"/>
  <c r="C28" i="5"/>
  <c r="E24" i="4"/>
  <c r="D28" i="5" s="1"/>
  <c r="F24" i="4"/>
  <c r="E28" i="5" s="1"/>
  <c r="G24" i="4"/>
  <c r="H24" i="4"/>
  <c r="I24" i="4"/>
  <c r="C29" i="5"/>
  <c r="E25" i="4"/>
  <c r="D29" i="5" s="1"/>
  <c r="F25" i="4"/>
  <c r="E29" i="5" s="1"/>
  <c r="G25" i="4"/>
  <c r="H25" i="4"/>
  <c r="I25" i="4"/>
  <c r="E26" i="4"/>
  <c r="F26" i="4"/>
  <c r="G26" i="4"/>
  <c r="H26" i="4"/>
  <c r="I26" i="4"/>
  <c r="C31" i="5"/>
  <c r="E27" i="4"/>
  <c r="D31" i="5" s="1"/>
  <c r="D30" i="5" s="1"/>
  <c r="F27" i="4"/>
  <c r="E31" i="5" s="1"/>
  <c r="E30" i="5" s="1"/>
  <c r="G27" i="4"/>
  <c r="H27" i="4"/>
  <c r="I27" i="4"/>
  <c r="E29" i="4"/>
  <c r="F29" i="4"/>
  <c r="G29" i="4"/>
  <c r="H29" i="4"/>
  <c r="I29" i="4"/>
  <c r="C34" i="5"/>
  <c r="E30" i="4"/>
  <c r="D34" i="5" s="1"/>
  <c r="F30" i="4"/>
  <c r="E34" i="5" s="1"/>
  <c r="G30" i="4"/>
  <c r="H30" i="4"/>
  <c r="I30" i="4"/>
  <c r="C35" i="5"/>
  <c r="E31" i="4"/>
  <c r="D35" i="5" s="1"/>
  <c r="F31" i="4"/>
  <c r="E35" i="5" s="1"/>
  <c r="G31" i="4"/>
  <c r="H31" i="4"/>
  <c r="I31" i="4"/>
  <c r="C36" i="5"/>
  <c r="E32" i="4"/>
  <c r="D36" i="5" s="1"/>
  <c r="F32" i="4"/>
  <c r="E36" i="5" s="1"/>
  <c r="G32" i="4"/>
  <c r="H32" i="4"/>
  <c r="I32" i="4"/>
  <c r="C37" i="5"/>
  <c r="E33" i="4"/>
  <c r="D37" i="5" s="1"/>
  <c r="F33" i="4"/>
  <c r="E37" i="5" s="1"/>
  <c r="G33" i="4"/>
  <c r="H33" i="4"/>
  <c r="I33" i="4"/>
  <c r="C38" i="5"/>
  <c r="E34" i="4"/>
  <c r="D38" i="5" s="1"/>
  <c r="F34" i="4"/>
  <c r="E38" i="5" s="1"/>
  <c r="G34" i="4"/>
  <c r="H34" i="4"/>
  <c r="I34" i="4"/>
  <c r="E35" i="4"/>
  <c r="F35" i="4"/>
  <c r="G35" i="4"/>
  <c r="H35" i="4"/>
  <c r="I35" i="4"/>
  <c r="C40" i="5"/>
  <c r="E36" i="4"/>
  <c r="D40" i="5" s="1"/>
  <c r="F36" i="4"/>
  <c r="E40" i="5" s="1"/>
  <c r="G36" i="4"/>
  <c r="H36" i="4"/>
  <c r="I36" i="4"/>
  <c r="C41" i="5"/>
  <c r="E37" i="4"/>
  <c r="D41" i="5" s="1"/>
  <c r="F37" i="4"/>
  <c r="E41" i="5" s="1"/>
  <c r="G37" i="4"/>
  <c r="H37" i="4"/>
  <c r="I37" i="4"/>
  <c r="C42" i="5"/>
  <c r="E38" i="4"/>
  <c r="D42" i="5" s="1"/>
  <c r="F38" i="4"/>
  <c r="E42" i="5" s="1"/>
  <c r="G38" i="4"/>
  <c r="H38" i="4"/>
  <c r="I38" i="4"/>
  <c r="E39" i="4"/>
  <c r="D43" i="5" s="1"/>
  <c r="F39" i="4"/>
  <c r="E43" i="5" s="1"/>
  <c r="G39" i="4"/>
  <c r="H39" i="4"/>
  <c r="I39" i="4"/>
  <c r="C44" i="5"/>
  <c r="E40" i="4"/>
  <c r="D44" i="5" s="1"/>
  <c r="F40" i="4"/>
  <c r="E44" i="5" s="1"/>
  <c r="G40" i="4"/>
  <c r="H40" i="4"/>
  <c r="I40" i="4"/>
  <c r="E41" i="4"/>
  <c r="F41" i="4"/>
  <c r="G41" i="4"/>
  <c r="H41" i="4"/>
  <c r="I41" i="4"/>
  <c r="C46" i="5"/>
  <c r="E42" i="4"/>
  <c r="D46" i="5" s="1"/>
  <c r="F42" i="4"/>
  <c r="E46" i="5" s="1"/>
  <c r="G42" i="4"/>
  <c r="H42" i="4"/>
  <c r="I42" i="4"/>
  <c r="E43" i="4"/>
  <c r="D47" i="5" s="1"/>
  <c r="F43" i="4"/>
  <c r="E47" i="5" s="1"/>
  <c r="G43" i="4"/>
  <c r="H43" i="4"/>
  <c r="I43" i="4"/>
  <c r="C48" i="5"/>
  <c r="E44" i="4"/>
  <c r="D48" i="5" s="1"/>
  <c r="F44" i="4"/>
  <c r="E48" i="5" s="1"/>
  <c r="G44" i="4"/>
  <c r="H44" i="4"/>
  <c r="I44" i="4"/>
  <c r="C49" i="5"/>
  <c r="E45" i="4"/>
  <c r="D49" i="5" s="1"/>
  <c r="F45" i="4"/>
  <c r="E49" i="5" s="1"/>
  <c r="G45" i="4"/>
  <c r="H45" i="4"/>
  <c r="I45" i="4"/>
  <c r="C50" i="5"/>
  <c r="E46" i="4"/>
  <c r="D50" i="5" s="1"/>
  <c r="F46" i="4"/>
  <c r="E50" i="5" s="1"/>
  <c r="G46" i="4"/>
  <c r="H46" i="4"/>
  <c r="I46" i="4"/>
  <c r="E47" i="4"/>
  <c r="D51" i="5" s="1"/>
  <c r="F47" i="4"/>
  <c r="E51" i="5" s="1"/>
  <c r="G47" i="4"/>
  <c r="H47" i="4"/>
  <c r="I47" i="4"/>
  <c r="E48" i="4"/>
  <c r="F48" i="4"/>
  <c r="G48" i="4"/>
  <c r="H48" i="4"/>
  <c r="I48" i="4"/>
  <c r="C53" i="5"/>
  <c r="E49" i="4"/>
  <c r="D53" i="5" s="1"/>
  <c r="F49" i="4"/>
  <c r="E53" i="5" s="1"/>
  <c r="G49" i="4"/>
  <c r="H49" i="4"/>
  <c r="I49" i="4"/>
  <c r="C54" i="5"/>
  <c r="E50" i="4"/>
  <c r="D54" i="5" s="1"/>
  <c r="F50" i="4"/>
  <c r="E54" i="5" s="1"/>
  <c r="G50" i="4"/>
  <c r="H50" i="4"/>
  <c r="I50" i="4"/>
  <c r="E51" i="4"/>
  <c r="D55" i="5" s="1"/>
  <c r="F51" i="4"/>
  <c r="E55" i="5" s="1"/>
  <c r="G51" i="4"/>
  <c r="H51" i="4"/>
  <c r="I51" i="4"/>
  <c r="C56" i="5"/>
  <c r="E52" i="4"/>
  <c r="D56" i="5" s="1"/>
  <c r="F52" i="4"/>
  <c r="E56" i="5" s="1"/>
  <c r="G52" i="4"/>
  <c r="H52" i="4"/>
  <c r="I52" i="4"/>
  <c r="C57" i="5"/>
  <c r="E53" i="4"/>
  <c r="D57" i="5" s="1"/>
  <c r="F53" i="4"/>
  <c r="E57" i="5" s="1"/>
  <c r="G53" i="4"/>
  <c r="H53" i="4"/>
  <c r="I53" i="4"/>
  <c r="C58" i="5"/>
  <c r="E54" i="4"/>
  <c r="D58" i="5" s="1"/>
  <c r="F54" i="4"/>
  <c r="E58" i="5" s="1"/>
  <c r="G54" i="4"/>
  <c r="H54" i="4"/>
  <c r="I54" i="4"/>
  <c r="E55" i="4"/>
  <c r="D59" i="5" s="1"/>
  <c r="F55" i="4"/>
  <c r="E59" i="5" s="1"/>
  <c r="G55" i="4"/>
  <c r="H55" i="4"/>
  <c r="I55" i="4"/>
  <c r="E56" i="4"/>
  <c r="F56" i="4"/>
  <c r="G56" i="4"/>
  <c r="H56" i="4"/>
  <c r="I56" i="4"/>
  <c r="C61" i="5"/>
  <c r="E57" i="4"/>
  <c r="D61" i="5" s="1"/>
  <c r="F57" i="4"/>
  <c r="E61" i="5" s="1"/>
  <c r="G57" i="4"/>
  <c r="H57" i="4"/>
  <c r="I57" i="4"/>
  <c r="C62" i="5"/>
  <c r="E58" i="4"/>
  <c r="D62" i="5" s="1"/>
  <c r="F58" i="4"/>
  <c r="E62" i="5" s="1"/>
  <c r="G58" i="4"/>
  <c r="H58" i="4"/>
  <c r="I58" i="4"/>
  <c r="C63" i="5"/>
  <c r="E59" i="4"/>
  <c r="D63" i="5" s="1"/>
  <c r="F59" i="4"/>
  <c r="E63" i="5" s="1"/>
  <c r="G59" i="4"/>
  <c r="H59" i="4"/>
  <c r="I59" i="4"/>
  <c r="C64" i="5"/>
  <c r="E60" i="4"/>
  <c r="D64" i="5" s="1"/>
  <c r="F60" i="4"/>
  <c r="E64" i="5" s="1"/>
  <c r="G60" i="4"/>
  <c r="H60" i="4"/>
  <c r="I60" i="4"/>
  <c r="E61" i="4"/>
  <c r="F61" i="4"/>
  <c r="G61" i="4"/>
  <c r="H61" i="4"/>
  <c r="I61" i="4"/>
  <c r="C66" i="5"/>
  <c r="C65" i="5" s="1"/>
  <c r="E62" i="4"/>
  <c r="F62" i="4"/>
  <c r="E66" i="5" s="1"/>
  <c r="E65" i="5" s="1"/>
  <c r="G62" i="4"/>
  <c r="H62" i="4"/>
  <c r="I62" i="4"/>
  <c r="E63" i="4"/>
  <c r="F63" i="4"/>
  <c r="G63" i="4"/>
  <c r="H63" i="4"/>
  <c r="I63" i="4"/>
  <c r="C68" i="5"/>
  <c r="E64" i="4"/>
  <c r="D68" i="5" s="1"/>
  <c r="D67" i="5" s="1"/>
  <c r="F64" i="4"/>
  <c r="E68" i="5" s="1"/>
  <c r="E67" i="5" s="1"/>
  <c r="G64" i="4"/>
  <c r="H64" i="4"/>
  <c r="I64" i="4"/>
  <c r="E67" i="4"/>
  <c r="F67" i="4"/>
  <c r="G67" i="4"/>
  <c r="H67" i="4"/>
  <c r="I67" i="4"/>
  <c r="C72" i="5"/>
  <c r="E68" i="4"/>
  <c r="D72" i="5" s="1"/>
  <c r="F68" i="4"/>
  <c r="E72" i="5" s="1"/>
  <c r="G68" i="4"/>
  <c r="H68" i="4"/>
  <c r="I68" i="4"/>
  <c r="C73" i="5"/>
  <c r="E69" i="4"/>
  <c r="D73" i="5" s="1"/>
  <c r="F69" i="4"/>
  <c r="E73" i="5" s="1"/>
  <c r="G69" i="4"/>
  <c r="H69" i="4"/>
  <c r="I69" i="4"/>
  <c r="C74" i="5"/>
  <c r="E70" i="4"/>
  <c r="D74" i="5" s="1"/>
  <c r="F70" i="4"/>
  <c r="E74" i="5" s="1"/>
  <c r="G70" i="4"/>
  <c r="H70" i="4"/>
  <c r="I70" i="4"/>
  <c r="C75" i="5"/>
  <c r="E71" i="4"/>
  <c r="D75" i="5" s="1"/>
  <c r="F71" i="4"/>
  <c r="E75" i="5" s="1"/>
  <c r="G71" i="4"/>
  <c r="H71" i="4"/>
  <c r="I71" i="4"/>
  <c r="C76" i="5"/>
  <c r="E72" i="4"/>
  <c r="D76" i="5" s="1"/>
  <c r="F72" i="4"/>
  <c r="E76" i="5" s="1"/>
  <c r="G72" i="4"/>
  <c r="H72" i="4"/>
  <c r="I72" i="4"/>
  <c r="C77" i="5"/>
  <c r="E73" i="4"/>
  <c r="D77" i="5" s="1"/>
  <c r="F73" i="4"/>
  <c r="E77" i="5" s="1"/>
  <c r="G73" i="4"/>
  <c r="H73" i="4"/>
  <c r="I73" i="4"/>
  <c r="C78" i="5"/>
  <c r="E74" i="4"/>
  <c r="D78" i="5" s="1"/>
  <c r="F74" i="4"/>
  <c r="E78" i="5" s="1"/>
  <c r="G74" i="4"/>
  <c r="H74" i="4"/>
  <c r="I74" i="4"/>
  <c r="E75" i="4"/>
  <c r="F75" i="4"/>
  <c r="G75" i="4"/>
  <c r="H75" i="4"/>
  <c r="I75" i="4"/>
  <c r="C80" i="5"/>
  <c r="C79" i="5" s="1"/>
  <c r="E76" i="4"/>
  <c r="F76" i="4"/>
  <c r="E80" i="5" s="1"/>
  <c r="E79" i="5" s="1"/>
  <c r="G76" i="4"/>
  <c r="H76" i="4"/>
  <c r="I76" i="4"/>
  <c r="E77" i="4"/>
  <c r="F77" i="4"/>
  <c r="G77" i="4"/>
  <c r="H77" i="4"/>
  <c r="I77" i="4"/>
  <c r="C82" i="5"/>
  <c r="E78" i="4"/>
  <c r="D82" i="5" s="1"/>
  <c r="F78" i="4"/>
  <c r="E82" i="5" s="1"/>
  <c r="G78" i="4"/>
  <c r="H78" i="4"/>
  <c r="I78" i="4"/>
  <c r="C83" i="5"/>
  <c r="E79" i="4"/>
  <c r="D83" i="5" s="1"/>
  <c r="F79" i="4"/>
  <c r="E83" i="5" s="1"/>
  <c r="G79" i="4"/>
  <c r="H79" i="4"/>
  <c r="I79" i="4"/>
  <c r="C84" i="5"/>
  <c r="E80" i="4"/>
  <c r="D84" i="5" s="1"/>
  <c r="F80" i="4"/>
  <c r="E84" i="5" s="1"/>
  <c r="G80" i="4"/>
  <c r="H80" i="4"/>
  <c r="I80" i="4"/>
  <c r="E82" i="4"/>
  <c r="F82" i="4"/>
  <c r="G82" i="4"/>
  <c r="H82" i="4"/>
  <c r="I82" i="4"/>
  <c r="C87" i="5"/>
  <c r="E83" i="4"/>
  <c r="D87" i="5" s="1"/>
  <c r="F83" i="4"/>
  <c r="E87" i="5" s="1"/>
  <c r="G83" i="4"/>
  <c r="H83" i="4"/>
  <c r="I83" i="4"/>
  <c r="C88" i="5"/>
  <c r="E84" i="4"/>
  <c r="D88" i="5" s="1"/>
  <c r="F84" i="4"/>
  <c r="E88" i="5" s="1"/>
  <c r="G84" i="4"/>
  <c r="H84" i="4"/>
  <c r="I84" i="4"/>
  <c r="C89" i="5"/>
  <c r="E85" i="4"/>
  <c r="D89" i="5" s="1"/>
  <c r="F85" i="4"/>
  <c r="E89" i="5" s="1"/>
  <c r="G85" i="4"/>
  <c r="H85" i="4"/>
  <c r="I85" i="4"/>
  <c r="C90" i="5"/>
  <c r="E86" i="4"/>
  <c r="D90" i="5" s="1"/>
  <c r="F86" i="4"/>
  <c r="E90" i="5" s="1"/>
  <c r="G86" i="4"/>
  <c r="H86" i="4"/>
  <c r="I86" i="4"/>
  <c r="C91" i="5"/>
  <c r="E87" i="4"/>
  <c r="D91" i="5" s="1"/>
  <c r="F87" i="4"/>
  <c r="E91" i="5" s="1"/>
  <c r="G87" i="4"/>
  <c r="H87" i="4"/>
  <c r="I87" i="4"/>
  <c r="E88" i="4"/>
  <c r="F88" i="4"/>
  <c r="G88" i="4"/>
  <c r="H88" i="4"/>
  <c r="I88" i="4"/>
  <c r="C93" i="5"/>
  <c r="E89" i="4"/>
  <c r="D93" i="5" s="1"/>
  <c r="D92" i="5" s="1"/>
  <c r="F89" i="4"/>
  <c r="E93" i="5" s="1"/>
  <c r="E92" i="5" s="1"/>
  <c r="G89" i="4"/>
  <c r="H89" i="4"/>
  <c r="I89" i="4"/>
  <c r="C137" i="5"/>
  <c r="E133" i="4"/>
  <c r="D137" i="5" s="1"/>
  <c r="F133" i="4"/>
  <c r="E137" i="5" s="1"/>
  <c r="G133" i="4"/>
  <c r="H133" i="4"/>
  <c r="I133" i="4"/>
  <c r="C138" i="5"/>
  <c r="E134" i="4"/>
  <c r="D138" i="5" s="1"/>
  <c r="F134" i="4"/>
  <c r="E138" i="5" s="1"/>
  <c r="G134" i="4"/>
  <c r="H134" i="4"/>
  <c r="I134" i="4"/>
  <c r="E135" i="4"/>
  <c r="F135" i="4"/>
  <c r="G135" i="4"/>
  <c r="H135" i="4"/>
  <c r="H126" i="4" s="1"/>
  <c r="I135" i="4"/>
  <c r="I126" i="4" s="1"/>
  <c r="C140" i="5"/>
  <c r="C139" i="5" s="1"/>
  <c r="K139" i="5" s="1"/>
  <c r="E136" i="4"/>
  <c r="D140" i="5" s="1"/>
  <c r="D139" i="5" s="1"/>
  <c r="F136" i="4"/>
  <c r="E140" i="5" s="1"/>
  <c r="E139" i="5" s="1"/>
  <c r="G136" i="4"/>
  <c r="H136" i="4"/>
  <c r="I136" i="4"/>
  <c r="G8" i="1"/>
  <c r="E38" i="3" s="1"/>
  <c r="G9" i="1"/>
  <c r="E39" i="3" s="1"/>
  <c r="G10" i="1"/>
  <c r="G11" i="1"/>
  <c r="G21" i="1" s="1"/>
  <c r="G12" i="1"/>
  <c r="F8" i="1"/>
  <c r="D38" i="3" s="1"/>
  <c r="H8" i="1"/>
  <c r="F9" i="1"/>
  <c r="D39" i="3" s="1"/>
  <c r="H9" i="1"/>
  <c r="F10" i="1"/>
  <c r="H10" i="1"/>
  <c r="F11" i="1"/>
  <c r="F21" i="1" s="1"/>
  <c r="H11" i="1"/>
  <c r="F12" i="1"/>
  <c r="H12" i="1"/>
  <c r="H7" i="1"/>
  <c r="F7" i="1"/>
  <c r="E8" i="1"/>
  <c r="E9" i="1"/>
  <c r="E10" i="1"/>
  <c r="E11" i="1"/>
  <c r="E21" i="1" s="1"/>
  <c r="E12" i="1"/>
  <c r="E7" i="1"/>
  <c r="E18" i="1" s="1"/>
  <c r="D8" i="1"/>
  <c r="D8" i="3" s="1"/>
  <c r="D9" i="1"/>
  <c r="D9" i="3" s="1"/>
  <c r="D10" i="1"/>
  <c r="D10" i="3" s="1"/>
  <c r="D11" i="1"/>
  <c r="D12" i="1"/>
  <c r="D12" i="3" s="1"/>
  <c r="D7" i="1"/>
  <c r="C8" i="1"/>
  <c r="C9" i="1"/>
  <c r="C9" i="3" s="1"/>
  <c r="B6" i="6" s="1"/>
  <c r="C10" i="1"/>
  <c r="C10" i="3" s="1"/>
  <c r="B7" i="6" s="1"/>
  <c r="C11" i="1"/>
  <c r="C12" i="1"/>
  <c r="C7" i="1"/>
  <c r="J12" i="1"/>
  <c r="J22" i="1" s="1"/>
  <c r="K89" i="4"/>
  <c r="G93" i="5" s="1"/>
  <c r="G92" i="5" s="1"/>
  <c r="K87" i="4"/>
  <c r="G91" i="5" s="1"/>
  <c r="K76" i="4"/>
  <c r="G80" i="5" s="1"/>
  <c r="G79" i="5" s="1"/>
  <c r="J9" i="1"/>
  <c r="K63" i="4"/>
  <c r="I7" i="1" l="1"/>
  <c r="F7" i="3"/>
  <c r="K7" i="1"/>
  <c r="I8" i="1"/>
  <c r="I9" i="1"/>
  <c r="H18" i="1"/>
  <c r="H22" i="1"/>
  <c r="I12" i="1"/>
  <c r="H21" i="1"/>
  <c r="I11" i="1"/>
  <c r="H20" i="1"/>
  <c r="I10" i="1"/>
  <c r="J4" i="4"/>
  <c r="E12" i="5"/>
  <c r="E8" i="5"/>
  <c r="J89" i="4"/>
  <c r="F93" i="5" s="1"/>
  <c r="F92" i="5" s="1"/>
  <c r="J85" i="4"/>
  <c r="F89" i="5" s="1"/>
  <c r="I81" i="4"/>
  <c r="J80" i="4"/>
  <c r="F84" i="5" s="1"/>
  <c r="J76" i="4"/>
  <c r="F80" i="5" s="1"/>
  <c r="F79" i="5" s="1"/>
  <c r="J72" i="4"/>
  <c r="F76" i="5" s="1"/>
  <c r="J68" i="4"/>
  <c r="F72" i="5" s="1"/>
  <c r="J20" i="4"/>
  <c r="F24" i="5" s="1"/>
  <c r="C60" i="5"/>
  <c r="C136" i="5"/>
  <c r="E45" i="5"/>
  <c r="E136" i="5"/>
  <c r="E130" i="5" s="1"/>
  <c r="E33" i="5"/>
  <c r="J133" i="4"/>
  <c r="F137" i="5" s="1"/>
  <c r="E81" i="5"/>
  <c r="C86" i="5"/>
  <c r="C81" i="5"/>
  <c r="E60" i="5"/>
  <c r="E52" i="5"/>
  <c r="E22" i="5"/>
  <c r="J16" i="4"/>
  <c r="F20" i="5" s="1"/>
  <c r="J12" i="4"/>
  <c r="J8" i="4"/>
  <c r="C33" i="5"/>
  <c r="E16" i="5"/>
  <c r="C71" i="5"/>
  <c r="J64" i="4"/>
  <c r="F68" i="5" s="1"/>
  <c r="F67" i="5" s="1"/>
  <c r="J60" i="4"/>
  <c r="F64" i="5" s="1"/>
  <c r="J56" i="4"/>
  <c r="J52" i="4"/>
  <c r="F56" i="5" s="1"/>
  <c r="J48" i="4"/>
  <c r="J44" i="4"/>
  <c r="F48" i="5" s="1"/>
  <c r="J40" i="4"/>
  <c r="F44" i="5" s="1"/>
  <c r="J36" i="4"/>
  <c r="F40" i="5" s="1"/>
  <c r="J32" i="4"/>
  <c r="F36" i="5" s="1"/>
  <c r="J27" i="4"/>
  <c r="F31" i="5" s="1"/>
  <c r="F30" i="5" s="1"/>
  <c r="J23" i="4"/>
  <c r="F27" i="5" s="1"/>
  <c r="D81" i="4"/>
  <c r="L55" i="4"/>
  <c r="H59" i="5" s="1"/>
  <c r="C59" i="5"/>
  <c r="L51" i="4"/>
  <c r="H55" i="5" s="1"/>
  <c r="C55" i="5"/>
  <c r="L47" i="4"/>
  <c r="H51" i="5" s="1"/>
  <c r="C51" i="5"/>
  <c r="L43" i="4"/>
  <c r="H47" i="5" s="1"/>
  <c r="C47" i="5"/>
  <c r="L39" i="4"/>
  <c r="H43" i="5" s="1"/>
  <c r="C43" i="5"/>
  <c r="C39" i="5" s="1"/>
  <c r="E39" i="5"/>
  <c r="L35" i="4"/>
  <c r="H39" i="5" s="1"/>
  <c r="E25" i="5"/>
  <c r="E71" i="5"/>
  <c r="E86" i="5"/>
  <c r="L63" i="4"/>
  <c r="H67" i="5" s="1"/>
  <c r="D136" i="5"/>
  <c r="D130" i="5" s="1"/>
  <c r="D81" i="5"/>
  <c r="D60" i="5"/>
  <c r="D86" i="5"/>
  <c r="D71" i="5"/>
  <c r="D52" i="5"/>
  <c r="D22" i="5"/>
  <c r="D45" i="5"/>
  <c r="D39" i="5"/>
  <c r="D33" i="5"/>
  <c r="D25" i="5"/>
  <c r="D16" i="5"/>
  <c r="D12" i="5"/>
  <c r="D8" i="5"/>
  <c r="D80" i="5"/>
  <c r="D79" i="5" s="1"/>
  <c r="D66" i="5"/>
  <c r="D65" i="5" s="1"/>
  <c r="D115" i="5"/>
  <c r="J53" i="4"/>
  <c r="F57" i="5" s="1"/>
  <c r="J41" i="4"/>
  <c r="J29" i="4"/>
  <c r="J17" i="4"/>
  <c r="F21" i="5" s="1"/>
  <c r="J82" i="4"/>
  <c r="J73" i="4"/>
  <c r="F77" i="5" s="1"/>
  <c r="J54" i="4"/>
  <c r="F58" i="5" s="1"/>
  <c r="J42" i="4"/>
  <c r="F46" i="5" s="1"/>
  <c r="J30" i="4"/>
  <c r="F34" i="5" s="1"/>
  <c r="J25" i="4"/>
  <c r="F29" i="5" s="1"/>
  <c r="J14" i="4"/>
  <c r="F18" i="5" s="1"/>
  <c r="J10" i="4"/>
  <c r="F14" i="5" s="1"/>
  <c r="J6" i="4"/>
  <c r="F10" i="5" s="1"/>
  <c r="J87" i="4"/>
  <c r="F91" i="5" s="1"/>
  <c r="J83" i="4"/>
  <c r="F87" i="5" s="1"/>
  <c r="J78" i="4"/>
  <c r="F82" i="5" s="1"/>
  <c r="J74" i="4"/>
  <c r="F78" i="5" s="1"/>
  <c r="J70" i="4"/>
  <c r="F74" i="5" s="1"/>
  <c r="J18" i="4"/>
  <c r="J134" i="4"/>
  <c r="F138" i="5" s="1"/>
  <c r="J61" i="4"/>
  <c r="J45" i="4"/>
  <c r="F49" i="5" s="1"/>
  <c r="J33" i="4"/>
  <c r="F37" i="5" s="1"/>
  <c r="J9" i="4"/>
  <c r="F13" i="5" s="1"/>
  <c r="J86" i="4"/>
  <c r="F90" i="5" s="1"/>
  <c r="J69" i="4"/>
  <c r="F73" i="5" s="1"/>
  <c r="J62" i="4"/>
  <c r="F66" i="5" s="1"/>
  <c r="F65" i="5" s="1"/>
  <c r="J46" i="4"/>
  <c r="F50" i="5" s="1"/>
  <c r="J34" i="4"/>
  <c r="F38" i="5" s="1"/>
  <c r="J63" i="4"/>
  <c r="J59" i="4"/>
  <c r="F63" i="5" s="1"/>
  <c r="J55" i="4"/>
  <c r="F59" i="5" s="1"/>
  <c r="J51" i="4"/>
  <c r="F55" i="5" s="1"/>
  <c r="J47" i="4"/>
  <c r="F51" i="5" s="1"/>
  <c r="J43" i="4"/>
  <c r="F47" i="5" s="1"/>
  <c r="J39" i="4"/>
  <c r="F43" i="5" s="1"/>
  <c r="J35" i="4"/>
  <c r="J31" i="4"/>
  <c r="F35" i="5" s="1"/>
  <c r="J26" i="4"/>
  <c r="J15" i="4"/>
  <c r="F19" i="5" s="1"/>
  <c r="J11" i="4"/>
  <c r="F15" i="5" s="1"/>
  <c r="J7" i="4"/>
  <c r="F11" i="5" s="1"/>
  <c r="J57" i="4"/>
  <c r="F61" i="5" s="1"/>
  <c r="J49" i="4"/>
  <c r="F53" i="5" s="1"/>
  <c r="J37" i="4"/>
  <c r="F41" i="5" s="1"/>
  <c r="J24" i="4"/>
  <c r="F28" i="5" s="1"/>
  <c r="J13" i="4"/>
  <c r="F17" i="5" s="1"/>
  <c r="J77" i="4"/>
  <c r="J21" i="4"/>
  <c r="J58" i="4"/>
  <c r="F62" i="5" s="1"/>
  <c r="J50" i="4"/>
  <c r="F54" i="5" s="1"/>
  <c r="J38" i="4"/>
  <c r="F42" i="5" s="1"/>
  <c r="J136" i="4"/>
  <c r="F140" i="5" s="1"/>
  <c r="F139" i="5" s="1"/>
  <c r="J88" i="4"/>
  <c r="J84" i="4"/>
  <c r="F88" i="5" s="1"/>
  <c r="J79" i="4"/>
  <c r="F83" i="5" s="1"/>
  <c r="J75" i="4"/>
  <c r="J71" i="4"/>
  <c r="F75" i="5" s="1"/>
  <c r="J67" i="4"/>
  <c r="J19" i="4"/>
  <c r="F23" i="5" s="1"/>
  <c r="G126" i="4"/>
  <c r="J135" i="4"/>
  <c r="J126" i="4" s="1"/>
  <c r="C30" i="5"/>
  <c r="L7" i="4"/>
  <c r="H11" i="5" s="1"/>
  <c r="L31" i="4"/>
  <c r="H35" i="5" s="1"/>
  <c r="L11" i="4"/>
  <c r="H15" i="5" s="1"/>
  <c r="J5" i="4"/>
  <c r="F9" i="5" s="1"/>
  <c r="L71" i="4"/>
  <c r="H75" i="5" s="1"/>
  <c r="H28" i="4"/>
  <c r="L88" i="4"/>
  <c r="H92" i="5" s="1"/>
  <c r="H81" i="4"/>
  <c r="L79" i="4"/>
  <c r="H83" i="5" s="1"/>
  <c r="L75" i="4"/>
  <c r="H79" i="5" s="1"/>
  <c r="L67" i="4"/>
  <c r="H71" i="5" s="1"/>
  <c r="H96" i="5"/>
  <c r="G81" i="4"/>
  <c r="L8" i="4"/>
  <c r="H12" i="5" s="1"/>
  <c r="H3" i="4"/>
  <c r="L133" i="4"/>
  <c r="H137" i="5" s="1"/>
  <c r="L64" i="4"/>
  <c r="H68" i="5" s="1"/>
  <c r="L60" i="4"/>
  <c r="H64" i="5" s="1"/>
  <c r="L56" i="4"/>
  <c r="H60" i="5" s="1"/>
  <c r="L52" i="4"/>
  <c r="H56" i="5" s="1"/>
  <c r="L48" i="4"/>
  <c r="H52" i="5" s="1"/>
  <c r="L36" i="4"/>
  <c r="H40" i="5" s="1"/>
  <c r="L23" i="4"/>
  <c r="H27" i="5" s="1"/>
  <c r="L16" i="4"/>
  <c r="H20" i="5" s="1"/>
  <c r="I3" i="4"/>
  <c r="L18" i="4"/>
  <c r="H22" i="5" s="1"/>
  <c r="I28" i="4"/>
  <c r="G28" i="4"/>
  <c r="L89" i="4"/>
  <c r="H93" i="5" s="1"/>
  <c r="L80" i="4"/>
  <c r="H84" i="5" s="1"/>
  <c r="L76" i="4"/>
  <c r="H80" i="5" s="1"/>
  <c r="L72" i="4"/>
  <c r="H76" i="5" s="1"/>
  <c r="L86" i="4"/>
  <c r="H90" i="5" s="1"/>
  <c r="L77" i="4"/>
  <c r="H81" i="5" s="1"/>
  <c r="L69" i="4"/>
  <c r="H73" i="5" s="1"/>
  <c r="L21" i="4"/>
  <c r="H25" i="5" s="1"/>
  <c r="L134" i="4"/>
  <c r="H138" i="5" s="1"/>
  <c r="H97" i="5"/>
  <c r="L53" i="4"/>
  <c r="H57" i="5" s="1"/>
  <c r="L45" i="4"/>
  <c r="H49" i="5" s="1"/>
  <c r="L41" i="4"/>
  <c r="H45" i="5" s="1"/>
  <c r="L37" i="4"/>
  <c r="H41" i="5" s="1"/>
  <c r="L24" i="4"/>
  <c r="H28" i="5" s="1"/>
  <c r="H128" i="5"/>
  <c r="H98" i="5"/>
  <c r="L62" i="4"/>
  <c r="H66" i="5" s="1"/>
  <c r="L54" i="4"/>
  <c r="H58" i="5" s="1"/>
  <c r="L50" i="4"/>
  <c r="H54" i="5" s="1"/>
  <c r="L42" i="4"/>
  <c r="H46" i="5" s="1"/>
  <c r="L10" i="4"/>
  <c r="H14" i="5" s="1"/>
  <c r="L87" i="4"/>
  <c r="H91" i="5" s="1"/>
  <c r="L83" i="4"/>
  <c r="H87" i="5" s="1"/>
  <c r="L78" i="4"/>
  <c r="H82" i="5" s="1"/>
  <c r="L74" i="4"/>
  <c r="H78" i="5" s="1"/>
  <c r="L70" i="4"/>
  <c r="H74" i="5" s="1"/>
  <c r="L66" i="4"/>
  <c r="H70" i="5" s="1"/>
  <c r="G3" i="4"/>
  <c r="F3" i="4"/>
  <c r="F81" i="4"/>
  <c r="F28" i="4"/>
  <c r="F126" i="4"/>
  <c r="L26" i="4"/>
  <c r="H30" i="5" s="1"/>
  <c r="L85" i="4"/>
  <c r="H89" i="5" s="1"/>
  <c r="L19" i="4"/>
  <c r="H23" i="5" s="1"/>
  <c r="L15" i="4"/>
  <c r="H19" i="5" s="1"/>
  <c r="L40" i="4"/>
  <c r="H44" i="5" s="1"/>
  <c r="L27" i="4"/>
  <c r="H31" i="5" s="1"/>
  <c r="D3" i="4"/>
  <c r="L4" i="4"/>
  <c r="H8" i="5" s="1"/>
  <c r="L61" i="4"/>
  <c r="H65" i="5" s="1"/>
  <c r="L49" i="4"/>
  <c r="H53" i="5" s="1"/>
  <c r="L33" i="4"/>
  <c r="H37" i="5" s="1"/>
  <c r="L29" i="4"/>
  <c r="H33" i="5" s="1"/>
  <c r="D28" i="4"/>
  <c r="L20" i="4"/>
  <c r="H24" i="5" s="1"/>
  <c r="L135" i="4"/>
  <c r="D126" i="4"/>
  <c r="L73" i="4"/>
  <c r="H77" i="5" s="1"/>
  <c r="L17" i="4"/>
  <c r="H21" i="5" s="1"/>
  <c r="L13" i="4"/>
  <c r="H17" i="5" s="1"/>
  <c r="L9" i="4"/>
  <c r="H13" i="5" s="1"/>
  <c r="L5" i="4"/>
  <c r="H9" i="5" s="1"/>
  <c r="L32" i="4"/>
  <c r="H36" i="5" s="1"/>
  <c r="L68" i="4"/>
  <c r="H72" i="5" s="1"/>
  <c r="L12" i="4"/>
  <c r="H16" i="5" s="1"/>
  <c r="L58" i="4"/>
  <c r="H62" i="5" s="1"/>
  <c r="L34" i="4"/>
  <c r="H38" i="5" s="1"/>
  <c r="M89" i="4"/>
  <c r="I93" i="5" s="1"/>
  <c r="L136" i="4"/>
  <c r="H140" i="5" s="1"/>
  <c r="L25" i="4"/>
  <c r="H29" i="5" s="1"/>
  <c r="L14" i="4"/>
  <c r="H18" i="5" s="1"/>
  <c r="L6" i="4"/>
  <c r="H10" i="5" s="1"/>
  <c r="H100" i="5"/>
  <c r="L44" i="4"/>
  <c r="H48" i="5" s="1"/>
  <c r="H101" i="5"/>
  <c r="L82" i="4"/>
  <c r="H86" i="5" s="1"/>
  <c r="L57" i="4"/>
  <c r="H61" i="5" s="1"/>
  <c r="L46" i="4"/>
  <c r="H50" i="5" s="1"/>
  <c r="L38" i="4"/>
  <c r="H42" i="5" s="1"/>
  <c r="L30" i="4"/>
  <c r="H34" i="5" s="1"/>
  <c r="L84" i="4"/>
  <c r="H88" i="5" s="1"/>
  <c r="L59" i="4"/>
  <c r="H63" i="5" s="1"/>
  <c r="E81" i="4"/>
  <c r="D85" i="5" s="1"/>
  <c r="E28" i="4"/>
  <c r="E126" i="4"/>
  <c r="E3" i="4"/>
  <c r="M87" i="4"/>
  <c r="I91" i="5" s="1"/>
  <c r="M63" i="4"/>
  <c r="I67" i="5" s="1"/>
  <c r="M76" i="4"/>
  <c r="I80" i="5" s="1"/>
  <c r="C7" i="3"/>
  <c r="B4" i="6" s="1"/>
  <c r="C18" i="1"/>
  <c r="C21" i="3" s="1"/>
  <c r="C11" i="3"/>
  <c r="B8" i="6" s="1"/>
  <c r="C21" i="1"/>
  <c r="D37" i="3"/>
  <c r="F18" i="1"/>
  <c r="D11" i="3"/>
  <c r="D21" i="1"/>
  <c r="D24" i="3" s="1"/>
  <c r="D7" i="3"/>
  <c r="D18" i="1"/>
  <c r="E8" i="3"/>
  <c r="C38" i="3"/>
  <c r="F38" i="3" s="1"/>
  <c r="E7" i="3"/>
  <c r="C37" i="3"/>
  <c r="E11" i="3"/>
  <c r="C41" i="3"/>
  <c r="E37" i="3"/>
  <c r="G20" i="1"/>
  <c r="E40" i="3"/>
  <c r="E12" i="3"/>
  <c r="C42" i="3"/>
  <c r="D41" i="3"/>
  <c r="F20" i="1"/>
  <c r="D40" i="3"/>
  <c r="F22" i="1"/>
  <c r="D42" i="3"/>
  <c r="E10" i="3"/>
  <c r="C40" i="3"/>
  <c r="G22" i="1"/>
  <c r="E42" i="3"/>
  <c r="E9" i="3"/>
  <c r="C39" i="3"/>
  <c r="E41" i="3"/>
  <c r="K134" i="4"/>
  <c r="G138" i="5" s="1"/>
  <c r="K71" i="4"/>
  <c r="G75" i="5" s="1"/>
  <c r="K48" i="4"/>
  <c r="K20" i="4"/>
  <c r="G24" i="5" s="1"/>
  <c r="K46" i="4"/>
  <c r="G50" i="5" s="1"/>
  <c r="K84" i="4"/>
  <c r="G88" i="5" s="1"/>
  <c r="K133" i="4"/>
  <c r="G137" i="5" s="1"/>
  <c r="J11" i="1"/>
  <c r="J21" i="1" s="1"/>
  <c r="K61" i="4"/>
  <c r="K82" i="4"/>
  <c r="K54" i="4"/>
  <c r="G58" i="5" s="1"/>
  <c r="K56" i="4"/>
  <c r="K58" i="4"/>
  <c r="G62" i="5" s="1"/>
  <c r="K60" i="4"/>
  <c r="G64" i="5" s="1"/>
  <c r="K79" i="4"/>
  <c r="G83" i="5" s="1"/>
  <c r="H7" i="3"/>
  <c r="H19" i="1"/>
  <c r="K38" i="4"/>
  <c r="G42" i="5" s="1"/>
  <c r="K6" i="4"/>
  <c r="G10" i="5" s="1"/>
  <c r="K12" i="4"/>
  <c r="K17" i="4"/>
  <c r="G21" i="5" s="1"/>
  <c r="K30" i="4"/>
  <c r="G34" i="5" s="1"/>
  <c r="K72" i="4"/>
  <c r="G76" i="5" s="1"/>
  <c r="D20" i="1"/>
  <c r="D23" i="3" s="1"/>
  <c r="K9" i="4"/>
  <c r="G13" i="5" s="1"/>
  <c r="K43" i="4"/>
  <c r="G47" i="5" s="1"/>
  <c r="K70" i="4"/>
  <c r="G74" i="5" s="1"/>
  <c r="K74" i="4"/>
  <c r="G78" i="5" s="1"/>
  <c r="K85" i="4"/>
  <c r="G89" i="5" s="1"/>
  <c r="J7" i="1"/>
  <c r="E19" i="1"/>
  <c r="E22" i="3" s="1"/>
  <c r="K39" i="4"/>
  <c r="G43" i="5" s="1"/>
  <c r="F19" i="1"/>
  <c r="K18" i="4"/>
  <c r="K23" i="4"/>
  <c r="G27" i="5" s="1"/>
  <c r="K37" i="4"/>
  <c r="G41" i="5" s="1"/>
  <c r="J10" i="1"/>
  <c r="G10" i="3" s="1"/>
  <c r="C7" i="6" s="1"/>
  <c r="E7" i="6" s="1"/>
  <c r="F7" i="6" s="1"/>
  <c r="G19" i="1"/>
  <c r="K15" i="4"/>
  <c r="G19" i="5" s="1"/>
  <c r="K41" i="4"/>
  <c r="K45" i="4"/>
  <c r="G49" i="5" s="1"/>
  <c r="K52" i="4"/>
  <c r="G56" i="5" s="1"/>
  <c r="K68" i="4"/>
  <c r="G72" i="5" s="1"/>
  <c r="K86" i="4"/>
  <c r="G90" i="5" s="1"/>
  <c r="K19" i="4"/>
  <c r="G23" i="5" s="1"/>
  <c r="K53" i="4"/>
  <c r="G57" i="5" s="1"/>
  <c r="K5" i="4"/>
  <c r="K32" i="4"/>
  <c r="G36" i="5" s="1"/>
  <c r="K35" i="4"/>
  <c r="K83" i="4"/>
  <c r="G87" i="5" s="1"/>
  <c r="K29" i="4"/>
  <c r="K25" i="4"/>
  <c r="G29" i="5" s="1"/>
  <c r="K40" i="4"/>
  <c r="G44" i="5" s="1"/>
  <c r="K64" i="4"/>
  <c r="G68" i="5" s="1"/>
  <c r="G67" i="5" s="1"/>
  <c r="K14" i="4"/>
  <c r="G18" i="5" s="1"/>
  <c r="K24" i="4"/>
  <c r="G28" i="5" s="1"/>
  <c r="K77" i="4"/>
  <c r="M77" i="4" s="1"/>
  <c r="K62" i="4"/>
  <c r="G66" i="5" s="1"/>
  <c r="G65" i="5" s="1"/>
  <c r="K33" i="4"/>
  <c r="G37" i="5" s="1"/>
  <c r="K136" i="4"/>
  <c r="G140" i="5" s="1"/>
  <c r="G139" i="5" s="1"/>
  <c r="K27" i="4"/>
  <c r="G31" i="5" s="1"/>
  <c r="G30" i="5" s="1"/>
  <c r="K31" i="4"/>
  <c r="G35" i="5" s="1"/>
  <c r="K42" i="4"/>
  <c r="G46" i="5" s="1"/>
  <c r="K10" i="4"/>
  <c r="G14" i="5" s="1"/>
  <c r="K44" i="4"/>
  <c r="G48" i="5" s="1"/>
  <c r="K34" i="4"/>
  <c r="G38" i="5" s="1"/>
  <c r="K8" i="4"/>
  <c r="K13" i="4"/>
  <c r="G17" i="5" s="1"/>
  <c r="J8" i="1"/>
  <c r="G8" i="3" s="1"/>
  <c r="C5" i="6" s="1"/>
  <c r="E5" i="6" s="1"/>
  <c r="K80" i="4"/>
  <c r="G84" i="5" s="1"/>
  <c r="C8" i="3"/>
  <c r="B5" i="6" s="1"/>
  <c r="C19" i="1"/>
  <c r="C22" i="3" s="1"/>
  <c r="K57" i="4"/>
  <c r="G61" i="5" s="1"/>
  <c r="K4" i="4"/>
  <c r="K11" i="4"/>
  <c r="G15" i="5" s="1"/>
  <c r="K16" i="4"/>
  <c r="G20" i="5" s="1"/>
  <c r="K55" i="4"/>
  <c r="G59" i="5" s="1"/>
  <c r="K69" i="4"/>
  <c r="G73" i="5" s="1"/>
  <c r="K47" i="4"/>
  <c r="G51" i="5" s="1"/>
  <c r="K73" i="4"/>
  <c r="G77" i="5" s="1"/>
  <c r="G25" i="3"/>
  <c r="E24" i="3"/>
  <c r="K67" i="4"/>
  <c r="K75" i="4"/>
  <c r="K88" i="4"/>
  <c r="K78" i="4"/>
  <c r="G82" i="5" s="1"/>
  <c r="K135" i="4"/>
  <c r="K26" i="4"/>
  <c r="M26" i="4" s="1"/>
  <c r="K7" i="4"/>
  <c r="G11" i="5" s="1"/>
  <c r="K21" i="4"/>
  <c r="M21" i="4" s="1"/>
  <c r="K49" i="4"/>
  <c r="G53" i="5" s="1"/>
  <c r="K59" i="4"/>
  <c r="G63" i="5" s="1"/>
  <c r="K36" i="4"/>
  <c r="G40" i="5" s="1"/>
  <c r="K51" i="4"/>
  <c r="G55" i="5" s="1"/>
  <c r="C12" i="3"/>
  <c r="B9" i="6" s="1"/>
  <c r="C22" i="1"/>
  <c r="C25" i="3" s="1"/>
  <c r="K50" i="4"/>
  <c r="G54" i="5" s="1"/>
  <c r="H99" i="5"/>
  <c r="H139" i="5"/>
  <c r="F23" i="6"/>
  <c r="H95" i="5"/>
  <c r="C20" i="1"/>
  <c r="E20" i="1"/>
  <c r="E23" i="3" s="1"/>
  <c r="D19" i="1"/>
  <c r="D22" i="3" s="1"/>
  <c r="D22" i="1"/>
  <c r="D25" i="3" s="1"/>
  <c r="E21" i="3"/>
  <c r="E22" i="1"/>
  <c r="E25" i="3" s="1"/>
  <c r="K12" i="1"/>
  <c r="H12" i="3" s="1"/>
  <c r="F11" i="3"/>
  <c r="L12" i="1"/>
  <c r="I12" i="3" s="1"/>
  <c r="L9" i="1"/>
  <c r="I9" i="3" s="1"/>
  <c r="G13" i="1"/>
  <c r="G14" i="1" s="1"/>
  <c r="G12" i="3"/>
  <c r="C9" i="6" s="1"/>
  <c r="E9" i="6" s="1"/>
  <c r="F12" i="3"/>
  <c r="K10" i="1"/>
  <c r="H10" i="3" s="1"/>
  <c r="K9" i="1"/>
  <c r="H9" i="3" s="1"/>
  <c r="F8" i="3"/>
  <c r="K11" i="1"/>
  <c r="H11" i="3" s="1"/>
  <c r="F9" i="3"/>
  <c r="F10" i="3"/>
  <c r="G9" i="3"/>
  <c r="C6" i="6" s="1"/>
  <c r="E6" i="6" s="1"/>
  <c r="F6" i="6" s="1"/>
  <c r="F13" i="1"/>
  <c r="F14" i="1" s="1"/>
  <c r="K8" i="1"/>
  <c r="H8" i="3" s="1"/>
  <c r="H13" i="1"/>
  <c r="C13" i="1"/>
  <c r="E13" i="1"/>
  <c r="E14" i="1" s="1"/>
  <c r="D13" i="1"/>
  <c r="D14" i="1" s="1"/>
  <c r="M18" i="1" l="1"/>
  <c r="C130" i="5"/>
  <c r="K130" i="5" s="1"/>
  <c r="K136" i="5"/>
  <c r="I20" i="1"/>
  <c r="H14" i="1"/>
  <c r="I13" i="1"/>
  <c r="H23" i="1"/>
  <c r="I19" i="1"/>
  <c r="I21" i="1"/>
  <c r="I22" i="1"/>
  <c r="I18" i="1"/>
  <c r="J18" i="1"/>
  <c r="G21" i="3" s="1"/>
  <c r="L7" i="1"/>
  <c r="I7" i="3" s="1"/>
  <c r="L126" i="4"/>
  <c r="H130" i="5" s="1"/>
  <c r="J3" i="4"/>
  <c r="C52" i="5"/>
  <c r="F22" i="5"/>
  <c r="C45" i="5"/>
  <c r="F25" i="5"/>
  <c r="F52" i="5"/>
  <c r="F71" i="5"/>
  <c r="E7" i="5"/>
  <c r="F8" i="5"/>
  <c r="F39" i="5"/>
  <c r="F60" i="5"/>
  <c r="F33" i="5"/>
  <c r="F12" i="5"/>
  <c r="F81" i="5"/>
  <c r="F45" i="5"/>
  <c r="F136" i="5"/>
  <c r="F130" i="5" s="1"/>
  <c r="F16" i="5"/>
  <c r="F86" i="5"/>
  <c r="D143" i="4"/>
  <c r="G136" i="5"/>
  <c r="G81" i="5"/>
  <c r="G22" i="5"/>
  <c r="G86" i="5"/>
  <c r="G39" i="5"/>
  <c r="G71" i="5"/>
  <c r="G60" i="5"/>
  <c r="G52" i="5"/>
  <c r="G45" i="5"/>
  <c r="G33" i="5"/>
  <c r="G25" i="5"/>
  <c r="G16" i="5"/>
  <c r="G12" i="5"/>
  <c r="D7" i="5"/>
  <c r="M34" i="4"/>
  <c r="I38" i="5" s="1"/>
  <c r="C92" i="5"/>
  <c r="C85" i="5" s="1"/>
  <c r="K85" i="5" s="1"/>
  <c r="F85" i="5"/>
  <c r="M136" i="4"/>
  <c r="I140" i="5" s="1"/>
  <c r="M134" i="4"/>
  <c r="I138" i="5" s="1"/>
  <c r="M133" i="4"/>
  <c r="I137" i="5" s="1"/>
  <c r="M78" i="4"/>
  <c r="I82" i="5" s="1"/>
  <c r="M73" i="4"/>
  <c r="I77" i="5" s="1"/>
  <c r="M69" i="4"/>
  <c r="I73" i="5" s="1"/>
  <c r="M62" i="4"/>
  <c r="I66" i="5" s="1"/>
  <c r="M57" i="4"/>
  <c r="I61" i="5" s="1"/>
  <c r="M50" i="4"/>
  <c r="I54" i="5" s="1"/>
  <c r="M53" i="4"/>
  <c r="I57" i="5" s="1"/>
  <c r="M49" i="4"/>
  <c r="I53" i="5" s="1"/>
  <c r="M44" i="4"/>
  <c r="I48" i="5" s="1"/>
  <c r="M42" i="4"/>
  <c r="I46" i="5" s="1"/>
  <c r="M37" i="4"/>
  <c r="I41" i="5" s="1"/>
  <c r="M36" i="4"/>
  <c r="I40" i="5" s="1"/>
  <c r="L81" i="4"/>
  <c r="H85" i="5" s="1"/>
  <c r="C8" i="5"/>
  <c r="C22" i="5"/>
  <c r="I94" i="5"/>
  <c r="J81" i="4"/>
  <c r="J28" i="4"/>
  <c r="C16" i="5"/>
  <c r="C12" i="5"/>
  <c r="M33" i="4"/>
  <c r="I37" i="5" s="1"/>
  <c r="M25" i="4"/>
  <c r="I29" i="5" s="1"/>
  <c r="M14" i="4"/>
  <c r="I18" i="5" s="1"/>
  <c r="M13" i="4"/>
  <c r="I17" i="5" s="1"/>
  <c r="M10" i="4"/>
  <c r="I14" i="5" s="1"/>
  <c r="M9" i="4"/>
  <c r="I13" i="5" s="1"/>
  <c r="M5" i="4"/>
  <c r="I9" i="5" s="1"/>
  <c r="G9" i="5"/>
  <c r="G8" i="5" s="1"/>
  <c r="H143" i="4"/>
  <c r="I143" i="4"/>
  <c r="I144" i="4" s="1"/>
  <c r="G143" i="4"/>
  <c r="G144" i="4" s="1"/>
  <c r="L3" i="4"/>
  <c r="F143" i="4"/>
  <c r="F144" i="4" s="1"/>
  <c r="E85" i="5"/>
  <c r="H94" i="5"/>
  <c r="M29" i="4"/>
  <c r="I33" i="5" s="1"/>
  <c r="K28" i="4"/>
  <c r="M135" i="4"/>
  <c r="K126" i="4"/>
  <c r="M82" i="4"/>
  <c r="I86" i="5" s="1"/>
  <c r="K81" i="4"/>
  <c r="M4" i="4"/>
  <c r="I8" i="5" s="1"/>
  <c r="K3" i="4"/>
  <c r="M3" i="4" s="1"/>
  <c r="E143" i="4"/>
  <c r="E144" i="4" s="1"/>
  <c r="M19" i="4"/>
  <c r="I23" i="5" s="1"/>
  <c r="M58" i="4"/>
  <c r="I62" i="5" s="1"/>
  <c r="I100" i="5"/>
  <c r="I101" i="5"/>
  <c r="M71" i="4"/>
  <c r="I75" i="5" s="1"/>
  <c r="M31" i="4"/>
  <c r="I35" i="5" s="1"/>
  <c r="I98" i="5"/>
  <c r="M85" i="4"/>
  <c r="I89" i="5" s="1"/>
  <c r="I96" i="5"/>
  <c r="M54" i="4"/>
  <c r="I58" i="5" s="1"/>
  <c r="M51" i="4"/>
  <c r="I55" i="5" s="1"/>
  <c r="M47" i="4"/>
  <c r="I51" i="5" s="1"/>
  <c r="M80" i="4"/>
  <c r="I84" i="5" s="1"/>
  <c r="M27" i="4"/>
  <c r="I31" i="5" s="1"/>
  <c r="M64" i="4"/>
  <c r="I68" i="5" s="1"/>
  <c r="G115" i="5"/>
  <c r="M39" i="4"/>
  <c r="I43" i="5" s="1"/>
  <c r="M74" i="4"/>
  <c r="I78" i="5" s="1"/>
  <c r="M72" i="4"/>
  <c r="I76" i="5" s="1"/>
  <c r="M15" i="4"/>
  <c r="I19" i="5" s="1"/>
  <c r="M38" i="4"/>
  <c r="I42" i="5" s="1"/>
  <c r="M7" i="4"/>
  <c r="I11" i="5" s="1"/>
  <c r="M86" i="4"/>
  <c r="I90" i="5" s="1"/>
  <c r="M75" i="4"/>
  <c r="I79" i="5" s="1"/>
  <c r="M16" i="4"/>
  <c r="I20" i="5" s="1"/>
  <c r="M83" i="4"/>
  <c r="I87" i="5" s="1"/>
  <c r="M68" i="4"/>
  <c r="I72" i="5" s="1"/>
  <c r="I99" i="5"/>
  <c r="M43" i="4"/>
  <c r="I47" i="5" s="1"/>
  <c r="M17" i="4"/>
  <c r="I21" i="5" s="1"/>
  <c r="M79" i="4"/>
  <c r="I83" i="5" s="1"/>
  <c r="I95" i="5"/>
  <c r="M24" i="4"/>
  <c r="I28" i="5" s="1"/>
  <c r="M23" i="4"/>
  <c r="I27" i="5" s="1"/>
  <c r="M61" i="4"/>
  <c r="I65" i="5" s="1"/>
  <c r="M18" i="4"/>
  <c r="I22" i="5" s="1"/>
  <c r="M88" i="4"/>
  <c r="I92" i="5" s="1"/>
  <c r="M40" i="4"/>
  <c r="I44" i="5" s="1"/>
  <c r="M30" i="4"/>
  <c r="I34" i="5" s="1"/>
  <c r="M11" i="4"/>
  <c r="I15" i="5" s="1"/>
  <c r="M35" i="4"/>
  <c r="I39" i="5" s="1"/>
  <c r="M52" i="4"/>
  <c r="I56" i="5" s="1"/>
  <c r="M12" i="4"/>
  <c r="I16" i="5" s="1"/>
  <c r="I97" i="5"/>
  <c r="M20" i="4"/>
  <c r="I24" i="5" s="1"/>
  <c r="M41" i="4"/>
  <c r="I45" i="5" s="1"/>
  <c r="M48" i="4"/>
  <c r="I52" i="5" s="1"/>
  <c r="M56" i="4"/>
  <c r="I60" i="5" s="1"/>
  <c r="M55" i="4"/>
  <c r="I59" i="5" s="1"/>
  <c r="M70" i="4"/>
  <c r="I74" i="5" s="1"/>
  <c r="M46" i="4"/>
  <c r="I50" i="5" s="1"/>
  <c r="M67" i="4"/>
  <c r="I71" i="5" s="1"/>
  <c r="M59" i="4"/>
  <c r="I63" i="5" s="1"/>
  <c r="M8" i="4"/>
  <c r="I12" i="5" s="1"/>
  <c r="M32" i="4"/>
  <c r="I36" i="5" s="1"/>
  <c r="M45" i="4"/>
  <c r="I49" i="5" s="1"/>
  <c r="M6" i="4"/>
  <c r="I10" i="5" s="1"/>
  <c r="M60" i="4"/>
  <c r="I64" i="5" s="1"/>
  <c r="M66" i="4"/>
  <c r="I70" i="5" s="1"/>
  <c r="M84" i="4"/>
  <c r="I88" i="5" s="1"/>
  <c r="M111" i="4"/>
  <c r="I115" i="5" s="1"/>
  <c r="I139" i="5"/>
  <c r="M140" i="4"/>
  <c r="I144" i="5" s="1"/>
  <c r="K18" i="1"/>
  <c r="H21" i="3" s="1"/>
  <c r="D13" i="3"/>
  <c r="G11" i="3"/>
  <c r="C8" i="6" s="1"/>
  <c r="E8" i="6" s="1"/>
  <c r="F8" i="6" s="1"/>
  <c r="G7" i="3"/>
  <c r="C4" i="6" s="1"/>
  <c r="F23" i="3"/>
  <c r="F24" i="3"/>
  <c r="F25" i="3"/>
  <c r="D43" i="3"/>
  <c r="E13" i="3"/>
  <c r="F41" i="3"/>
  <c r="F37" i="3"/>
  <c r="E43" i="3"/>
  <c r="C43" i="3"/>
  <c r="G23" i="1"/>
  <c r="F39" i="3"/>
  <c r="F40" i="3"/>
  <c r="F42" i="3"/>
  <c r="F9" i="6"/>
  <c r="F5" i="6"/>
  <c r="C13" i="3"/>
  <c r="L8" i="1"/>
  <c r="I8" i="3" s="1"/>
  <c r="J19" i="1"/>
  <c r="G22" i="3" s="1"/>
  <c r="J13" i="1"/>
  <c r="L13" i="1" s="1"/>
  <c r="B10" i="6"/>
  <c r="F22" i="3"/>
  <c r="L11" i="1"/>
  <c r="I11" i="3" s="1"/>
  <c r="L22" i="1"/>
  <c r="I25" i="3" s="1"/>
  <c r="J20" i="1"/>
  <c r="L20" i="1" s="1"/>
  <c r="I23" i="3" s="1"/>
  <c r="K19" i="1"/>
  <c r="H22" i="3" s="1"/>
  <c r="L10" i="1"/>
  <c r="I10" i="3" s="1"/>
  <c r="E26" i="3"/>
  <c r="I30" i="5"/>
  <c r="I81" i="5"/>
  <c r="D23" i="1"/>
  <c r="D21" i="3"/>
  <c r="D26" i="3" s="1"/>
  <c r="C14" i="1"/>
  <c r="K20" i="1"/>
  <c r="H23" i="3" s="1"/>
  <c r="C23" i="3"/>
  <c r="F21" i="3"/>
  <c r="C23" i="1"/>
  <c r="I25" i="5"/>
  <c r="K22" i="1"/>
  <c r="H25" i="3" s="1"/>
  <c r="K21" i="1"/>
  <c r="H24" i="3" s="1"/>
  <c r="C24" i="3"/>
  <c r="F23" i="1"/>
  <c r="F13" i="3"/>
  <c r="E23" i="1"/>
  <c r="K13" i="1"/>
  <c r="I23" i="1" l="1"/>
  <c r="F7" i="5"/>
  <c r="J7" i="5" s="1"/>
  <c r="G7" i="5"/>
  <c r="F32" i="5"/>
  <c r="L65" i="4"/>
  <c r="H69" i="5" s="1"/>
  <c r="E32" i="5"/>
  <c r="D32" i="5"/>
  <c r="C67" i="5"/>
  <c r="C32" i="5" s="1"/>
  <c r="K32" i="5" s="1"/>
  <c r="G130" i="5"/>
  <c r="M126" i="4"/>
  <c r="I130" i="5" s="1"/>
  <c r="I105" i="5"/>
  <c r="I104" i="5"/>
  <c r="I103" i="5"/>
  <c r="I128" i="5"/>
  <c r="I102" i="5"/>
  <c r="J143" i="4"/>
  <c r="M65" i="4"/>
  <c r="I69" i="5" s="1"/>
  <c r="D144" i="4"/>
  <c r="L28" i="4"/>
  <c r="H32" i="5" s="1"/>
  <c r="K143" i="4"/>
  <c r="K144" i="4" s="1"/>
  <c r="M81" i="4"/>
  <c r="I85" i="5" s="1"/>
  <c r="M28" i="4"/>
  <c r="I32" i="5" s="1"/>
  <c r="G85" i="5"/>
  <c r="C10" i="6"/>
  <c r="G13" i="3"/>
  <c r="F43" i="3"/>
  <c r="J14" i="1"/>
  <c r="L19" i="1"/>
  <c r="I22" i="3" s="1"/>
  <c r="L18" i="1"/>
  <c r="I21" i="3" s="1"/>
  <c r="C26" i="3"/>
  <c r="J23" i="1"/>
  <c r="L23" i="1" s="1"/>
  <c r="I26" i="3" s="1"/>
  <c r="G24" i="3"/>
  <c r="L21" i="1"/>
  <c r="I24" i="3" s="1"/>
  <c r="F26" i="3"/>
  <c r="G23" i="3"/>
  <c r="K23" i="1"/>
  <c r="H26" i="3" s="1"/>
  <c r="I13" i="3"/>
  <c r="I147" i="5"/>
  <c r="H13" i="3"/>
  <c r="H147" i="5"/>
  <c r="E147" i="5" l="1"/>
  <c r="E148" i="5" s="1"/>
  <c r="F147" i="5"/>
  <c r="F148" i="5" s="1"/>
  <c r="D147" i="5"/>
  <c r="D148" i="5" s="1"/>
  <c r="G32" i="5"/>
  <c r="C25" i="5"/>
  <c r="L22" i="4"/>
  <c r="H26" i="5" s="1"/>
  <c r="M22" i="4"/>
  <c r="I26" i="5" s="1"/>
  <c r="G26" i="3"/>
  <c r="G147" i="5" l="1"/>
  <c r="G148" i="5" s="1"/>
  <c r="C7" i="5"/>
  <c r="M143" i="4"/>
  <c r="L143" i="4"/>
  <c r="I7" i="5"/>
  <c r="H7" i="5"/>
  <c r="D10" i="6"/>
  <c r="E4" i="6"/>
  <c r="C147" i="5" l="1"/>
  <c r="C148" i="5" s="1"/>
  <c r="K7" i="5"/>
  <c r="E10" i="6"/>
  <c r="F4" i="6"/>
  <c r="F10" i="6" l="1"/>
  <c r="E25" i="6"/>
  <c r="AD8" i="11" l="1"/>
  <c r="AD12" i="11" s="1"/>
  <c r="M7" i="10"/>
  <c r="AE8" i="11" s="1"/>
  <c r="AV7" i="11" s="1"/>
  <c r="L11" i="10"/>
  <c r="C11" i="10"/>
  <c r="K7" i="10"/>
  <c r="D3" i="12"/>
  <c r="O7" i="10"/>
  <c r="N11" i="10"/>
  <c r="J11" i="10"/>
  <c r="D10" i="10" l="1"/>
  <c r="F11" i="10"/>
  <c r="D8" i="10"/>
  <c r="D9" i="10"/>
  <c r="O11" i="10"/>
  <c r="N12" i="10"/>
  <c r="M11" i="10"/>
  <c r="L12" i="10"/>
  <c r="D6" i="10"/>
  <c r="C12" i="10"/>
  <c r="H7" i="10"/>
  <c r="I7" i="10"/>
  <c r="G11" i="10"/>
  <c r="K11" i="10" s="1"/>
  <c r="F7" i="10"/>
  <c r="D7" i="10"/>
  <c r="E11" i="12"/>
  <c r="C3" i="12"/>
  <c r="E3" i="12" l="1"/>
  <c r="C25" i="12"/>
  <c r="Q6" i="10"/>
  <c r="I11" i="10"/>
  <c r="H11" i="10"/>
  <c r="G12" i="10"/>
</calcChain>
</file>

<file path=xl/comments1.xml><?xml version="1.0" encoding="utf-8"?>
<comments xmlns="http://schemas.openxmlformats.org/spreadsheetml/2006/main">
  <authors>
    <author>Karol Arroyo Hernadez</author>
  </authors>
  <commentList>
    <comment ref="D197" authorId="0" shapeId="0">
      <text>
        <r>
          <rPr>
            <b/>
            <sz val="9"/>
            <color indexed="81"/>
            <rFont val="Tahoma"/>
            <family val="2"/>
          </rPr>
          <t>Karol Arroyo Hernadez:</t>
        </r>
        <r>
          <rPr>
            <sz val="9"/>
            <color indexed="81"/>
            <rFont val="Tahoma"/>
            <family val="2"/>
          </rPr>
          <t xml:space="preserve">
La diferencia corresponde al traslado de partida que se encuentra en tramite ante el Min Hacienda</t>
        </r>
      </text>
    </comment>
  </commentList>
</comments>
</file>

<file path=xl/sharedStrings.xml><?xml version="1.0" encoding="utf-8"?>
<sst xmlns="http://schemas.openxmlformats.org/spreadsheetml/2006/main" count="2680" uniqueCount="602">
  <si>
    <t>Partida</t>
  </si>
  <si>
    <t xml:space="preserve">Apropiación Actual </t>
  </si>
  <si>
    <t xml:space="preserve"> Cuota Comprometida </t>
  </si>
  <si>
    <t xml:space="preserve"> Solicitado </t>
  </si>
  <si>
    <t> Gasto Real</t>
  </si>
  <si>
    <t>C+D</t>
  </si>
  <si>
    <t xml:space="preserve">Disponible Presupuestario </t>
  </si>
  <si>
    <t> % de Ejecución Gasto Real</t>
  </si>
  <si>
    <t>% de Disponible</t>
  </si>
  <si>
    <t>0  REMUNERACIONES</t>
  </si>
  <si>
    <t>1  SERVICIOS</t>
  </si>
  <si>
    <t>2  MATERIALES Y SUMINIS</t>
  </si>
  <si>
    <t>5  BIENES DURADEROS</t>
  </si>
  <si>
    <t>6  TRANSF. CORRIENTES</t>
  </si>
  <si>
    <t>7 TRANSF. DE CAPITAL</t>
  </si>
  <si>
    <t>TOTAL</t>
  </si>
  <si>
    <t>Tipo de Gasto</t>
  </si>
  <si>
    <t>Remuneraciones + Cargas Patronales</t>
  </si>
  <si>
    <t>Gasto Operativo</t>
  </si>
  <si>
    <t>Inversión publica</t>
  </si>
  <si>
    <t>Transferencias Corrientes</t>
  </si>
  <si>
    <t>Transferencias de Capital</t>
  </si>
  <si>
    <t xml:space="preserve">G O B I E R N O   C E N T R A L   D E   C O S T A   R I C A            </t>
  </si>
  <si>
    <t xml:space="preserve">MINISTERIO DE HACIENDA - CONTABILIDAD NACIONAL              </t>
  </si>
  <si>
    <t>Pos Pre</t>
  </si>
  <si>
    <t>Aprop. Act</t>
  </si>
  <si>
    <t>Cuota. Comp</t>
  </si>
  <si>
    <t>Solicitado</t>
  </si>
  <si>
    <t>% Solic.</t>
  </si>
  <si>
    <t>Comprometido</t>
  </si>
  <si>
    <t>% Comp</t>
  </si>
  <si>
    <t>Rec. M/cía</t>
  </si>
  <si>
    <t>% Rec. M/cía</t>
  </si>
  <si>
    <t>Devengado</t>
  </si>
  <si>
    <t>% Deve.</t>
  </si>
  <si>
    <t>Pagado</t>
  </si>
  <si>
    <t>% Pagado</t>
  </si>
  <si>
    <t>Disp. Pre</t>
  </si>
  <si>
    <t>% Disp. Pre</t>
  </si>
  <si>
    <t>Disp. Cuota</t>
  </si>
  <si>
    <t>% Disp. Cuota</t>
  </si>
  <si>
    <t>Representar en</t>
  </si>
  <si>
    <t>1 CRC</t>
  </si>
  <si>
    <t>Compromiso</t>
  </si>
  <si>
    <t xml:space="preserve">Proyección ejecución por partida presupuestaria 2015 </t>
  </si>
  <si>
    <t>Apropiación actual</t>
  </si>
  <si>
    <t>Proyección de gasto a diciembre</t>
  </si>
  <si>
    <t>Saldo disponible</t>
  </si>
  <si>
    <t>Proyección ejecución por programa presupuestario 2015</t>
  </si>
  <si>
    <t>779: Actividad Central</t>
  </si>
  <si>
    <t>780: Promoción de la Paz</t>
  </si>
  <si>
    <t>781: PGR</t>
  </si>
  <si>
    <t>783: Administración Penitenciaria</t>
  </si>
  <si>
    <t>784: Registro Nacional</t>
  </si>
  <si>
    <t>Disponible al 07 de Setiembre</t>
  </si>
  <si>
    <t>214  - Ministerio de Justicia y Gracia</t>
  </si>
  <si>
    <t>Programa</t>
  </si>
  <si>
    <t xml:space="preserve">DEL 01 DE ENERO AL 01-10-2015        </t>
  </si>
  <si>
    <t>INFORME DE PRESUPUESTO DE EGRESOS   POR PARTIDA</t>
  </si>
  <si>
    <t>INFORME DE PRESUPUESTO DE EGRESOS   POR TIPO DE GASTO</t>
  </si>
  <si>
    <t xml:space="preserve"> Total de Egresos</t>
  </si>
  <si>
    <t>% Componentes de la Apropiación</t>
  </si>
  <si>
    <t>Apropiación Actual</t>
  </si>
  <si>
    <t>Solicitado (solicitudes ingresadas en Compra Red)</t>
  </si>
  <si>
    <t>Comprometido (en órdenes de pedido)</t>
  </si>
  <si>
    <t>Rec. Mercancía</t>
  </si>
  <si>
    <t>Devengado (Real ejecutado, todas las facturas, lo pagado más lo ingresado pendiente de pago)</t>
  </si>
  <si>
    <t>Disponible Presupuestario</t>
  </si>
  <si>
    <t>Presupuesto Ejecutado (solicitado+comprometido+rec. mercacía+devengado)</t>
  </si>
  <si>
    <t>Real Pagado</t>
  </si>
  <si>
    <t>Disponoble cuota</t>
  </si>
  <si>
    <t>Presupuesto Ejecutado (solicitado + comprometido + rec.mercancía + devengado)</t>
  </si>
  <si>
    <t>DICIEMBRE</t>
  </si>
  <si>
    <t>ANALISIS DE RESERVA Y COMPROMISOS VRS REC/MERCADERIA</t>
  </si>
  <si>
    <t xml:space="preserve">% </t>
  </si>
  <si>
    <t>INFORME DE PRESUPUESTO DE EGRESOS</t>
  </si>
  <si>
    <t>INFORME DE PRESUPUESTO DE EGRESOS   POR PROGRAMA</t>
  </si>
  <si>
    <t>Programas</t>
  </si>
  <si>
    <t>%</t>
  </si>
  <si>
    <t xml:space="preserve"> % </t>
  </si>
  <si>
    <t xml:space="preserve"> % de Ejecución </t>
  </si>
  <si>
    <t>PROG 779</t>
  </si>
  <si>
    <t>PROG 780</t>
  </si>
  <si>
    <t>PROG 781</t>
  </si>
  <si>
    <t>PROG 783</t>
  </si>
  <si>
    <t>PROG 784</t>
  </si>
  <si>
    <t>Monto</t>
  </si>
  <si>
    <t>Ejercício: 2016</t>
  </si>
  <si>
    <t>07-Enero</t>
  </si>
  <si>
    <t>02-Febrero</t>
  </si>
  <si>
    <t>01-Marzo</t>
  </si>
  <si>
    <t>01-ABRIL</t>
  </si>
  <si>
    <t>Apropiación</t>
  </si>
  <si>
    <t>Disponible</t>
  </si>
  <si>
    <t>% Ejecución</t>
  </si>
  <si>
    <t>Cuadro resumen ejecución Titulo 214_2016</t>
  </si>
  <si>
    <t>22-ABRIL</t>
  </si>
  <si>
    <t>11-MAYO</t>
  </si>
  <si>
    <t>Fondo</t>
  </si>
  <si>
    <t>Desc.Pos.presupuestaria</t>
  </si>
  <si>
    <t>E-0</t>
  </si>
  <si>
    <t>REMUNERACIONES</t>
  </si>
  <si>
    <t>E-001</t>
  </si>
  <si>
    <t>REMUNERACIONES BASICAS</t>
  </si>
  <si>
    <t>E-00101</t>
  </si>
  <si>
    <t>SUELDOS PARA CARGOS FIJOS</t>
  </si>
  <si>
    <t>E-002</t>
  </si>
  <si>
    <t>REMUNERACIONES EVENTUALES</t>
  </si>
  <si>
    <t>E-00201</t>
  </si>
  <si>
    <t>TIEMPO EXTRAORDINARIO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</si>
  <si>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</si>
  <si>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</si>
  <si>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</si>
  <si>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</si>
  <si>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</si>
  <si>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</si>
  <si>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E-00304</t>
  </si>
  <si>
    <t>SALARIO ESCOLAR</t>
  </si>
  <si>
    <t>E-00399</t>
  </si>
  <si>
    <t>OTROS INCENTIVOS SALARIALES</t>
  </si>
  <si>
    <t>E-00303</t>
  </si>
  <si>
    <t>DECIMOTERCER MES</t>
  </si>
  <si>
    <t>E-004</t>
  </si>
  <si>
    <t>CONTRIB. PATRONALES AL DES. Y LA SEGURIDAD SOCIAL</t>
  </si>
  <si>
    <t>E0040120077900</t>
  </si>
  <si>
    <t>CCSS CONTRIBUCION PATRONAL SEGURO SALUD (SEGUN LEY CONSTITUTIVA DE LA C.C.S.S. Y REGLAME NTO NO. 7082 DEL 03/12/1996 Y SUS REFORMAS).</t>
  </si>
  <si>
    <t>E0040520077900</t>
  </si>
  <si>
    <t>BANCO POPULAR Y DE DESARROLLO COMUNAL (SEGUN LEY NO. 4351 DEL 11/07/1969, LEY ORGANICA DEL B.P.D.C.).</t>
  </si>
  <si>
    <t>E-005</t>
  </si>
  <si>
    <t>CONTRIB PATRONALES A FOND PENS Y OTROS FOND CAPIT.</t>
  </si>
  <si>
    <t>E0050120077900</t>
  </si>
  <si>
    <t>CCSS CONTRIBUCION PATRONAL SEGURO PENSIONES (SEGUN LEY NO. 17 DEL 22/10/1943, LEY CONSTITUTIVA DE LA C.C.S.S. Y REGLAMENTO NO. 6898</t>
  </si>
  <si>
    <t>E0050220077900</t>
  </si>
  <si>
    <t>CCSS APORTE PATRONAL REGIMEN PENSIONES (SEGUN LEY DE PROTECCION AL TRABAJADOR NO. 7983 DEL 16 DE FEBRERO DEL 2000).</t>
  </si>
  <si>
    <t>E0050320077900</t>
  </si>
  <si>
    <t>CCSS APORTE PATRONAL FONDO CAPITALIZACION LABORAL (SEGUN LEY DE PROTECCION AL TRABAJADOR NO. 7983 DEL 16 DE FEBRERO DEL 2000).</t>
  </si>
  <si>
    <t>E-1</t>
  </si>
  <si>
    <t>SERVICIOS</t>
  </si>
  <si>
    <t>E-101</t>
  </si>
  <si>
    <t>ALQUILERES</t>
  </si>
  <si>
    <t>E-10103</t>
  </si>
  <si>
    <t>ALQUILER DE EQUIPO DE COMPUTO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</si>
  <si>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</si>
  <si>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</si>
  <si>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</si>
  <si>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</si>
  <si>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</si>
  <si>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</si>
  <si>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</si>
  <si>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</si>
  <si>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</si>
  <si>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</si>
  <si>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</si>
  <si>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</si>
  <si>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</si>
  <si>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</si>
  <si>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</si>
  <si>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</si>
  <si>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</si>
  <si>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</si>
  <si>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</si>
  <si>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</si>
  <si>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E-10306</t>
  </si>
  <si>
    <t>COMIS. Y GASTOS POR SERV. FINANCIEROS Y COMERCIAL.</t>
  </si>
  <si>
    <t>E-104</t>
  </si>
  <si>
    <t>SERVICIOS DE GESTION Y APOYO</t>
  </si>
  <si>
    <t>E-10404</t>
  </si>
  <si>
    <t>SERVICIOS EN CIENCIAS ECONOMICAS Y SOCIALES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</si>
  <si>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</si>
  <si>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</si>
  <si>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</si>
  <si>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</si>
  <si>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</si>
  <si>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</si>
  <si>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</si>
  <si>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</si>
  <si>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</si>
  <si>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</si>
  <si>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</si>
  <si>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</si>
  <si>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</si>
  <si>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</si>
  <si>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</si>
  <si>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</si>
  <si>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</si>
  <si>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</si>
  <si>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</si>
  <si>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</si>
  <si>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</si>
  <si>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</si>
  <si>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</si>
  <si>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</si>
  <si>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</si>
  <si>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</si>
  <si>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</si>
  <si>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</si>
  <si>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</si>
  <si>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</si>
  <si>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</si>
  <si>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</si>
  <si>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</si>
  <si>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</si>
  <si>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</si>
  <si>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</si>
  <si>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</si>
  <si>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</si>
  <si>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</si>
  <si>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</si>
  <si>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</si>
  <si>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</si>
  <si>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</si>
  <si>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</si>
  <si>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E-19905</t>
  </si>
  <si>
    <t>DEDUCIBLES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</si>
  <si>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</si>
  <si>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</si>
  <si>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</si>
  <si>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</si>
  <si>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</si>
  <si>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</si>
  <si>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</si>
  <si>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</si>
  <si>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</si>
  <si>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</si>
  <si>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</si>
  <si>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</si>
  <si>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</si>
  <si>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</si>
  <si>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</si>
  <si>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</si>
  <si>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</si>
  <si>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</si>
  <si>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</si>
  <si>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</si>
  <si>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</si>
  <si>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</si>
  <si>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</si>
  <si>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</si>
  <si>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</si>
  <si>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</si>
  <si>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</si>
  <si>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</si>
  <si>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</si>
  <si>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</si>
  <si>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</si>
  <si>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</si>
  <si>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</si>
  <si>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</si>
  <si>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</si>
  <si>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 MATERIALES Y  SUMINISTROS DIVERSOS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</si>
  <si>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</si>
  <si>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</si>
  <si>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</si>
  <si>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</si>
  <si>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</si>
  <si>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</si>
  <si>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</si>
  <si>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</si>
  <si>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</si>
  <si>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</si>
  <si>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</si>
  <si>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</si>
  <si>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</si>
  <si>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</si>
  <si>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</si>
  <si>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</si>
  <si>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E-6</t>
  </si>
  <si>
    <t>TRANSFERENCIAS CORRIENTES</t>
  </si>
  <si>
    <t>E-601</t>
  </si>
  <si>
    <t>TRANSFERENCIAS CORRIENTES AL SECTOR PUBLICO</t>
  </si>
  <si>
    <t>E6010221077900</t>
  </si>
  <si>
    <t>COMISION NACIONAL DE PREVENCION DE RIESGOS Y ATENCION DE EMERGENCIAS. (APORTE ANUAL DE CONFORMIDAD CON EL ARTICULO 42 DE LA LEY NACIONAL</t>
  </si>
  <si>
    <t>E6010221577900</t>
  </si>
  <si>
    <t>AGENCIA DE PROTECCION DE DATOS DE LOS HABITANTES (PRODHAB). (DE CONFORMIDAD CON EL ARTICULO 20, INCISO B, LEY PROTECCION DE LA PERSONA FRENTE AL</t>
  </si>
  <si>
    <t>E6010320077900</t>
  </si>
  <si>
    <t>CCSS CONTRIBUCION ESTATAL SEGURO PENSIONES (CONTRIBUCION ESTATAL AL SEGURO DE PENSIONES, SEGUN LEY NO. 17 DEL 22/10/1943, LEY CONSTITUTIVA</t>
  </si>
  <si>
    <t>E6010320277900</t>
  </si>
  <si>
    <t>CCSS CONTRIBUCION ESTATAL SEGURO SALUD (CONTRIBUCION ESTATAL AL SEGURO DE SALUD, SEGUN LEY NO. 17 DEL 22/10/1943, LEY CONSTITUTIVA DE LA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</si>
  <si>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</si>
  <si>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</si>
  <si>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</si>
  <si>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</si>
  <si>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</si>
  <si>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</si>
  <si>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</si>
  <si>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</si>
  <si>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</si>
  <si>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</si>
  <si>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E-60602</t>
  </si>
  <si>
    <t>REINTEGROS O DEVOLUCIONES</t>
  </si>
  <si>
    <t>E-607</t>
  </si>
  <si>
    <t>TRANSFERENCIAS CORRIENTES AL SECTOR EXTERNO</t>
  </si>
  <si>
    <t>E6070120577900</t>
  </si>
  <si>
    <t>INSTITUTO LATINOAMERICANO PARA LA PREVENCION DEL DELITO Y EL TRATAMIENTO DEL DELINCUENTE (ILANUD). (CUOTA ANUAL ORDINARIA PARA LA PREVENCION DEL</t>
  </si>
  <si>
    <t>E6070123077900</t>
  </si>
  <si>
    <t>ORGANIZACION MUNDIAL DE LA PROPIEDAD INTELECTUAL (OMPI). (CUOTA ORDINARIA SEGUN LEY NO. 6468 DEL 18/09/1980).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</si>
  <si>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</si>
  <si>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</si>
  <si>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</si>
  <si>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</si>
  <si>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</si>
  <si>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</si>
  <si>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</si>
  <si>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</si>
  <si>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</si>
  <si>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</si>
  <si>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</si>
  <si>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</si>
  <si>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</si>
  <si>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</si>
  <si>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</si>
  <si>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</si>
  <si>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</si>
  <si>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</si>
  <si>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</si>
  <si>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</si>
  <si>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</si>
  <si>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</si>
  <si>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E0040120078000</t>
  </si>
  <si>
    <t>E0040520078000</t>
  </si>
  <si>
    <t>E0050120078000</t>
  </si>
  <si>
    <t>E0050220078000</t>
  </si>
  <si>
    <t>E0050320078000</t>
  </si>
  <si>
    <t>E-10101</t>
  </si>
  <si>
    <t>ALQUILER DE EDIFICIOS, LOCALES Y TERRENOS</t>
  </si>
  <si>
    <t>E-10302</t>
  </si>
  <si>
    <t>PUBLICIDAD Y PROPAGANDA</t>
  </si>
  <si>
    <t>E-10701</t>
  </si>
  <si>
    <t>ACTIVIDADES DE CAPACITACION</t>
  </si>
  <si>
    <t>E6010320078000</t>
  </si>
  <si>
    <t>E6010320278000</t>
  </si>
  <si>
    <t>E-00105</t>
  </si>
  <si>
    <t>SUPLENCIAS</t>
  </si>
  <si>
    <t>E0040120078100</t>
  </si>
  <si>
    <t>E0040520078100</t>
  </si>
  <si>
    <t>E0050120078100</t>
  </si>
  <si>
    <t>E0050220078100</t>
  </si>
  <si>
    <t>E0050320078100</t>
  </si>
  <si>
    <t>E-10102</t>
  </si>
  <si>
    <t>ALQUILER DE MAQUINARIA, EQUIPO Y MOBILIARIO</t>
  </si>
  <si>
    <t>E-10104</t>
  </si>
  <si>
    <t>ALQUILER Y DERECHOS PARA TELECOMUNICACIONES</t>
  </si>
  <si>
    <t>E-10304</t>
  </si>
  <si>
    <t>TRANSPORTE DE BIENES</t>
  </si>
  <si>
    <t>E-10307</t>
  </si>
  <si>
    <t>SERVICIOS DE TRANSFERENCIA ELECTRONICA DE INFORMA</t>
  </si>
  <si>
    <t>E-10402</t>
  </si>
  <si>
    <t>SERVICIOS JURIDICOS</t>
  </si>
  <si>
    <t>E-10403</t>
  </si>
  <si>
    <t>SERVICIOS DE INGENIERIA</t>
  </si>
  <si>
    <t>E-10405</t>
  </si>
  <si>
    <t>SERVICIO DE DESARROLLO DE SISTEMAS INFORMATICOS</t>
  </si>
  <si>
    <t>E-10804</t>
  </si>
  <si>
    <t>MANT. Y REPARACION DE MAQUINARIA Y EQUIPO DE PROD.</t>
  </si>
  <si>
    <t>E-19902</t>
  </si>
  <si>
    <t>INTERESES MORATORIOS Y MULTAS</t>
  </si>
  <si>
    <t>E-20302</t>
  </si>
  <si>
    <t>MATERIALES Y PRODUCTOS MINERALES Y ASFALTICOS</t>
  </si>
  <si>
    <t>E-20303</t>
  </si>
  <si>
    <t>MADERA Y SUS DERIVADOS</t>
  </si>
  <si>
    <t>E-599</t>
  </si>
  <si>
    <t>BIENES DURADEROS DIVERSOS</t>
  </si>
  <si>
    <t>E-59903</t>
  </si>
  <si>
    <t>BIENES INTANGIBLES</t>
  </si>
  <si>
    <t>E6010320078100</t>
  </si>
  <si>
    <t>E6010320278100</t>
  </si>
  <si>
    <t>E-00103</t>
  </si>
  <si>
    <t>SERVICIOS ESPECIALES</t>
  </si>
  <si>
    <t>E-00202</t>
  </si>
  <si>
    <t>RECARGO DE FUNCIONES</t>
  </si>
  <si>
    <t>E-00203</t>
  </si>
  <si>
    <t>DISPONIBILIDAD LABORAL</t>
  </si>
  <si>
    <t>E0040120078300</t>
  </si>
  <si>
    <t>E0040520078300</t>
  </si>
  <si>
    <t>E0050120078300</t>
  </si>
  <si>
    <t>E0050220078300</t>
  </si>
  <si>
    <t>E0050320078300</t>
  </si>
  <si>
    <t>E-099</t>
  </si>
  <si>
    <t>REMUNERACIONES DIVERSAS</t>
  </si>
  <si>
    <t>E-09901</t>
  </si>
  <si>
    <t>GASTOS DE REPRESENTACION PERSONAL</t>
  </si>
  <si>
    <t>E-10401</t>
  </si>
  <si>
    <t>SERVICIOS MEDICOS Y DE LABORATORIO</t>
  </si>
  <si>
    <t>E-19901</t>
  </si>
  <si>
    <t>SERVICIOS DE REGULACION</t>
  </si>
  <si>
    <t>E-20103</t>
  </si>
  <si>
    <t>PRODUCTOS VETERINARIOS</t>
  </si>
  <si>
    <t>E-20204</t>
  </si>
  <si>
    <t>ALIMENTOS PARA ANIMALES</t>
  </si>
  <si>
    <t>E-50207</t>
  </si>
  <si>
    <t>INSTALACIONES</t>
  </si>
  <si>
    <t>E6010221078300</t>
  </si>
  <si>
    <t>UNIDAD EJECUTORA DEL PROGRAMA PARA LA PREVENCION DE LA VIOLENCIA Y PROMOCION DE LA INCLUSION SOCIAL. (LEY NO. 9025 DEL 15/02/2012, PUBLICADA</t>
  </si>
  <si>
    <t>E6010320078300</t>
  </si>
  <si>
    <t>E6010320278300</t>
  </si>
  <si>
    <t>E-602</t>
  </si>
  <si>
    <t>TRANSFERENCIAS CORRIENTES A PERSONAS</t>
  </si>
  <si>
    <t>E-60299</t>
  </si>
  <si>
    <t>OTRAS TRANSFERENCIAS A PERSONAS</t>
  </si>
  <si>
    <t>E-7</t>
  </si>
  <si>
    <t>TRANSFERENCIAS DE CAPITAL</t>
  </si>
  <si>
    <t>E-701</t>
  </si>
  <si>
    <t>TRANSFERENCIAS DE CAPITAL AL SECTOR PUBLICO</t>
  </si>
  <si>
    <t>E7010220078300</t>
  </si>
  <si>
    <t>PATRONATO DE CONSTRUCCION, INSTALACIONES Y ADQUISICION DE BIENES. (LEY NO. 6739 DEL 24/04/1982, ARTICULO 6, INCISO C, Y LEY NO. 4762</t>
  </si>
  <si>
    <t>E0040120078400</t>
  </si>
  <si>
    <t>E0040520078400</t>
  </si>
  <si>
    <t>E0050120078400</t>
  </si>
  <si>
    <t>E0050220078400</t>
  </si>
  <si>
    <t>E0050320078400</t>
  </si>
  <si>
    <t>E0050520078400</t>
  </si>
  <si>
    <t>ASOCIACION SOLIDARISTA DE EMPLEADOS DEL REGISTRO NACIONAL (ASOREN). (APORTE PATRONAL SEGUN LEY DE ASOCIACIONES SOLIDARISTAS NO. 6970 DEL 07/11/1984</t>
  </si>
  <si>
    <t>E6010320078400</t>
  </si>
  <si>
    <t>E6010320278400</t>
  </si>
  <si>
    <t>Presupuesto Actual</t>
  </si>
  <si>
    <t>E-00401</t>
  </si>
  <si>
    <t>E-00405</t>
  </si>
  <si>
    <t>E-00501</t>
  </si>
  <si>
    <t>E-00502</t>
  </si>
  <si>
    <t>E-00503</t>
  </si>
  <si>
    <t>E-00505</t>
  </si>
  <si>
    <t>E-50102</t>
  </si>
  <si>
    <t>E-60102</t>
  </si>
  <si>
    <t>E6010221078400</t>
  </si>
  <si>
    <t>E-60103</t>
  </si>
  <si>
    <t>E-60701</t>
  </si>
  <si>
    <t>E-70102</t>
  </si>
  <si>
    <t>E7010221078300</t>
  </si>
  <si>
    <t>REMUNERACIONES BASIC</t>
  </si>
  <si>
    <t>SUELDOS P/ C. FIJOS</t>
  </si>
  <si>
    <t>REMUNERACIONES EVENT</t>
  </si>
  <si>
    <t>TIEMPO EXTRAORD.</t>
  </si>
  <si>
    <t>DISPONIBILIDAD LAB.</t>
  </si>
  <si>
    <t>INCENTIVOS SALARIAL</t>
  </si>
  <si>
    <t>RETRIB AÑOS SERVIDOS</t>
  </si>
  <si>
    <t>REST. EJERC LIB PROF</t>
  </si>
  <si>
    <t>OTROS INCENT SALAR.</t>
  </si>
  <si>
    <t>CONT PATR DESA S.SOC</t>
  </si>
  <si>
    <t>CONT P.SEG.S C.C.S.S</t>
  </si>
  <si>
    <t>CCSS CONT.PAT S.SALU</t>
  </si>
  <si>
    <t>CONTRIB PAT B.P.D.C.</t>
  </si>
  <si>
    <t>BPDC</t>
  </si>
  <si>
    <t>CONT PATR F.PENS OTR</t>
  </si>
  <si>
    <t>CONT P.SPENS.C.C.S.S</t>
  </si>
  <si>
    <t>CCSS CONT.PAT S.PENS</t>
  </si>
  <si>
    <t>APORT P.RÉG.OBLI.P.C</t>
  </si>
  <si>
    <t>CCSS APO.PAT.REG.PEN</t>
  </si>
  <si>
    <t>APORT P.FOND.CAP.LAB</t>
  </si>
  <si>
    <t>CCSS APO.PAT.FON.CAP</t>
  </si>
  <si>
    <t>CONT.PAT.A.F.A.EPRIV</t>
  </si>
  <si>
    <t>ASOC.SOLID.EMP.REGIS</t>
  </si>
  <si>
    <t>REMUNERACIONES DIVER</t>
  </si>
  <si>
    <t>GASTOS REPRES.PERS.</t>
  </si>
  <si>
    <t>ALQ EDIF, LOC.Y TERR</t>
  </si>
  <si>
    <t>ALQ DE MAQ, EQ Y MOB</t>
  </si>
  <si>
    <t>ALQ. EQ. DE COMPUTO</t>
  </si>
  <si>
    <t>ALQ Y DERECH P.TELEC</t>
  </si>
  <si>
    <t>SERVICIOS BÁSICOS</t>
  </si>
  <si>
    <t>SERV.AGUA Y ALCANT.</t>
  </si>
  <si>
    <t>SERV ENERGÍA ELÉCT</t>
  </si>
  <si>
    <t>SERV.TELECOMUNIC.</t>
  </si>
  <si>
    <t>OTROS SERV.BÁSICOS</t>
  </si>
  <si>
    <t>SERV COMERC Y FINANC</t>
  </si>
  <si>
    <t>INFORMACIÓN</t>
  </si>
  <si>
    <t>IMP., ENCUAD Y OTROS</t>
  </si>
  <si>
    <t>COM G.P.S.FIN Y COM.</t>
  </si>
  <si>
    <t>SERV TRANSF.ELEC.INF</t>
  </si>
  <si>
    <t>SERV DE GEST Y APOYO</t>
  </si>
  <si>
    <t>SERV.MEDICOS YDE LAB</t>
  </si>
  <si>
    <t>SERV. DE INGENIERÍA</t>
  </si>
  <si>
    <t>SERV.CIEN.ECON.Y SOC</t>
  </si>
  <si>
    <t>SERV.DES.SIST.INFORM</t>
  </si>
  <si>
    <t>OTROS SERV.GEST.APOY</t>
  </si>
  <si>
    <t>GAST. VIAJE Y TRANSP</t>
  </si>
  <si>
    <t>TRANSP.DENT.DEL PAÍS</t>
  </si>
  <si>
    <t>VIÁTICOS DENTRO PAÍS</t>
  </si>
  <si>
    <t>TRANSPORTE EN EL EXT</t>
  </si>
  <si>
    <t>VIÁTICOS EN EXTERIOR</t>
  </si>
  <si>
    <t>SEGUROS REASEG Y OTR</t>
  </si>
  <si>
    <t>CAPACIT. Y PROTOCOLO</t>
  </si>
  <si>
    <t>ACTIV. CAPACITACIÓN</t>
  </si>
  <si>
    <t>ACTIV.PROTOCOL Y SOC</t>
  </si>
  <si>
    <t>GASTOS REPRES.INSTIT</t>
  </si>
  <si>
    <t>MANTEN. Y REPARACIÓN</t>
  </si>
  <si>
    <t>MANT.EDIF.,LOC.YTERR</t>
  </si>
  <si>
    <t>MANT.Y REP.M.EQ.PROD</t>
  </si>
  <si>
    <t>MANT.Y REP.EQ.TRANSP</t>
  </si>
  <si>
    <t>MANT.Y REP.EQ.COMUNI</t>
  </si>
  <si>
    <t>MANT.Y REP.EQ.MOB.OF</t>
  </si>
  <si>
    <t>MANT.YREP.EQ.C.S.INF</t>
  </si>
  <si>
    <t>MANT.Y REP.OTROS EQ.</t>
  </si>
  <si>
    <t>TROS IMPUESTOS</t>
  </si>
  <si>
    <t>SERV. DE REGULACIÓN</t>
  </si>
  <si>
    <t>INT. MORAT. Y MULTAS</t>
  </si>
  <si>
    <t>MATERIALES Y SUMINIS</t>
  </si>
  <si>
    <t>PRODUC QUÍM Y CONEX</t>
  </si>
  <si>
    <t>COMB Y LUBRICANTES</t>
  </si>
  <si>
    <t>PROD FARMAC Y MEDIC.</t>
  </si>
  <si>
    <t>PRODUCTOS VETERIN.</t>
  </si>
  <si>
    <t>TINTAS, PINT.Y DILUY</t>
  </si>
  <si>
    <t>OTR.PROD.QUÍM YCONEX</t>
  </si>
  <si>
    <t>ALIMEN Y PRODUC AGRO</t>
  </si>
  <si>
    <t>ALIM. PARA ANIMALES</t>
  </si>
  <si>
    <t>MATER P.CONST Y MANT</t>
  </si>
  <si>
    <t>MATERIALES YPROD MET</t>
  </si>
  <si>
    <t>MAT Y PROD.MIN.Y ASF</t>
  </si>
  <si>
    <t>MADERA Y SUS DERIV</t>
  </si>
  <si>
    <t>MAT.YPROD.ELÉC,TEL.C</t>
  </si>
  <si>
    <t>MATER. Y PROD VIDRIO</t>
  </si>
  <si>
    <t>MAT. Y PROD PLÁSTICO</t>
  </si>
  <si>
    <t>OTR.MAT.YP.USO CONST</t>
  </si>
  <si>
    <t>HERRAM REPUE Y ACCES</t>
  </si>
  <si>
    <t>HERRAM.E INSTRUMENTO</t>
  </si>
  <si>
    <t>REP.Y ACCESORIOS</t>
  </si>
  <si>
    <t>ÚTILES MAT Y SUM DIV</t>
  </si>
  <si>
    <t>ÚT.Y MAT.OF.Y COMP.</t>
  </si>
  <si>
    <t>UT.Y MAT.MÉD,H.Y INV</t>
  </si>
  <si>
    <t>PROD.PAPEL,CART.EIMP</t>
  </si>
  <si>
    <t>ÚTILES Y MATER.LIMP</t>
  </si>
  <si>
    <t>ÚTILES YMAT.RESG.SEG</t>
  </si>
  <si>
    <t>ÚTILES YMAT.COC.YCOM</t>
  </si>
  <si>
    <t>OTR.UT,MAT Y SUM.DIV</t>
  </si>
  <si>
    <t>MAQ, EQUIPO Y MOB</t>
  </si>
  <si>
    <t>MAQ.Y EQ. PRODUCCIÓN</t>
  </si>
  <si>
    <t>EQUIPO DE TRANSPORTE</t>
  </si>
  <si>
    <t>EQ. DE COMUNICACIÓN</t>
  </si>
  <si>
    <t>EQUIPO Y MOB. OFIC.</t>
  </si>
  <si>
    <t>EQ.Y PROGR. CÓMPUTO</t>
  </si>
  <si>
    <t>EQ.SANIT, LAB. E INV</t>
  </si>
  <si>
    <t>EQ.YMOB.EDUC,DEP.Y R</t>
  </si>
  <si>
    <t>MAQ,EQ Y MOV.DIVERSO</t>
  </si>
  <si>
    <t>CONST, ADIC YMEJORAS</t>
  </si>
  <si>
    <t>BIENES DURADEROS DIV</t>
  </si>
  <si>
    <t>TRANSF. CORRIENTES</t>
  </si>
  <si>
    <t>TRANSF CTES S. PUB</t>
  </si>
  <si>
    <t>TRANSF.CTE ORG.DESC</t>
  </si>
  <si>
    <t>COM.NAL.PRE.RIES.A.E</t>
  </si>
  <si>
    <t>UNIDAD EJECUTORA PRO</t>
  </si>
  <si>
    <t>JTA ADM.REGISTRO N.A</t>
  </si>
  <si>
    <t>AGENCIA PROTECCION D</t>
  </si>
  <si>
    <t>TRANSF.CTE I.D.NOE</t>
  </si>
  <si>
    <t>CCSS CONT.EST S.PENS</t>
  </si>
  <si>
    <t>CCSS CONT.EST S.SALU</t>
  </si>
  <si>
    <t>TRANSF CTES A PERS</t>
  </si>
  <si>
    <t>OTRAS TRANSF. A PERS</t>
  </si>
  <si>
    <t>OTR.TRANSF.CTE SPRIV</t>
  </si>
  <si>
    <t>REINTEGROS O DEVOL.</t>
  </si>
  <si>
    <t>TRANSF CTES AL S.EXT</t>
  </si>
  <si>
    <t>TRANSF.C.TE ORG.INT.</t>
  </si>
  <si>
    <t>INST.LATINOAME.PREVE</t>
  </si>
  <si>
    <t>ORG.MUNDIAL PROPIEDA</t>
  </si>
  <si>
    <t>TRANSF. DE CAPITAL</t>
  </si>
  <si>
    <t>TRANSF DE CTAL S PUB</t>
  </si>
  <si>
    <t>TRANSF.CTAL ORG.DESC</t>
  </si>
  <si>
    <t>PATRONATO CONSTRUC.</t>
  </si>
  <si>
    <t>TOTALES</t>
  </si>
  <si>
    <t>PUBLICIDAD Y PROPAG.</t>
  </si>
  <si>
    <t>SERVICIOS JURÍDICOS</t>
  </si>
  <si>
    <t>Total gasto Real</t>
  </si>
  <si>
    <t>Descripción</t>
  </si>
  <si>
    <t xml:space="preserve">Presupuesto Actual </t>
  </si>
  <si>
    <t>Disponible Presupuesto</t>
  </si>
  <si>
    <t>Cuota Liberación</t>
  </si>
  <si>
    <t>214</t>
  </si>
  <si>
    <t>001</t>
  </si>
  <si>
    <t>21477900</t>
  </si>
  <si>
    <t>280</t>
  </si>
  <si>
    <t>21478000</t>
  </si>
  <si>
    <t>21478100</t>
  </si>
  <si>
    <t>21478300</t>
  </si>
  <si>
    <t>21478400</t>
  </si>
  <si>
    <t>01-JUNIO</t>
  </si>
  <si>
    <t>Centro gestor</t>
  </si>
  <si>
    <t>Pos.presupuestaria</t>
  </si>
  <si>
    <t>Ley de Presupuesto</t>
  </si>
  <si>
    <t>Disponible Liberado</t>
  </si>
  <si>
    <t>Recepción Mercancía</t>
  </si>
  <si>
    <t>30-JUNIO</t>
  </si>
  <si>
    <t xml:space="preserve">% de Ejecución </t>
  </si>
  <si>
    <t>2  MATERIALES Y SUMINISTROS</t>
  </si>
  <si>
    <t>03-AGO</t>
  </si>
  <si>
    <t>JUNTA ADMINISTRATIVA DEL REGISTRO NACIONAL (LEY IM PUESTO A LAS PERSONAS JURÍDICAS (PARA FINANCIAR A- DECUADA ADMINISTRACIÓN DEL IMPUESTO)</t>
  </si>
  <si>
    <t>03-AGOSTO</t>
  </si>
  <si>
    <t xml:space="preserve">26-AGO </t>
  </si>
  <si>
    <t>26-AGOSTO</t>
  </si>
  <si>
    <t xml:space="preserve">31-AGO </t>
  </si>
  <si>
    <t>31-AGOSTO</t>
  </si>
  <si>
    <t>30-SET</t>
  </si>
  <si>
    <t>TRANSF. CORRIENTES A ORGANISMOS INTERNACIONALES</t>
  </si>
  <si>
    <t>30-SETIEMBRE</t>
  </si>
  <si>
    <t>31-OCT</t>
  </si>
  <si>
    <t>E6070120877900</t>
  </si>
  <si>
    <t>ORGANIZ COOP. DESARROLLO ECONOMICO (CUOTA PARTICI- PACION GRUPO COHECHO)DECRETO N°37983 COMEX-MP, 09/09/2013, CED. JUR. 2-100-042006</t>
  </si>
  <si>
    <t>31-OCTUBRE</t>
  </si>
  <si>
    <t>30-NOV</t>
  </si>
  <si>
    <t>30-NOVIEMBRE</t>
  </si>
  <si>
    <t xml:space="preserve">ORGANIZ COOP. DESAR. ECON </t>
  </si>
  <si>
    <t>Ejecución Menor al 95%</t>
  </si>
  <si>
    <t>Disponible Mayor al 5%</t>
  </si>
  <si>
    <t>23-DIC</t>
  </si>
  <si>
    <t>23-DICIEMBRE</t>
  </si>
  <si>
    <t xml:space="preserve">AL 31 DE DICEMBRE 2016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</si>
</sst>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Palatino Linotype"/>
      <family val="1"/>
    </font>
    <font>
      <sz val="11"/>
      <color theme="1"/>
      <name val="Palatino Linotype"/>
      <family val="1"/>
    </font>
    <font>
      <sz val="11"/>
      <color rgb="FF000000"/>
      <name val="Palatino Linotype"/>
      <family val="1"/>
    </font>
    <font>
      <b/>
      <sz val="11"/>
      <color theme="1"/>
      <name val="Palatino Linotype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1"/>
      <color theme="0"/>
      <name val="Palatino Linotype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9" tint="-0.249977111117893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/>
  </cellStyleXfs>
  <cellXfs count="234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6" fillId="4" borderId="0" xfId="0" applyFont="1" applyFill="1" applyAlignment="1">
      <alignment vertical="center"/>
    </xf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4" fontId="10" fillId="0" borderId="9" xfId="0" applyNumberFormat="1" applyFont="1" applyBorder="1"/>
    <xf numFmtId="0" fontId="0" fillId="0" borderId="0" xfId="0" applyAlignment="1">
      <alignment horizontal="center"/>
    </xf>
    <xf numFmtId="4" fontId="4" fillId="3" borderId="16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4" borderId="0" xfId="0" applyNumberFormat="1" applyFont="1" applyFill="1" applyAlignment="1">
      <alignment vertical="center"/>
    </xf>
    <xf numFmtId="9" fontId="6" fillId="0" borderId="9" xfId="2" applyFont="1" applyBorder="1" applyAlignment="1">
      <alignment horizontal="center" vertical="center"/>
    </xf>
    <xf numFmtId="9" fontId="4" fillId="3" borderId="16" xfId="2" applyFont="1" applyFill="1" applyBorder="1" applyAlignment="1">
      <alignment horizontal="center" vertical="center"/>
    </xf>
    <xf numFmtId="43" fontId="3" fillId="0" borderId="0" xfId="1" applyFont="1"/>
    <xf numFmtId="0" fontId="11" fillId="0" borderId="9" xfId="0" applyFont="1" applyBorder="1"/>
    <xf numFmtId="4" fontId="4" fillId="0" borderId="9" xfId="0" applyNumberFormat="1" applyFont="1" applyBorder="1" applyAlignment="1">
      <alignment vertical="center"/>
    </xf>
    <xf numFmtId="0" fontId="2" fillId="0" borderId="0" xfId="0" applyFont="1"/>
    <xf numFmtId="0" fontId="0" fillId="0" borderId="0" xfId="0" applyFont="1"/>
    <xf numFmtId="43" fontId="0" fillId="0" borderId="0" xfId="1" applyFont="1"/>
    <xf numFmtId="0" fontId="2" fillId="0" borderId="9" xfId="0" applyFont="1" applyBorder="1" applyAlignment="1">
      <alignment horizontal="left"/>
    </xf>
    <xf numFmtId="43" fontId="0" fillId="0" borderId="9" xfId="1" applyFont="1" applyBorder="1" applyAlignment="1">
      <alignment horizontal="center" vertical="center"/>
    </xf>
    <xf numFmtId="10" fontId="0" fillId="0" borderId="9" xfId="2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6" fillId="0" borderId="9" xfId="2" applyNumberFormat="1" applyFont="1" applyBorder="1" applyAlignment="1">
      <alignment horizontal="center" vertical="center"/>
    </xf>
    <xf numFmtId="164" fontId="4" fillId="3" borderId="16" xfId="2" applyNumberFormat="1" applyFont="1" applyFill="1" applyBorder="1" applyAlignment="1">
      <alignment horizontal="center" vertical="center"/>
    </xf>
    <xf numFmtId="4" fontId="0" fillId="0" borderId="0" xfId="0" applyNumberFormat="1"/>
    <xf numFmtId="43" fontId="0" fillId="0" borderId="0" xfId="0" applyNumberFormat="1"/>
    <xf numFmtId="4" fontId="11" fillId="0" borderId="9" xfId="0" applyNumberFormat="1" applyFont="1" applyBorder="1"/>
    <xf numFmtId="0" fontId="8" fillId="0" borderId="0" xfId="0" applyFont="1" applyBorder="1" applyAlignment="1"/>
    <xf numFmtId="0" fontId="8" fillId="0" borderId="7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0" fontId="8" fillId="0" borderId="0" xfId="0" applyFont="1" applyAlignment="1">
      <alignment horizontal="left" vertical="center"/>
    </xf>
    <xf numFmtId="43" fontId="10" fillId="0" borderId="9" xfId="1" applyFont="1" applyBorder="1"/>
    <xf numFmtId="4" fontId="10" fillId="0" borderId="9" xfId="0" applyNumberFormat="1" applyFont="1" applyBorder="1" applyAlignment="1">
      <alignment horizontal="center"/>
    </xf>
    <xf numFmtId="0" fontId="10" fillId="0" borderId="0" xfId="0" applyFont="1"/>
    <xf numFmtId="43" fontId="10" fillId="0" borderId="0" xfId="1" applyFont="1"/>
    <xf numFmtId="4" fontId="10" fillId="5" borderId="9" xfId="0" applyNumberFormat="1" applyFont="1" applyFill="1" applyBorder="1"/>
    <xf numFmtId="4" fontId="11" fillId="5" borderId="9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vertical="center" readingOrder="1"/>
    </xf>
    <xf numFmtId="10" fontId="0" fillId="0" borderId="0" xfId="0" applyNumberFormat="1"/>
    <xf numFmtId="10" fontId="10" fillId="0" borderId="9" xfId="2" applyNumberFormat="1" applyFont="1" applyBorder="1" applyAlignment="1">
      <alignment horizontal="center"/>
    </xf>
    <xf numFmtId="0" fontId="10" fillId="0" borderId="9" xfId="0" applyFont="1" applyFill="1" applyBorder="1" applyAlignment="1">
      <alignment vertical="center" wrapText="1" readingOrder="1"/>
    </xf>
    <xf numFmtId="10" fontId="6" fillId="0" borderId="9" xfId="2" applyNumberFormat="1" applyFont="1" applyBorder="1" applyAlignment="1">
      <alignment horizontal="center" vertical="center"/>
    </xf>
    <xf numFmtId="164" fontId="0" fillId="0" borderId="0" xfId="2" applyNumberFormat="1" applyFont="1"/>
    <xf numFmtId="43" fontId="14" fillId="6" borderId="9" xfId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left" vertical="center"/>
    </xf>
    <xf numFmtId="4" fontId="15" fillId="6" borderId="9" xfId="0" applyNumberFormat="1" applyFont="1" applyFill="1" applyBorder="1"/>
    <xf numFmtId="10" fontId="15" fillId="6" borderId="9" xfId="2" applyNumberFormat="1" applyFont="1" applyFill="1" applyBorder="1" applyAlignment="1">
      <alignment horizontal="center"/>
    </xf>
    <xf numFmtId="0" fontId="15" fillId="6" borderId="9" xfId="0" applyFont="1" applyFill="1" applyBorder="1" applyAlignment="1">
      <alignment vertical="center" wrapText="1" readingOrder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readingOrder="1"/>
    </xf>
    <xf numFmtId="0" fontId="13" fillId="6" borderId="0" xfId="0" applyFont="1" applyFill="1"/>
    <xf numFmtId="0" fontId="15" fillId="6" borderId="9" xfId="0" applyFont="1" applyFill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/>
    </xf>
    <xf numFmtId="0" fontId="0" fillId="7" borderId="0" xfId="0" applyFill="1"/>
    <xf numFmtId="0" fontId="0" fillId="8" borderId="0" xfId="0" applyFill="1"/>
    <xf numFmtId="0" fontId="16" fillId="0" borderId="0" xfId="0" applyFont="1"/>
    <xf numFmtId="10" fontId="11" fillId="0" borderId="9" xfId="2" applyNumberFormat="1" applyFont="1" applyBorder="1"/>
    <xf numFmtId="10" fontId="10" fillId="0" borderId="9" xfId="2" applyNumberFormat="1" applyFont="1" applyBorder="1"/>
    <xf numFmtId="10" fontId="4" fillId="0" borderId="9" xfId="2" applyNumberFormat="1" applyFont="1" applyBorder="1" applyAlignment="1">
      <alignment horizontal="center" vertical="center"/>
    </xf>
    <xf numFmtId="10" fontId="4" fillId="3" borderId="16" xfId="2" applyNumberFormat="1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4" fontId="18" fillId="0" borderId="9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" fontId="19" fillId="0" borderId="9" xfId="0" applyNumberFormat="1" applyFont="1" applyBorder="1" applyAlignment="1">
      <alignment vertical="center"/>
    </xf>
    <xf numFmtId="10" fontId="19" fillId="0" borderId="9" xfId="2" applyNumberFormat="1" applyFont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4" fontId="17" fillId="6" borderId="16" xfId="0" applyNumberFormat="1" applyFont="1" applyFill="1" applyBorder="1" applyAlignment="1">
      <alignment vertical="center"/>
    </xf>
    <xf numFmtId="10" fontId="17" fillId="6" borderId="16" xfId="2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19" fillId="0" borderId="1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13" xfId="0" applyFont="1" applyBorder="1" applyAlignment="1">
      <alignment vertical="center" wrapText="1"/>
    </xf>
    <xf numFmtId="164" fontId="19" fillId="0" borderId="9" xfId="2" applyNumberFormat="1" applyFont="1" applyBorder="1" applyAlignment="1">
      <alignment horizontal="center" vertical="center"/>
    </xf>
    <xf numFmtId="4" fontId="19" fillId="4" borderId="0" xfId="0" applyNumberFormat="1" applyFont="1" applyFill="1" applyAlignment="1">
      <alignment vertical="center"/>
    </xf>
    <xf numFmtId="4" fontId="0" fillId="0" borderId="0" xfId="0" applyNumberFormat="1" applyFont="1"/>
    <xf numFmtId="0" fontId="15" fillId="6" borderId="23" xfId="0" applyFont="1" applyFill="1" applyBorder="1" applyAlignment="1">
      <alignment vertical="center" wrapText="1" readingOrder="1"/>
    </xf>
    <xf numFmtId="40" fontId="0" fillId="0" borderId="4" xfId="0" applyNumberFormat="1" applyBorder="1"/>
    <xf numFmtId="40" fontId="10" fillId="0" borderId="9" xfId="0" applyNumberFormat="1" applyFont="1" applyBorder="1"/>
    <xf numFmtId="40" fontId="11" fillId="0" borderId="9" xfId="0" applyNumberFormat="1" applyFont="1" applyBorder="1"/>
    <xf numFmtId="40" fontId="15" fillId="6" borderId="9" xfId="0" applyNumberFormat="1" applyFont="1" applyFill="1" applyBorder="1"/>
    <xf numFmtId="40" fontId="0" fillId="0" borderId="0" xfId="0" applyNumberFormat="1"/>
    <xf numFmtId="40" fontId="16" fillId="0" borderId="0" xfId="0" applyNumberFormat="1" applyFont="1"/>
    <xf numFmtId="40" fontId="0" fillId="0" borderId="0" xfId="0" applyNumberFormat="1" applyFont="1"/>
    <xf numFmtId="164" fontId="19" fillId="0" borderId="9" xfId="2" applyNumberFormat="1" applyFont="1" applyBorder="1" applyAlignment="1">
      <alignment vertical="center"/>
    </xf>
    <xf numFmtId="164" fontId="15" fillId="6" borderId="9" xfId="2" applyNumberFormat="1" applyFont="1" applyFill="1" applyBorder="1"/>
    <xf numFmtId="49" fontId="10" fillId="0" borderId="9" xfId="0" applyNumberFormat="1" applyFont="1" applyBorder="1" applyAlignment="1">
      <alignment horizontal="right" vertical="center" wrapText="1" readingOrder="1"/>
    </xf>
    <xf numFmtId="0" fontId="13" fillId="0" borderId="0" xfId="0" applyFont="1"/>
    <xf numFmtId="43" fontId="0" fillId="0" borderId="9" xfId="1" applyFont="1" applyBorder="1"/>
    <xf numFmtId="0" fontId="13" fillId="5" borderId="0" xfId="0" applyFont="1" applyFill="1"/>
    <xf numFmtId="0" fontId="0" fillId="5" borderId="0" xfId="0" applyFill="1"/>
    <xf numFmtId="0" fontId="23" fillId="6" borderId="9" xfId="0" applyFont="1" applyFill="1" applyBorder="1" applyAlignment="1">
      <alignment horizontal="center"/>
    </xf>
    <xf numFmtId="0" fontId="23" fillId="6" borderId="9" xfId="0" applyFont="1" applyFill="1" applyBorder="1" applyAlignment="1">
      <alignment horizont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5" fillId="6" borderId="25" xfId="0" applyNumberFormat="1" applyFont="1" applyFill="1" applyBorder="1" applyAlignment="1">
      <alignment horizontal="center" vertical="center" wrapText="1" readingOrder="1"/>
    </xf>
    <xf numFmtId="43" fontId="19" fillId="0" borderId="9" xfId="1" applyFont="1" applyBorder="1" applyAlignment="1">
      <alignment vertical="center"/>
    </xf>
    <xf numFmtId="43" fontId="15" fillId="6" borderId="9" xfId="1" applyFont="1" applyFill="1" applyBorder="1"/>
    <xf numFmtId="0" fontId="2" fillId="0" borderId="2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7" fillId="6" borderId="22" xfId="0" applyFont="1" applyFill="1" applyBorder="1" applyAlignment="1">
      <alignment horizontal="center" vertical="center"/>
    </xf>
    <xf numFmtId="0" fontId="26" fillId="0" borderId="9" xfId="0" applyNumberFormat="1" applyFont="1" applyBorder="1" applyAlignment="1">
      <alignment horizontal="left" vertical="top" wrapText="1"/>
    </xf>
    <xf numFmtId="0" fontId="27" fillId="0" borderId="9" xfId="0" applyNumberFormat="1" applyFont="1" applyBorder="1" applyAlignment="1">
      <alignment horizontal="left" vertical="top" wrapText="1"/>
    </xf>
    <xf numFmtId="0" fontId="28" fillId="0" borderId="13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4" fontId="28" fillId="0" borderId="9" xfId="0" applyNumberFormat="1" applyFont="1" applyBorder="1" applyAlignment="1">
      <alignment vertical="center"/>
    </xf>
    <xf numFmtId="40" fontId="28" fillId="0" borderId="9" xfId="0" applyNumberFormat="1" applyFont="1" applyBorder="1" applyAlignment="1">
      <alignment vertical="center"/>
    </xf>
    <xf numFmtId="0" fontId="10" fillId="0" borderId="9" xfId="0" applyNumberFormat="1" applyFont="1" applyBorder="1"/>
    <xf numFmtId="0" fontId="2" fillId="0" borderId="0" xfId="0" applyNumberFormat="1" applyFont="1"/>
    <xf numFmtId="0" fontId="11" fillId="0" borderId="9" xfId="0" applyNumberFormat="1" applyFont="1" applyBorder="1"/>
    <xf numFmtId="0" fontId="0" fillId="0" borderId="0" xfId="0" applyNumberFormat="1" applyFont="1"/>
    <xf numFmtId="0" fontId="0" fillId="0" borderId="0" xfId="0" applyNumberFormat="1"/>
    <xf numFmtId="0" fontId="7" fillId="3" borderId="15" xfId="0" applyNumberFormat="1" applyFont="1" applyFill="1" applyBorder="1" applyAlignment="1">
      <alignment horizontal="center" vertical="center"/>
    </xf>
    <xf numFmtId="43" fontId="28" fillId="0" borderId="9" xfId="1" applyFont="1" applyBorder="1" applyAlignment="1">
      <alignment vertical="center"/>
    </xf>
    <xf numFmtId="0" fontId="28" fillId="0" borderId="0" xfId="0" applyFont="1"/>
    <xf numFmtId="43" fontId="18" fillId="0" borderId="9" xfId="1" applyFont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9" fillId="4" borderId="4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0" fontId="19" fillId="0" borderId="14" xfId="2" applyNumberFormat="1" applyFont="1" applyBorder="1" applyAlignment="1">
      <alignment horizontal="center" vertical="center"/>
    </xf>
    <xf numFmtId="10" fontId="17" fillId="6" borderId="28" xfId="2" applyNumberFormat="1" applyFont="1" applyFill="1" applyBorder="1" applyAlignment="1">
      <alignment horizontal="center" vertical="center"/>
    </xf>
    <xf numFmtId="0" fontId="0" fillId="0" borderId="2" xfId="0" applyFont="1" applyBorder="1"/>
    <xf numFmtId="0" fontId="0" fillId="0" borderId="4" xfId="0" applyFont="1" applyBorder="1"/>
    <xf numFmtId="0" fontId="0" fillId="0" borderId="6" xfId="0" applyFont="1" applyBorder="1"/>
    <xf numFmtId="0" fontId="25" fillId="6" borderId="9" xfId="0" applyFont="1" applyFill="1" applyBorder="1" applyAlignment="1">
      <alignment horizontal="center" vertical="center" wrapText="1"/>
    </xf>
    <xf numFmtId="49" fontId="15" fillId="6" borderId="25" xfId="0" applyNumberFormat="1" applyFont="1" applyFill="1" applyBorder="1" applyAlignment="1">
      <alignment horizontal="center" vertical="center" wrapText="1" readingOrder="1"/>
    </xf>
    <xf numFmtId="0" fontId="10" fillId="0" borderId="24" xfId="0" applyFont="1" applyBorder="1"/>
    <xf numFmtId="0" fontId="5" fillId="0" borderId="9" xfId="0" applyFont="1" applyBorder="1" applyAlignment="1">
      <alignment vertical="center"/>
    </xf>
    <xf numFmtId="0" fontId="25" fillId="6" borderId="9" xfId="0" applyFont="1" applyFill="1" applyBorder="1" applyAlignment="1">
      <alignment horizontal="center" vertical="center"/>
    </xf>
    <xf numFmtId="4" fontId="25" fillId="6" borderId="9" xfId="0" applyNumberFormat="1" applyFont="1" applyFill="1" applyBorder="1" applyAlignment="1">
      <alignment vertical="center"/>
    </xf>
    <xf numFmtId="9" fontId="25" fillId="6" borderId="9" xfId="2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0" fillId="5" borderId="0" xfId="0" applyFont="1" applyFill="1"/>
    <xf numFmtId="0" fontId="16" fillId="5" borderId="0" xfId="0" applyFont="1" applyFill="1"/>
    <xf numFmtId="43" fontId="16" fillId="5" borderId="0" xfId="1" applyFont="1" applyFill="1"/>
    <xf numFmtId="4" fontId="19" fillId="0" borderId="9" xfId="2" applyNumberFormat="1" applyFont="1" applyBorder="1" applyAlignment="1">
      <alignment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10" fontId="0" fillId="0" borderId="0" xfId="2" applyNumberFormat="1" applyFont="1"/>
    <xf numFmtId="43" fontId="2" fillId="0" borderId="0" xfId="1" applyFont="1"/>
    <xf numFmtId="43" fontId="28" fillId="0" borderId="0" xfId="1" applyFont="1"/>
    <xf numFmtId="4" fontId="2" fillId="0" borderId="0" xfId="0" applyNumberFormat="1" applyFont="1"/>
    <xf numFmtId="9" fontId="0" fillId="0" borderId="0" xfId="2" applyFont="1"/>
    <xf numFmtId="0" fontId="29" fillId="0" borderId="0" xfId="3"/>
    <xf numFmtId="0" fontId="29" fillId="9" borderId="9" xfId="3" applyFill="1" applyBorder="1"/>
    <xf numFmtId="4" fontId="29" fillId="0" borderId="0" xfId="3" applyNumberFormat="1" applyAlignment="1">
      <alignment horizontal="right"/>
    </xf>
    <xf numFmtId="0" fontId="29" fillId="10" borderId="9" xfId="3" applyFill="1" applyBorder="1"/>
    <xf numFmtId="4" fontId="29" fillId="10" borderId="9" xfId="3" applyNumberFormat="1" applyFill="1" applyBorder="1" applyAlignment="1">
      <alignment horizontal="right"/>
    </xf>
    <xf numFmtId="4" fontId="10" fillId="0" borderId="9" xfId="0" applyNumberFormat="1" applyFont="1" applyFill="1" applyBorder="1"/>
    <xf numFmtId="4" fontId="11" fillId="0" borderId="9" xfId="0" applyNumberFormat="1" applyFont="1" applyFill="1" applyBorder="1"/>
    <xf numFmtId="15" fontId="13" fillId="5" borderId="0" xfId="0" applyNumberFormat="1" applyFont="1" applyFill="1"/>
    <xf numFmtId="49" fontId="13" fillId="5" borderId="0" xfId="0" applyNumberFormat="1" applyFont="1" applyFill="1"/>
    <xf numFmtId="164" fontId="13" fillId="5" borderId="0" xfId="1" applyNumberFormat="1" applyFont="1" applyFill="1"/>
    <xf numFmtId="43" fontId="13" fillId="5" borderId="0" xfId="1" applyFont="1" applyFill="1"/>
    <xf numFmtId="9" fontId="19" fillId="0" borderId="9" xfId="2" applyNumberFormat="1" applyFont="1" applyBorder="1" applyAlignment="1">
      <alignment horizontal="center" vertical="center"/>
    </xf>
    <xf numFmtId="164" fontId="15" fillId="6" borderId="9" xfId="2" applyNumberFormat="1" applyFont="1" applyFill="1" applyBorder="1" applyAlignment="1">
      <alignment horizontal="center"/>
    </xf>
    <xf numFmtId="9" fontId="15" fillId="6" borderId="9" xfId="2" applyNumberFormat="1" applyFont="1" applyFill="1" applyBorder="1" applyAlignment="1">
      <alignment horizontal="center"/>
    </xf>
    <xf numFmtId="9" fontId="6" fillId="0" borderId="9" xfId="2" applyNumberFormat="1" applyFont="1" applyBorder="1" applyAlignment="1">
      <alignment horizontal="center" vertical="center"/>
    </xf>
    <xf numFmtId="9" fontId="25" fillId="6" borderId="9" xfId="2" applyNumberFormat="1" applyFont="1" applyFill="1" applyBorder="1" applyAlignment="1">
      <alignment horizontal="center" vertical="center"/>
    </xf>
    <xf numFmtId="164" fontId="11" fillId="0" borderId="9" xfId="2" applyNumberFormat="1" applyFont="1" applyBorder="1"/>
    <xf numFmtId="164" fontId="10" fillId="0" borderId="9" xfId="2" applyNumberFormat="1" applyFont="1" applyBorder="1"/>
    <xf numFmtId="0" fontId="29" fillId="8" borderId="0" xfId="3" applyFill="1"/>
    <xf numFmtId="4" fontId="29" fillId="8" borderId="0" xfId="3" applyNumberFormat="1" applyFill="1" applyAlignment="1">
      <alignment horizontal="right"/>
    </xf>
    <xf numFmtId="9" fontId="28" fillId="0" borderId="9" xfId="2" applyNumberFormat="1" applyFont="1" applyBorder="1" applyAlignment="1">
      <alignment horizontal="center" vertical="center"/>
    </xf>
    <xf numFmtId="9" fontId="18" fillId="0" borderId="9" xfId="2" applyNumberFormat="1" applyFont="1" applyBorder="1" applyAlignment="1">
      <alignment horizontal="center" vertical="center"/>
    </xf>
    <xf numFmtId="9" fontId="17" fillId="6" borderId="16" xfId="2" applyNumberFormat="1" applyFont="1" applyFill="1" applyBorder="1" applyAlignment="1">
      <alignment horizontal="center" vertical="center"/>
    </xf>
    <xf numFmtId="9" fontId="0" fillId="0" borderId="9" xfId="2" applyNumberFormat="1" applyFont="1" applyBorder="1" applyAlignment="1">
      <alignment horizontal="center"/>
    </xf>
    <xf numFmtId="0" fontId="25" fillId="6" borderId="9" xfId="0" applyFont="1" applyFill="1" applyBorder="1" applyAlignment="1">
      <alignment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40" fontId="17" fillId="6" borderId="11" xfId="0" applyNumberFormat="1" applyFont="1" applyFill="1" applyBorder="1" applyAlignment="1">
      <alignment horizontal="center" vertical="center" wrapText="1"/>
    </xf>
    <xf numFmtId="40" fontId="17" fillId="6" borderId="9" xfId="0" applyNumberFormat="1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top" wrapText="1" readingOrder="1"/>
    </xf>
    <xf numFmtId="0" fontId="10" fillId="0" borderId="23" xfId="0" applyFont="1" applyBorder="1" applyAlignment="1">
      <alignment horizontal="left" vertical="top" wrapText="1" readingOrder="1"/>
    </xf>
    <xf numFmtId="0" fontId="10" fillId="0" borderId="24" xfId="0" applyFont="1" applyBorder="1" applyAlignment="1">
      <alignment horizontal="center" vertical="top" wrapText="1" readingOrder="1"/>
    </xf>
    <xf numFmtId="0" fontId="10" fillId="0" borderId="23" xfId="0" applyFont="1" applyBorder="1" applyAlignment="1">
      <alignment horizontal="center" vertical="top" wrapText="1" readingOrder="1"/>
    </xf>
    <xf numFmtId="49" fontId="15" fillId="6" borderId="24" xfId="0" applyNumberFormat="1" applyFont="1" applyFill="1" applyBorder="1" applyAlignment="1">
      <alignment horizontal="center" vertical="center" wrapText="1" readingOrder="1"/>
    </xf>
    <xf numFmtId="49" fontId="15" fillId="6" borderId="23" xfId="0" applyNumberFormat="1" applyFont="1" applyFill="1" applyBorder="1" applyAlignment="1">
      <alignment horizontal="center" vertical="center" wrapText="1" readingOrder="1"/>
    </xf>
    <xf numFmtId="0" fontId="15" fillId="6" borderId="24" xfId="0" applyNumberFormat="1" applyFont="1" applyFill="1" applyBorder="1" applyAlignment="1">
      <alignment horizontal="center" vertical="center" wrapText="1" readingOrder="1"/>
    </xf>
    <xf numFmtId="0" fontId="15" fillId="6" borderId="23" xfId="0" applyNumberFormat="1" applyFont="1" applyFill="1" applyBorder="1" applyAlignment="1">
      <alignment horizontal="center" vertical="center" wrapText="1" readingOrder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Hoja1" xfId="3"/>
    <cellStyle name="Porcentaje" xfId="2" builtinId="5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541225729886639E-2"/>
          <c:y val="9.5364033797205122E-2"/>
          <c:w val="0.88483325877790919"/>
          <c:h val="0.612968086392709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4.8917101014115075E-2"/>
                  <c:y val="-4.156314985238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0785390904960901"/>
                  <c:y val="-3.194820328607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95044229013358E-2"/>
                  <c:y val="-2.530714222345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7942661297643771E-3"/>
                  <c:y val="-3.7415740767065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6021715469014919E-2"/>
                  <c:y val="-1.3761328047795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Hoja1!$B$18:$B$22</c:f>
              <c:strCache>
                <c:ptCount val="5"/>
                <c:pt idx="0">
                  <c:v>Remuneraciones + Cargas Patronales</c:v>
                </c:pt>
                <c:pt idx="1">
                  <c:v>Gasto Operativo</c:v>
                </c:pt>
                <c:pt idx="2">
                  <c:v>Inversión publica</c:v>
                </c:pt>
                <c:pt idx="3">
                  <c:v>Transferencias Corrientes</c:v>
                </c:pt>
                <c:pt idx="4">
                  <c:v>Transferencias de Capital</c:v>
                </c:pt>
              </c:strCache>
            </c:strRef>
          </c:cat>
          <c:val>
            <c:numRef>
              <c:f>Hoja1!$I$18:$I$22</c:f>
              <c:numCache>
                <c:formatCode>0%</c:formatCode>
                <c:ptCount val="5"/>
                <c:pt idx="0">
                  <c:v>0.97099074373879724</c:v>
                </c:pt>
                <c:pt idx="1">
                  <c:v>0.84343306619662639</c:v>
                </c:pt>
                <c:pt idx="2">
                  <c:v>0.80501693699822907</c:v>
                </c:pt>
                <c:pt idx="3">
                  <c:v>0.75148645305833039</c:v>
                </c:pt>
                <c:pt idx="4">
                  <c:v>0.99999999989161381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CONSOLIDADO</a:t>
            </a:r>
          </a:p>
          <a:p>
            <a:pPr>
              <a:defRPr/>
            </a:pPr>
            <a:r>
              <a:rPr lang="es-CR"/>
              <a:t>Devengado- Disponible Presupuestario</a:t>
            </a:r>
          </a:p>
        </c:rich>
      </c:tx>
      <c:layout>
        <c:manualLayout>
          <c:xMode val="edge"/>
          <c:yMode val="edge"/>
          <c:x val="0.17697849266167934"/>
          <c:y val="2.5127644758690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'COMPORT. RESUMEN'!$K$2</c:f>
              <c:strCache>
                <c:ptCount val="1"/>
                <c:pt idx="0">
                  <c:v>Devengado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partida'!$B$7:$B$12</c:f>
              <c:strCache>
                <c:ptCount val="6"/>
                <c:pt idx="0">
                  <c:v>0  REMUNERACIONES</c:v>
                </c:pt>
                <c:pt idx="1">
                  <c:v>1  SERVICIOS</c:v>
                </c:pt>
                <c:pt idx="2">
                  <c:v>2  MATERIALES Y SUMINIS</c:v>
                </c:pt>
                <c:pt idx="3">
                  <c:v>5  BIENES DURADEROS</c:v>
                </c:pt>
                <c:pt idx="4">
                  <c:v>6  TRANSF. CORRIENTES</c:v>
                </c:pt>
                <c:pt idx="5">
                  <c:v>7 TRANSF. DE CAPITAL</c:v>
                </c:pt>
              </c:strCache>
            </c:strRef>
          </c:cat>
          <c:val>
            <c:numRef>
              <c:f>'COMPORT. RESUMEN'!$L$4:$L$9</c:f>
              <c:numCache>
                <c:formatCode>0.00%</c:formatCode>
                <c:ptCount val="6"/>
                <c:pt idx="0">
                  <c:v>0.97183799041669494</c:v>
                </c:pt>
                <c:pt idx="1">
                  <c:v>9.7833722698254702E-2</c:v>
                </c:pt>
                <c:pt idx="2">
                  <c:v>0.13767964862161189</c:v>
                </c:pt>
                <c:pt idx="3">
                  <c:v>3.0709123201965068E-2</c:v>
                </c:pt>
                <c:pt idx="4">
                  <c:v>3.504623164996383E-2</c:v>
                </c:pt>
                <c:pt idx="5">
                  <c:v>0.11663775144755237</c:v>
                </c:pt>
              </c:numCache>
            </c:numRef>
          </c:val>
        </c:ser>
        <c:ser>
          <c:idx val="2"/>
          <c:order val="1"/>
          <c:tx>
            <c:strRef>
              <c:f>'COMPORT. RESUMEN'!$O$2</c:f>
              <c:strCache>
                <c:ptCount val="1"/>
                <c:pt idx="0">
                  <c:v>Disp. Pre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partida'!$B$7:$B$12</c:f>
              <c:strCache>
                <c:ptCount val="6"/>
                <c:pt idx="0">
                  <c:v>0  REMUNERACIONES</c:v>
                </c:pt>
                <c:pt idx="1">
                  <c:v>1  SERVICIOS</c:v>
                </c:pt>
                <c:pt idx="2">
                  <c:v>2  MATERIALES Y SUMINIS</c:v>
                </c:pt>
                <c:pt idx="3">
                  <c:v>5  BIENES DURADEROS</c:v>
                </c:pt>
                <c:pt idx="4">
                  <c:v>6  TRANSF. CORRIENTES</c:v>
                </c:pt>
                <c:pt idx="5">
                  <c:v>7 TRANSF. DE CAPITAL</c:v>
                </c:pt>
              </c:strCache>
            </c:strRef>
          </c:cat>
          <c:val>
            <c:numRef>
              <c:f>'COMPORT. RESUMEN'!$P$4:$P$9</c:f>
              <c:numCache>
                <c:formatCode>0.00%</c:formatCode>
                <c:ptCount val="6"/>
                <c:pt idx="0">
                  <c:v>2.7589814983529189E-2</c:v>
                </c:pt>
                <c:pt idx="1">
                  <c:v>4.6874381512381292E-3</c:v>
                </c:pt>
                <c:pt idx="2">
                  <c:v>1.2215165337070176E-2</c:v>
                </c:pt>
                <c:pt idx="3">
                  <c:v>1.8296175236149571E-3</c:v>
                </c:pt>
                <c:pt idx="4">
                  <c:v>7.4741566182643217E-3</c:v>
                </c:pt>
                <c:pt idx="5">
                  <c:v>1.2641926735834817E-11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6135632"/>
        <c:axId val="236136192"/>
      </c:barChart>
      <c:catAx>
        <c:axId val="23613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6136192"/>
        <c:crosses val="autoZero"/>
        <c:auto val="1"/>
        <c:lblAlgn val="ctr"/>
        <c:lblOffset val="100"/>
        <c:noMultiLvlLbl val="0"/>
      </c:catAx>
      <c:valAx>
        <c:axId val="23613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613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Presupuesto Ejecutado 2016</a:t>
            </a:r>
          </a:p>
          <a:p>
            <a:pPr>
              <a:defRPr/>
            </a:pPr>
            <a:r>
              <a:rPr lang="en-US"/>
              <a:t>Consolidado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MENSUAL!$B$2</c:f>
              <c:strCache>
                <c:ptCount val="1"/>
                <c:pt idx="0">
                  <c:v>Presupuesto Ejecutado (solicitado + comprometido + rec.mercancía + devengado)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MENSUAL!$A$3:$A$18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</c:v>
                </c:pt>
                <c:pt idx="9">
                  <c:v>26-AGO </c:v>
                </c:pt>
                <c:pt idx="10">
                  <c:v>31-AGO </c:v>
                </c:pt>
                <c:pt idx="11">
                  <c:v>30-SET</c:v>
                </c:pt>
                <c:pt idx="12">
                  <c:v>31-OCT</c:v>
                </c:pt>
                <c:pt idx="13">
                  <c:v>30-NOV</c:v>
                </c:pt>
                <c:pt idx="14">
                  <c:v>23-DIC</c:v>
                </c:pt>
              </c:strCache>
            </c:strRef>
          </c:cat>
          <c:val>
            <c:numRef>
              <c:f>MENSUAL!$B$3:$B$18</c:f>
              <c:numCache>
                <c:formatCode>0.00%</c:formatCode>
                <c:ptCount val="15"/>
                <c:pt idx="0">
                  <c:v>1.821882628574089E-2</c:v>
                </c:pt>
                <c:pt idx="1">
                  <c:v>0.20903043285817063</c:v>
                </c:pt>
                <c:pt idx="2">
                  <c:v>0.27127429643505274</c:v>
                </c:pt>
                <c:pt idx="3">
                  <c:v>0.3228908635887322</c:v>
                </c:pt>
                <c:pt idx="4">
                  <c:v>0.3969419773165343</c:v>
                </c:pt>
                <c:pt idx="5">
                  <c:v>0.41676701932310273</c:v>
                </c:pt>
                <c:pt idx="6">
                  <c:v>0.43804860238475724</c:v>
                </c:pt>
                <c:pt idx="7">
                  <c:v>0.48072702234201214</c:v>
                </c:pt>
                <c:pt idx="8">
                  <c:v>0.56934767110705753</c:v>
                </c:pt>
                <c:pt idx="9">
                  <c:v>0.62074131903397978</c:v>
                </c:pt>
                <c:pt idx="10">
                  <c:v>0.62074131903397978</c:v>
                </c:pt>
                <c:pt idx="11">
                  <c:v>0.67105326832929724</c:v>
                </c:pt>
                <c:pt idx="12">
                  <c:v>0.75680585633723607</c:v>
                </c:pt>
                <c:pt idx="13">
                  <c:v>0.84470874084676884</c:v>
                </c:pt>
                <c:pt idx="14">
                  <c:v>0.96365704544862685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6138432"/>
        <c:axId val="236138992"/>
      </c:barChart>
      <c:catAx>
        <c:axId val="23613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6138992"/>
        <c:crosses val="autoZero"/>
        <c:auto val="1"/>
        <c:lblAlgn val="ctr"/>
        <c:lblOffset val="100"/>
        <c:noMultiLvlLbl val="0"/>
      </c:catAx>
      <c:valAx>
        <c:axId val="2361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613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Disponible Presupuestario </a:t>
            </a:r>
          </a:p>
          <a:p>
            <a:pPr>
              <a:defRPr/>
            </a:pPr>
            <a:r>
              <a:rPr lang="en-US"/>
              <a:t>Consolidado</a:t>
            </a:r>
            <a:endParaRPr lang="es-CR"/>
          </a:p>
        </c:rich>
      </c:tx>
      <c:layout>
        <c:manualLayout>
          <c:xMode val="edge"/>
          <c:yMode val="edge"/>
          <c:x val="0.30352529639361508"/>
          <c:y val="1.957185413266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MENSUAL!$B$24</c:f>
              <c:strCache>
                <c:ptCount val="1"/>
                <c:pt idx="0">
                  <c:v>Disponible Presupuestario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MENSUAL!$A$25:$A$40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</c:v>
                </c:pt>
                <c:pt idx="9">
                  <c:v>26-AGO </c:v>
                </c:pt>
                <c:pt idx="10">
                  <c:v>31-AGO </c:v>
                </c:pt>
                <c:pt idx="11">
                  <c:v>30-SET</c:v>
                </c:pt>
                <c:pt idx="12">
                  <c:v>31-OCT</c:v>
                </c:pt>
                <c:pt idx="13">
                  <c:v>30-NOV</c:v>
                </c:pt>
                <c:pt idx="14">
                  <c:v>23-DIC</c:v>
                </c:pt>
              </c:strCache>
            </c:strRef>
          </c:cat>
          <c:val>
            <c:numRef>
              <c:f>MENSUAL!$B$25:$B$40</c:f>
              <c:numCache>
                <c:formatCode>0.00%</c:formatCode>
                <c:ptCount val="15"/>
                <c:pt idx="0">
                  <c:v>0.76959163485424309</c:v>
                </c:pt>
                <c:pt idx="1">
                  <c:v>0.57840456743308899</c:v>
                </c:pt>
                <c:pt idx="2">
                  <c:v>0.50848093857375021</c:v>
                </c:pt>
                <c:pt idx="3">
                  <c:v>0.6771091364112678</c:v>
                </c:pt>
                <c:pt idx="4">
                  <c:v>0.60305802268346564</c:v>
                </c:pt>
                <c:pt idx="5">
                  <c:v>0.58323298067689733</c:v>
                </c:pt>
                <c:pt idx="6">
                  <c:v>0.5619513976152426</c:v>
                </c:pt>
                <c:pt idx="7">
                  <c:v>0.51927297765798786</c:v>
                </c:pt>
                <c:pt idx="8">
                  <c:v>0.43064985331372413</c:v>
                </c:pt>
                <c:pt idx="9">
                  <c:v>0.3790841585123424</c:v>
                </c:pt>
                <c:pt idx="10">
                  <c:v>0.3790841585123424</c:v>
                </c:pt>
                <c:pt idx="11">
                  <c:v>0.32894673167070282</c:v>
                </c:pt>
                <c:pt idx="12">
                  <c:v>0.15529125915323111</c:v>
                </c:pt>
                <c:pt idx="13">
                  <c:v>0.15529125915323111</c:v>
                </c:pt>
                <c:pt idx="14">
                  <c:v>3.6342954551373027E-2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6141232"/>
        <c:axId val="236141792"/>
      </c:barChart>
      <c:catAx>
        <c:axId val="23614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6141792"/>
        <c:crosses val="autoZero"/>
        <c:auto val="1"/>
        <c:lblAlgn val="ctr"/>
        <c:lblOffset val="100"/>
        <c:noMultiLvlLbl val="0"/>
      </c:catAx>
      <c:valAx>
        <c:axId val="23614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614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096828039631135E-3"/>
          <c:y val="5.1288230598760101E-2"/>
          <c:w val="0.97235045917101015"/>
          <c:h val="0.92667885659492966"/>
        </c:manualLayout>
      </c:layout>
      <c:pie3DChart>
        <c:varyColors val="1"/>
        <c:ser>
          <c:idx val="0"/>
          <c:order val="0"/>
          <c:tx>
            <c:strRef>
              <c:f>'ANALISIS POR PROG'!$C$5</c:f>
              <c:strCache>
                <c:ptCount val="1"/>
                <c:pt idx="0">
                  <c:v>Apropiación Actual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9.3869387495592524E-2"/>
                  <c:y val="-7.90351085235140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8748686588208604E-2"/>
                  <c:y val="-8.483195495336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6070138942708965E-2"/>
                  <c:y val="-4.38766012031816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3520810031983145E-2"/>
                  <c:y val="-7.41494464803494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PROG'!$D$6:$D$10</c:f>
              <c:numCache>
                <c:formatCode>0%</c:formatCode>
                <c:ptCount val="5"/>
                <c:pt idx="0">
                  <c:v>2.3705302840448514E-2</c:v>
                </c:pt>
                <c:pt idx="1">
                  <c:v>7.4710727171269807E-3</c:v>
                </c:pt>
                <c:pt idx="2">
                  <c:v>7.7924699230152522E-2</c:v>
                </c:pt>
                <c:pt idx="3">
                  <c:v>0.77828590918057372</c:v>
                </c:pt>
                <c:pt idx="4">
                  <c:v>0.11261301603169829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98797599165671E-2"/>
          <c:y val="5.6004406763276872E-2"/>
          <c:w val="0.93128179415137446"/>
          <c:h val="0.91397349548749196"/>
        </c:manualLayout>
      </c:layout>
      <c:pie3DChart>
        <c:varyColors val="1"/>
        <c:ser>
          <c:idx val="0"/>
          <c:order val="0"/>
          <c:tx>
            <c:strRef>
              <c:f>'ANALISIS POR PROG'!$L$5</c:f>
              <c:strCache>
                <c:ptCount val="1"/>
                <c:pt idx="0">
                  <c:v>Devengado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'ANALISIS POR PROG'!$B$6:$B$10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PROG'!$M$6:$M$10</c:f>
              <c:numCache>
                <c:formatCode>0%</c:formatCode>
                <c:ptCount val="5"/>
                <c:pt idx="0">
                  <c:v>0.88526589241141873</c:v>
                </c:pt>
                <c:pt idx="1">
                  <c:v>0.89942246440310392</c:v>
                </c:pt>
                <c:pt idx="2">
                  <c:v>0.94686884717732644</c:v>
                </c:pt>
                <c:pt idx="3">
                  <c:v>0.94331409863563531</c:v>
                </c:pt>
                <c:pt idx="4">
                  <c:v>0.91648716581430723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COMPROMISO</a:t>
            </a:r>
          </a:p>
        </c:rich>
      </c:tx>
      <c:layout>
        <c:manualLayout>
          <c:xMode val="edge"/>
          <c:yMode val="edge"/>
          <c:x val="0.34262178004186283"/>
          <c:y val="3.2850334416312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842949996391147E-2"/>
          <c:y val="0.11687097893239864"/>
          <c:w val="0.96907738536170274"/>
          <c:h val="0.8523913009578088"/>
        </c:manualLayout>
      </c:layout>
      <c:pie3DChart>
        <c:varyColors val="1"/>
        <c:ser>
          <c:idx val="0"/>
          <c:order val="0"/>
          <c:tx>
            <c:strRef>
              <c:f>'ANALISIS POR PROG'!$G$5</c:f>
              <c:strCache>
                <c:ptCount val="1"/>
                <c:pt idx="0">
                  <c:v>Compromiso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PROG'!$I$6:$I$10</c:f>
              <c:numCache>
                <c:formatCode>0.0%</c:formatCode>
                <c:ptCount val="5"/>
                <c:pt idx="0">
                  <c:v>1.5367785053417444E-2</c:v>
                </c:pt>
                <c:pt idx="1">
                  <c:v>5.4024475474525151E-3</c:v>
                </c:pt>
                <c:pt idx="2">
                  <c:v>4.7586924933879825E-3</c:v>
                </c:pt>
                <c:pt idx="3">
                  <c:v>3.0312750275898987E-2</c:v>
                </c:pt>
                <c:pt idx="4">
                  <c:v>3.4298504393295674E-3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1">
            <a:lumMod val="5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DISPONIBLE</a:t>
            </a:r>
          </a:p>
        </c:rich>
      </c:tx>
      <c:layout>
        <c:manualLayout>
          <c:xMode val="edge"/>
          <c:yMode val="edge"/>
          <c:x val="0.39111169655218797"/>
          <c:y val="1.997824159434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'ANALISIS POR PROG'!$N$5</c:f>
              <c:strCache>
                <c:ptCount val="1"/>
                <c:pt idx="0">
                  <c:v>Disponible Presupuestario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PROG'!$O$6:$O$10</c:f>
              <c:numCache>
                <c:formatCode>0%</c:formatCode>
                <c:ptCount val="5"/>
                <c:pt idx="0">
                  <c:v>9.9354595521123246E-2</c:v>
                </c:pt>
                <c:pt idx="1">
                  <c:v>9.5175088049443579E-2</c:v>
                </c:pt>
                <c:pt idx="2">
                  <c:v>4.7897850152950436E-2</c:v>
                </c:pt>
                <c:pt idx="3">
                  <c:v>2.6373151088465691E-2</c:v>
                </c:pt>
                <c:pt idx="4">
                  <c:v>8.0082983746363287E-2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EJECUCIÓN POR PROGRAMA</a:t>
            </a:r>
          </a:p>
        </c:rich>
      </c:tx>
      <c:layout>
        <c:manualLayout>
          <c:xMode val="edge"/>
          <c:yMode val="edge"/>
          <c:x val="0.21160709078031914"/>
          <c:y val="2.8011204481792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'Ejecucion por Programa'!$AG$6</c:f>
              <c:strCache>
                <c:ptCount val="1"/>
                <c:pt idx="0">
                  <c:v>PROG 779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6.5816102067751871E-3"/>
                  <c:y val="7.76485692720655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Programa'!$AH$6:$AV$6</c:f>
              <c:numCache>
                <c:formatCode>0.0%</c:formatCode>
                <c:ptCount val="15"/>
                <c:pt idx="0">
                  <c:v>0</c:v>
                </c:pt>
                <c:pt idx="1">
                  <c:v>7.0419120509668698E-2</c:v>
                </c:pt>
                <c:pt idx="2">
                  <c:v>0.1051920636379533</c:v>
                </c:pt>
                <c:pt idx="3">
                  <c:v>0.16634194867651356</c:v>
                </c:pt>
                <c:pt idx="4">
                  <c:v>0.16634194867651356</c:v>
                </c:pt>
                <c:pt idx="5">
                  <c:v>0.21380633958732984</c:v>
                </c:pt>
                <c:pt idx="6">
                  <c:v>0.26041464032126493</c:v>
                </c:pt>
                <c:pt idx="7">
                  <c:v>0.30336542002214928</c:v>
                </c:pt>
                <c:pt idx="8">
                  <c:v>0.35385834581634595</c:v>
                </c:pt>
                <c:pt idx="9">
                  <c:v>0.52629880850785726</c:v>
                </c:pt>
                <c:pt idx="10">
                  <c:v>0.54138361692075698</c:v>
                </c:pt>
                <c:pt idx="11">
                  <c:v>0.59700785352283037</c:v>
                </c:pt>
                <c:pt idx="12">
                  <c:v>0.70674797079911356</c:v>
                </c:pt>
                <c:pt idx="13">
                  <c:v>0.76869545581451726</c:v>
                </c:pt>
                <c:pt idx="14">
                  <c:v>0.88526589241141873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'Ejecucion por Programa'!$AG$7</c:f>
              <c:strCache>
                <c:ptCount val="1"/>
                <c:pt idx="0">
                  <c:v>PROG 780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2.4539877300613498E-2"/>
                  <c:y val="8.528784648187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649122807017545E-2"/>
                  <c:y val="-1.8691584200067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0175438596491229E-3"/>
                  <c:y val="-1.869158420006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0480066996972884E-2"/>
                  <c:y val="-3.894080041680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939393939393943E-2"/>
                      <c:h val="7.7834994521305337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1.7014848506892912E-2"/>
                  <c:y val="7.1651072766926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Programa'!$AH$7:$AV$7</c:f>
              <c:numCache>
                <c:formatCode>0.0%</c:formatCode>
                <c:ptCount val="15"/>
                <c:pt idx="0">
                  <c:v>0</c:v>
                </c:pt>
                <c:pt idx="1">
                  <c:v>9.847306681403302E-2</c:v>
                </c:pt>
                <c:pt idx="2">
                  <c:v>0.14412050791800232</c:v>
                </c:pt>
                <c:pt idx="3">
                  <c:v>0.22521648410063372</c:v>
                </c:pt>
                <c:pt idx="4">
                  <c:v>0.22521648410063372</c:v>
                </c:pt>
                <c:pt idx="5">
                  <c:v>0.28187128888614627</c:v>
                </c:pt>
                <c:pt idx="6">
                  <c:v>0.33919628395495699</c:v>
                </c:pt>
                <c:pt idx="7">
                  <c:v>0.39732708495640168</c:v>
                </c:pt>
                <c:pt idx="8">
                  <c:v>0.46004519725307963</c:v>
                </c:pt>
                <c:pt idx="9">
                  <c:v>0.5127507660757088</c:v>
                </c:pt>
                <c:pt idx="10">
                  <c:v>0.54261820773149716</c:v>
                </c:pt>
                <c:pt idx="11">
                  <c:v>0.60221737638396511</c:v>
                </c:pt>
                <c:pt idx="12">
                  <c:v>0.67315665049193119</c:v>
                </c:pt>
                <c:pt idx="13">
                  <c:v>0.74984207286196081</c:v>
                </c:pt>
                <c:pt idx="14">
                  <c:v>0.89942246440310392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'Ejecucion por Programa'!$AG$8</c:f>
              <c:strCache>
                <c:ptCount val="1"/>
                <c:pt idx="0">
                  <c:v>PROG 781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0"/>
                  <c:y val="-3.5523978685612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912280701754438E-2"/>
                  <c:y val="-1.7452101589005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210526315789472E-3"/>
                  <c:y val="-9.3457921000338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489283759316181E-3"/>
                  <c:y val="-4.6728960500169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2.492211226675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0562289480642899E-2"/>
                  <c:y val="-6.891773519814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Programa'!$AH$8:$AV$8</c:f>
              <c:numCache>
                <c:formatCode>0.0%</c:formatCode>
                <c:ptCount val="15"/>
                <c:pt idx="0">
                  <c:v>0</c:v>
                </c:pt>
                <c:pt idx="1">
                  <c:v>0.1034676705007908</c:v>
                </c:pt>
                <c:pt idx="2">
                  <c:v>0.14685775682797078</c:v>
                </c:pt>
                <c:pt idx="3">
                  <c:v>0.23832923646647955</c:v>
                </c:pt>
                <c:pt idx="4">
                  <c:v>0.23832923646647955</c:v>
                </c:pt>
                <c:pt idx="5">
                  <c:v>0.30143125937641302</c:v>
                </c:pt>
                <c:pt idx="6">
                  <c:v>0.35710474336060977</c:v>
                </c:pt>
                <c:pt idx="7">
                  <c:v>0.42067539423026834</c:v>
                </c:pt>
                <c:pt idx="8">
                  <c:v>0.48457547136075985</c:v>
                </c:pt>
                <c:pt idx="9">
                  <c:v>0.5420373509532308</c:v>
                </c:pt>
                <c:pt idx="10">
                  <c:v>0.57130568807912852</c:v>
                </c:pt>
                <c:pt idx="11">
                  <c:v>0.64107788372986207</c:v>
                </c:pt>
                <c:pt idx="12">
                  <c:v>0.71372859373685638</c:v>
                </c:pt>
                <c:pt idx="13">
                  <c:v>0.78155259840657876</c:v>
                </c:pt>
                <c:pt idx="14">
                  <c:v>0.94686884717732644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'Ejecucion por Programa'!$AG$9</c:f>
              <c:strCache>
                <c:ptCount val="1"/>
                <c:pt idx="0">
                  <c:v>PROG 783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-7.6257515764774891E-3"/>
                  <c:y val="-9.0342656966993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Programa'!$AH$9:$AV$9</c:f>
              <c:numCache>
                <c:formatCode>0.0%</c:formatCode>
                <c:ptCount val="15"/>
                <c:pt idx="0">
                  <c:v>0</c:v>
                </c:pt>
                <c:pt idx="1">
                  <c:v>8.2754659490175769E-2</c:v>
                </c:pt>
                <c:pt idx="2">
                  <c:v>0.12395199074682743</c:v>
                </c:pt>
                <c:pt idx="3">
                  <c:v>0.2057917742419221</c:v>
                </c:pt>
                <c:pt idx="4">
                  <c:v>0.2057917742419221</c:v>
                </c:pt>
                <c:pt idx="5">
                  <c:v>0.26576438671716529</c:v>
                </c:pt>
                <c:pt idx="6">
                  <c:v>0.32424020876802151</c:v>
                </c:pt>
                <c:pt idx="7">
                  <c:v>0.38137051910877928</c:v>
                </c:pt>
                <c:pt idx="8">
                  <c:v>0.44617821619113329</c:v>
                </c:pt>
                <c:pt idx="9">
                  <c:v>0.48714224106997811</c:v>
                </c:pt>
                <c:pt idx="10">
                  <c:v>0.5099788499543082</c:v>
                </c:pt>
                <c:pt idx="11">
                  <c:v>0.57139356645109007</c:v>
                </c:pt>
                <c:pt idx="12">
                  <c:v>0.63477107375470487</c:v>
                </c:pt>
                <c:pt idx="13">
                  <c:v>0.70808288615654291</c:v>
                </c:pt>
                <c:pt idx="14">
                  <c:v>0.94331409863563531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'Ejecucion por Programa'!$AG$10</c:f>
              <c:strCache>
                <c:ptCount val="1"/>
                <c:pt idx="0">
                  <c:v>PROG 784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8.9279953072297982E-3"/>
                  <c:y val="-2.0225913060585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Programa'!$AH$10:$AV$10</c:f>
              <c:numCache>
                <c:formatCode>0.0%</c:formatCode>
                <c:ptCount val="15"/>
                <c:pt idx="0">
                  <c:v>0</c:v>
                </c:pt>
                <c:pt idx="1">
                  <c:v>0.11570925218181546</c:v>
                </c:pt>
                <c:pt idx="2">
                  <c:v>0.1626488165739505</c:v>
                </c:pt>
                <c:pt idx="3">
                  <c:v>0.25129019514931733</c:v>
                </c:pt>
                <c:pt idx="4">
                  <c:v>0.25129019514931733</c:v>
                </c:pt>
                <c:pt idx="5">
                  <c:v>0.31431923888391666</c:v>
                </c:pt>
                <c:pt idx="6">
                  <c:v>0.38348291768852633</c:v>
                </c:pt>
                <c:pt idx="7">
                  <c:v>0.44740282664124387</c:v>
                </c:pt>
                <c:pt idx="8">
                  <c:v>0.51275678897521071</c:v>
                </c:pt>
                <c:pt idx="9">
                  <c:v>0.5531082270342087</c:v>
                </c:pt>
                <c:pt idx="10">
                  <c:v>0.57968585922017446</c:v>
                </c:pt>
                <c:pt idx="11">
                  <c:v>0.64460673182559847</c:v>
                </c:pt>
                <c:pt idx="12">
                  <c:v>0.70797571855644348</c:v>
                </c:pt>
                <c:pt idx="13">
                  <c:v>0.77281210486863083</c:v>
                </c:pt>
                <c:pt idx="14">
                  <c:v>0.91648716581430723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057040"/>
        <c:axId val="238057600"/>
      </c:lineChart>
      <c:catAx>
        <c:axId val="23805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8057600"/>
        <c:crosses val="autoZero"/>
        <c:auto val="1"/>
        <c:lblAlgn val="ctr"/>
        <c:lblOffset val="100"/>
        <c:noMultiLvlLbl val="1"/>
      </c:catAx>
      <c:valAx>
        <c:axId val="2380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805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solidFill>
        <a:schemeClr val="accent1">
          <a:lumMod val="50000"/>
        </a:schemeClr>
      </a:solidFill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2170338</xdr:colOff>
      <xdr:row>25</xdr:row>
      <xdr:rowOff>40140</xdr:rowOff>
    </xdr:from>
    <xdr:to>
      <xdr:col>8</xdr:col>
      <xdr:colOff>56697</xdr:colOff>
      <xdr:row>42</xdr:row>
      <xdr:rowOff>90714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11</xdr:row>
      <xdr:rowOff>95250</xdr:rowOff>
    </xdr:from>
    <xdr:to>
      <xdr:col>14</xdr:col>
      <xdr:colOff>361950</xdr:colOff>
      <xdr:row>28</xdr:row>
      <xdr:rowOff>180975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0</xdr:row>
      <xdr:rowOff>80962</xdr:rowOff>
    </xdr:from>
    <xdr:to>
      <xdr:col>10</xdr:col>
      <xdr:colOff>561975</xdr:colOff>
      <xdr:row>18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95249</xdr:colOff>
      <xdr:row>21</xdr:row>
      <xdr:rowOff>185736</xdr:rowOff>
    </xdr:from>
    <xdr:to>
      <xdr:col>10</xdr:col>
      <xdr:colOff>552450</xdr:colOff>
      <xdr:row>41</xdr:row>
      <xdr:rowOff>171450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68715</xdr:colOff>
      <xdr:row>12</xdr:row>
      <xdr:rowOff>49542</xdr:rowOff>
    </xdr:from>
    <xdr:to>
      <xdr:col>6</xdr:col>
      <xdr:colOff>1059656</xdr:colOff>
      <xdr:row>32</xdr:row>
      <xdr:rowOff>160812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94821</xdr:colOff>
      <xdr:row>12</xdr:row>
      <xdr:rowOff>83344</xdr:rowOff>
    </xdr:from>
    <xdr:to>
      <xdr:col>15</xdr:col>
      <xdr:colOff>142874</xdr:colOff>
      <xdr:row>32</xdr:row>
      <xdr:rowOff>183697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152523</xdr:colOff>
      <xdr:row>33</xdr:row>
      <xdr:rowOff>92007</xdr:rowOff>
    </xdr:from>
    <xdr:to>
      <xdr:col>6</xdr:col>
      <xdr:colOff>1083468</xdr:colOff>
      <xdr:row>54</xdr:row>
      <xdr:rowOff>3248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1184443</xdr:colOff>
      <xdr:row>33</xdr:row>
      <xdr:rowOff>71902</xdr:rowOff>
    </xdr:from>
    <xdr:to>
      <xdr:col>15</xdr:col>
      <xdr:colOff>250031</xdr:colOff>
      <xdr:row>54</xdr:row>
      <xdr:rowOff>16544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13</xdr:row>
      <xdr:rowOff>104774</xdr:rowOff>
    </xdr:from>
    <xdr:to>
      <xdr:col>29</xdr:col>
      <xdr:colOff>495300</xdr:colOff>
      <xdr:row>34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30-oct-2015\Ejecuci&#243;n%20Presupuestaria%2001-Oct-15%20Prog%2077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3%20con%20BID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royo/Documents/Ministerio%20de%20Justicia%20y%20Paz/Informes%20de%20Ejecucion%20Mensuales/Agosto-2015/INFORME%20DE%20EJECUCION%20%20AL%2031-AGOSTO-2015%20CONSOLID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&#243;n%20Presupuestaria%2031-Dic-16%20Prog%2077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&#243;n%20Presupuestaria%2031-Dic-16%20Prog%2078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&#243;n%20Presupuestaria%2031-Dic-16%20Prog%2078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&#243;n%20Presupuestaria%2031-Dic-16%20Prog%2078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&#243;n%20Presupuestaria%2031-Dic-16%20Prog%2078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\Comportamiento%2023-oct-15\Informe%20ejecucion%2023-10-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comport. resumen"/>
      <sheetName val="mensual"/>
      <sheetName val="SIGAF"/>
    </sheetNames>
    <sheetDataSet>
      <sheetData sheetId="0"/>
      <sheetData sheetId="1">
        <row r="1">
          <cell r="E1" t="str">
            <v xml:space="preserve"> Solicitado </v>
          </cell>
        </row>
        <row r="2">
          <cell r="F2" t="str">
            <v>Compromiso</v>
          </cell>
          <cell r="G2" t="str">
            <v>Rec. M/cía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886495000</v>
          </cell>
          <cell r="C10">
            <v>344496181.24000001</v>
          </cell>
          <cell r="D10">
            <v>196164904.31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9259897000</v>
          </cell>
          <cell r="C10">
            <v>2809082347.3700004</v>
          </cell>
          <cell r="D10">
            <v>2552094589.6900001</v>
          </cell>
        </row>
      </sheetData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B10">
            <v>152948794714.44</v>
          </cell>
          <cell r="C10">
            <v>69213232409.300003</v>
          </cell>
          <cell r="D10">
            <v>29520016193.59</v>
          </cell>
        </row>
      </sheetData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B10">
            <v>13799039000</v>
          </cell>
          <cell r="C10">
            <v>4783423549.5699997</v>
          </cell>
          <cell r="D10">
            <v>3910561059.5099998</v>
          </cell>
          <cell r="E10">
            <v>872862490.06000042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sigaf"/>
      <sheetName val="RESUMEN"/>
      <sheetName val="GRAF. MENSUALES EJEC. Y DISP."/>
    </sheetNames>
    <sheetDataSet>
      <sheetData sheetId="0">
        <row r="5">
          <cell r="A5" t="str">
            <v>214  - Ministerio de Justicia y Gracia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SIGAF"/>
      <sheetName val="ejecución"/>
      <sheetName val="Resumen partida"/>
      <sheetName val="Hoja4"/>
      <sheetName val="proyeccion"/>
      <sheetName val="Resumen por Partida"/>
      <sheetName val="comport. resumen"/>
      <sheetName val="mensual"/>
    </sheetNames>
    <sheetDataSet>
      <sheetData sheetId="0">
        <row r="10">
          <cell r="C10">
            <v>2775642622</v>
          </cell>
          <cell r="E10">
            <v>32550</v>
          </cell>
          <cell r="G10">
            <v>42655479.200000003</v>
          </cell>
          <cell r="I10">
            <v>0</v>
          </cell>
          <cell r="K10">
            <v>2457181742.7800002</v>
          </cell>
          <cell r="O10">
            <v>275772850.01999998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874784347</v>
          </cell>
          <cell r="E10">
            <v>0</v>
          </cell>
          <cell r="G10">
            <v>4725976.55</v>
          </cell>
          <cell r="I10">
            <v>0</v>
          </cell>
          <cell r="K10">
            <v>786800693.20000005</v>
          </cell>
          <cell r="O10">
            <v>83257677.25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ion"/>
      <sheetName val="comport.resumen"/>
      <sheetName val="mensual"/>
    </sheetNames>
    <sheetDataSet>
      <sheetData sheetId="0">
        <row r="10">
          <cell r="C10">
            <v>9124165928</v>
          </cell>
          <cell r="E10">
            <v>4330422</v>
          </cell>
          <cell r="G10">
            <v>43419099.909999996</v>
          </cell>
          <cell r="I10">
            <v>0</v>
          </cell>
          <cell r="K10">
            <v>8639388473.7000008</v>
          </cell>
          <cell r="O10">
            <v>437027932.38999999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Presupues Ley vrs Actual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91129126515</v>
          </cell>
          <cell r="E10">
            <v>0</v>
          </cell>
          <cell r="G10">
            <v>2762374454.9099998</v>
          </cell>
          <cell r="I10">
            <v>0</v>
          </cell>
          <cell r="K10">
            <v>85963389837.949997</v>
          </cell>
          <cell r="O10">
            <v>2403362222.1399999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13185804425</v>
          </cell>
          <cell r="E10">
            <v>0</v>
          </cell>
          <cell r="G10">
            <v>45225337.100000001</v>
          </cell>
          <cell r="I10">
            <v>0</v>
          </cell>
          <cell r="K10">
            <v>12084620526.450001</v>
          </cell>
          <cell r="O10">
            <v>1055958561.45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779"/>
      <sheetName val="Resumen 779"/>
      <sheetName val="Prog.780"/>
      <sheetName val="Resumen 780"/>
      <sheetName val="Prog.781"/>
      <sheetName val="Resumen 781"/>
      <sheetName val="Prog.783"/>
      <sheetName val="Resumen 783"/>
      <sheetName val="Prog.784"/>
      <sheetName val="Resumen 784"/>
      <sheetName val="Consolidado"/>
      <sheetName val="Resumen Consolidado"/>
      <sheetName val="Analisis Programas"/>
    </sheetNames>
    <sheetDataSet>
      <sheetData sheetId="0" refreshError="1"/>
      <sheetData sheetId="1">
        <row r="37">
          <cell r="B37" t="str">
            <v>1  SERVICIOS</v>
          </cell>
        </row>
      </sheetData>
      <sheetData sheetId="2" refreshError="1"/>
      <sheetData sheetId="3">
        <row r="36">
          <cell r="E36" t="str">
            <v>Compromiso</v>
          </cell>
        </row>
      </sheetData>
      <sheetData sheetId="4" refreshError="1"/>
      <sheetData sheetId="5">
        <row r="42">
          <cell r="C42">
            <v>1365352000</v>
          </cell>
        </row>
      </sheetData>
      <sheetData sheetId="6" refreshError="1"/>
      <sheetData sheetId="7">
        <row r="37">
          <cell r="B37" t="str">
            <v>1  SERVICIOS</v>
          </cell>
        </row>
      </sheetData>
      <sheetData sheetId="8" refreshError="1"/>
      <sheetData sheetId="9">
        <row r="42">
          <cell r="C42">
            <v>1007732000</v>
          </cell>
        </row>
      </sheetData>
      <sheetData sheetId="10" refreshError="1"/>
      <sheetData sheetId="11">
        <row r="36">
          <cell r="E36" t="str">
            <v>Compromiso</v>
          </cell>
        </row>
      </sheetData>
      <sheetData sheetId="12">
        <row r="5">
          <cell r="C5" t="str">
            <v xml:space="preserve">Apropiación Actual </v>
          </cell>
        </row>
        <row r="6">
          <cell r="B6" t="str">
            <v>PROG 779</v>
          </cell>
        </row>
        <row r="7">
          <cell r="B7" t="str">
            <v>PROG 780</v>
          </cell>
        </row>
        <row r="8">
          <cell r="B8" t="str">
            <v>PROG 781</v>
          </cell>
        </row>
        <row r="9">
          <cell r="B9" t="str">
            <v>PROG 783</v>
          </cell>
        </row>
        <row r="10">
          <cell r="B10" t="str">
            <v>PROG 784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3104857000</v>
          </cell>
          <cell r="C10">
            <v>1064850521.0999999</v>
          </cell>
          <cell r="D10">
            <v>817913281.75999999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8"/>
  <sheetViews>
    <sheetView topLeftCell="B1" zoomScale="84" zoomScaleNormal="84" workbookViewId="0">
      <selection activeCell="L31" sqref="L31"/>
    </sheetView>
  </sheetViews>
  <sheetFormatPr baseColWidth="10" defaultRowHeight="15" x14ac:dyDescent="0.25"/>
  <cols>
    <col min="1" max="1" width="23" hidden="1" customWidth="1"/>
    <col min="2" max="2" width="39.5703125" customWidth="1"/>
    <col min="3" max="4" width="19.42578125" hidden="1" customWidth="1"/>
    <col min="5" max="6" width="17.140625" customWidth="1"/>
    <col min="7" max="7" width="14.140625" hidden="1" customWidth="1"/>
    <col min="8" max="8" width="19.42578125" bestFit="1" customWidth="1"/>
    <col min="9" max="9" width="13.28515625" customWidth="1"/>
    <col min="10" max="10" width="18.28515625" bestFit="1" customWidth="1"/>
    <col min="11" max="11" width="28.42578125" hidden="1" customWidth="1"/>
    <col min="12" max="12" width="16.5703125" customWidth="1"/>
  </cols>
  <sheetData>
    <row r="1" spans="1:19" ht="15.75" x14ac:dyDescent="0.25">
      <c r="B1" s="184" t="s">
        <v>58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36"/>
      <c r="N1" s="36"/>
      <c r="O1" s="36"/>
      <c r="P1" s="36"/>
      <c r="Q1" s="36"/>
      <c r="R1" s="36"/>
      <c r="S1" s="37"/>
    </row>
    <row r="2" spans="1:19" ht="15" customHeight="1" x14ac:dyDescent="0.25">
      <c r="B2" s="184" t="s">
        <v>57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9" ht="15" customHeight="1" x14ac:dyDescent="0.25">
      <c r="B3" s="184" t="s">
        <v>55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38"/>
      <c r="N3" s="38"/>
      <c r="O3" s="38"/>
      <c r="P3" s="38"/>
      <c r="Q3" s="38"/>
      <c r="R3" s="38"/>
      <c r="S3" s="39"/>
    </row>
    <row r="5" spans="1:19" ht="17.25" hidden="1" x14ac:dyDescent="0.25">
      <c r="B5" s="183" t="s">
        <v>0</v>
      </c>
      <c r="C5" s="183" t="s">
        <v>1</v>
      </c>
      <c r="D5" s="183" t="s">
        <v>2</v>
      </c>
      <c r="E5" s="183" t="s">
        <v>3</v>
      </c>
      <c r="F5" s="182" t="s">
        <v>4</v>
      </c>
      <c r="G5" s="182"/>
      <c r="H5" s="182"/>
      <c r="I5" s="139"/>
      <c r="J5" s="183" t="s">
        <v>6</v>
      </c>
      <c r="K5" s="183" t="s">
        <v>7</v>
      </c>
      <c r="L5" s="183" t="s">
        <v>8</v>
      </c>
    </row>
    <row r="6" spans="1:19" ht="34.5" x14ac:dyDescent="0.25">
      <c r="B6" s="183"/>
      <c r="C6" s="183"/>
      <c r="D6" s="183"/>
      <c r="E6" s="183"/>
      <c r="F6" s="139" t="s">
        <v>43</v>
      </c>
      <c r="G6" s="139" t="s">
        <v>31</v>
      </c>
      <c r="H6" s="139" t="s">
        <v>33</v>
      </c>
      <c r="I6" s="139" t="s">
        <v>578</v>
      </c>
      <c r="J6" s="183"/>
      <c r="K6" s="183"/>
      <c r="L6" s="183"/>
    </row>
    <row r="7" spans="1:19" ht="16.5" x14ac:dyDescent="0.25">
      <c r="A7" s="141" t="str">
        <f>+Estado!A11</f>
        <v>E-0</v>
      </c>
      <c r="B7" s="142" t="s">
        <v>9</v>
      </c>
      <c r="C7" s="16">
        <f>SUMIF(Estado!$A$9:$A$364,$A7,Estado!$C$9:$C$364)</f>
        <v>79101866424</v>
      </c>
      <c r="D7" s="16">
        <f ca="1">SUMIF(Estado!$A$9:$A$364,$A7,Estado!$D$9:$D$364)</f>
        <v>79098952023</v>
      </c>
      <c r="E7" s="16">
        <f>SUMIF(Estado!$A$9:$A$364,$A7,Estado!$E$9:$E$364)</f>
        <v>0</v>
      </c>
      <c r="F7" s="16">
        <f>SUMIF(Estado!$A$9:$A$364,$A7,Estado!$G$9:$G$364)</f>
        <v>45261660.800000004</v>
      </c>
      <c r="G7" s="16">
        <f>SUMIF(Estado!$A$9:$A$364,$A7,Estado!$I$9:$I$364)</f>
        <v>0</v>
      </c>
      <c r="H7" s="16">
        <f>SUMIF(Estado!$A$9:$A$364,$A7,Estado!$K$9:$K$364)</f>
        <v>76874198903.709991</v>
      </c>
      <c r="I7" s="172">
        <f t="shared" ref="I7:I13" si="0">+H7/C7</f>
        <v>0.97183799041669494</v>
      </c>
      <c r="J7" s="16">
        <f ca="1">SUMIF(Estado!$A$9:$A$364,$A7,Estado!$O$9:$O$364)</f>
        <v>2182405859.4899998</v>
      </c>
      <c r="K7" s="18">
        <f>SUM(F7:H7)/C7</f>
        <v>0.9724101850164707</v>
      </c>
      <c r="L7" s="172">
        <f t="shared" ref="L7:L13" ca="1" si="1">+J7/C7</f>
        <v>2.7589814983529189E-2</v>
      </c>
    </row>
    <row r="8" spans="1:19" ht="16.5" x14ac:dyDescent="0.25">
      <c r="A8" s="141" t="str">
        <f>+Estado!A62</f>
        <v>E-1</v>
      </c>
      <c r="B8" s="142" t="s">
        <v>10</v>
      </c>
      <c r="C8" s="16">
        <f>SUMIF(Estado!$A$9:$A$364,$A8,Estado!$C$9:$C$364)</f>
        <v>9118490598</v>
      </c>
      <c r="D8" s="16">
        <f ca="1">SUMIF(Estado!$A$9:$A$364,$A8,Estado!$D$9:$D$364)</f>
        <v>9118490575.4300003</v>
      </c>
      <c r="E8" s="16">
        <f>SUMIF(Estado!$A$9:$A$364,$A8,Estado!$E$9:$E$364)</f>
        <v>4362972</v>
      </c>
      <c r="F8" s="16">
        <f>SUMIF(Estado!$A$9:$A$364,$A8,Estado!$G$9:$G$364)</f>
        <v>1004512454.8499999</v>
      </c>
      <c r="G8" s="16">
        <f>SUMIF(Estado!$A$9:$A$364,$A8,Estado!$I$9:$I$364)</f>
        <v>0</v>
      </c>
      <c r="H8" s="16">
        <f>SUMIF(Estado!$A$9:$A$364,$A8,Estado!$K$9:$K$364)</f>
        <v>7738830064.6400003</v>
      </c>
      <c r="I8" s="172">
        <f t="shared" si="0"/>
        <v>0.84869639130158159</v>
      </c>
      <c r="J8" s="16">
        <f ca="1">SUMIF(Estado!$A$9:$A$364,$A8,Estado!$O$9:$O$364)</f>
        <v>370785106.50999999</v>
      </c>
      <c r="K8" s="18">
        <f t="shared" ref="K8:K13" si="2">SUM(F8:H8)/C8</f>
        <v>0.95885853316641212</v>
      </c>
      <c r="L8" s="172">
        <f t="shared" ca="1" si="1"/>
        <v>4.0662991591100171E-2</v>
      </c>
    </row>
    <row r="9" spans="1:19" ht="16.5" x14ac:dyDescent="0.25">
      <c r="A9" s="141" t="str">
        <f>+Estado!A115</f>
        <v>E-2</v>
      </c>
      <c r="B9" s="142" t="s">
        <v>579</v>
      </c>
      <c r="C9" s="16">
        <f>SUMIF(Estado!$A$9:$A$364,$A9,Estado!$C$9:$C$364)</f>
        <v>12969269517</v>
      </c>
      <c r="D9" s="16">
        <f ca="1">SUMIF(Estado!$A$9:$A$364,$A9,Estado!$D$9:$D$364)</f>
        <v>12969269510.41</v>
      </c>
      <c r="E9" s="16">
        <f>SUMIF(Estado!$A$9:$A$364,$A9,Estado!$E$9:$E$364)</f>
        <v>0</v>
      </c>
      <c r="F9" s="16">
        <f>SUMIF(Estado!$A$9:$A$364,$A9,Estado!$G$9:$G$364)</f>
        <v>1112309965.5900002</v>
      </c>
      <c r="G9" s="16">
        <f>SUMIF(Estado!$A$9:$A$364,$A9,Estado!$I$9:$I$364)</f>
        <v>0</v>
      </c>
      <c r="H9" s="16">
        <f>SUMIF(Estado!$A$9:$A$364,$A9,Estado!$K$9:$K$364)</f>
        <v>10890717174.57</v>
      </c>
      <c r="I9" s="172">
        <f t="shared" si="0"/>
        <v>0.83973250461751503</v>
      </c>
      <c r="J9" s="16">
        <f ca="1">SUMIF(Estado!$A$9:$A$364,$A9,Estado!$O$9:$O$364)</f>
        <v>966242376.84000003</v>
      </c>
      <c r="K9" s="18">
        <f t="shared" si="2"/>
        <v>0.92549754821785002</v>
      </c>
      <c r="L9" s="172">
        <f t="shared" ca="1" si="1"/>
        <v>7.4502451782149981E-2</v>
      </c>
    </row>
    <row r="10" spans="1:19" ht="16.5" x14ac:dyDescent="0.25">
      <c r="A10" s="141" t="str">
        <f>+Estado!A145</f>
        <v>E-5</v>
      </c>
      <c r="B10" s="142" t="s">
        <v>12</v>
      </c>
      <c r="C10" s="16">
        <f>SUMIF(Estado!$A$9:$A$364,$A10,Estado!$C$9:$C$364)</f>
        <v>3017512862</v>
      </c>
      <c r="D10" s="16">
        <f ca="1">SUMIF(Estado!$A$9:$A$364,$A10,Estado!$D$9:$D$364)</f>
        <v>3017512861</v>
      </c>
      <c r="E10" s="16">
        <f>SUMIF(Estado!$A$9:$A$364,$A10,Estado!$E$9:$E$364)</f>
        <v>0</v>
      </c>
      <c r="F10" s="16">
        <f>SUMIF(Estado!$A$9:$A$364,$A10,Estado!$G$9:$G$364)</f>
        <v>443637739.51999998</v>
      </c>
      <c r="G10" s="16">
        <f>SUMIF(Estado!$A$9:$A$364,$A10,Estado!$I$9:$I$364)</f>
        <v>0</v>
      </c>
      <c r="H10" s="16">
        <f>SUMIF(Estado!$A$9:$A$364,$A10,Estado!$K$9:$K$364)</f>
        <v>2429148961.52</v>
      </c>
      <c r="I10" s="172">
        <f t="shared" si="0"/>
        <v>0.80501693699822907</v>
      </c>
      <c r="J10" s="16">
        <f ca="1">SUMIF(Estado!$A$9:$A$364,$A10,Estado!$O$9:$O$364)</f>
        <v>144726160.96000001</v>
      </c>
      <c r="K10" s="18">
        <f t="shared" si="2"/>
        <v>0.95203793071354936</v>
      </c>
      <c r="L10" s="172">
        <f t="shared" ca="1" si="1"/>
        <v>4.7962069286450651E-2</v>
      </c>
    </row>
    <row r="11" spans="1:19" ht="16.5" x14ac:dyDescent="0.25">
      <c r="A11" s="141" t="str">
        <f>+Estado!A160</f>
        <v>E-6</v>
      </c>
      <c r="B11" s="142" t="s">
        <v>13</v>
      </c>
      <c r="C11" s="16">
        <f>SUMIF(Estado!$A$9:$A$364,$A11,Estado!$C$9:$C$364)</f>
        <v>3656120600</v>
      </c>
      <c r="D11" s="16">
        <f ca="1">SUMIF(Estado!$A$9:$A$364,$A11,Estado!$D$9:$D$364)</f>
        <v>3656120598.4099998</v>
      </c>
      <c r="E11" s="16">
        <f>SUMIF(Estado!$A$9:$A$364,$A11,Estado!$E$9:$E$364)</f>
        <v>0</v>
      </c>
      <c r="F11" s="16">
        <f>SUMIF(Estado!$A$9:$A$364,$A11,Estado!$G$9:$G$364)</f>
        <v>292678526.91000003</v>
      </c>
      <c r="G11" s="16">
        <f>SUMIF(Estado!$A$9:$A$364,$A11,Estado!$I$9:$I$364)</f>
        <v>0</v>
      </c>
      <c r="H11" s="16">
        <f>SUMIF(Estado!$A$9:$A$364,$A11,Estado!$K$9:$K$364)</f>
        <v>2772222334.6399999</v>
      </c>
      <c r="I11" s="172">
        <f t="shared" si="0"/>
        <v>0.75824149089611537</v>
      </c>
      <c r="J11" s="16">
        <f ca="1">SUMIF(Estado!$A$9:$A$364,$A11,Estado!$O$9:$O$364)</f>
        <v>591219738.44999993</v>
      </c>
      <c r="K11" s="18">
        <f t="shared" si="2"/>
        <v>0.8382931519135336</v>
      </c>
      <c r="L11" s="172">
        <f t="shared" ca="1" si="1"/>
        <v>0.16170684808646626</v>
      </c>
    </row>
    <row r="12" spans="1:19" ht="16.5" x14ac:dyDescent="0.25">
      <c r="A12" t="str">
        <f>+Estado!A191</f>
        <v>E-7</v>
      </c>
      <c r="B12" s="142" t="s">
        <v>14</v>
      </c>
      <c r="C12" s="16">
        <f>SUMIF(Estado!$A$9:$A$364,$A12,Estado!$C$9:$C$364)</f>
        <v>9226263836</v>
      </c>
      <c r="D12" s="16">
        <f ca="1">SUMIF(Estado!$A$9:$A$364,$A12,Estado!$D$9:$D$364)</f>
        <v>9226263835</v>
      </c>
      <c r="E12" s="16">
        <f>SUMIF(Estado!$A$9:$A$364,$A12,Estado!$E$9:$E$364)</f>
        <v>0</v>
      </c>
      <c r="F12" s="16">
        <f>SUMIF(Estado!$A$9:$A$364,$A12,Estado!$G$9:$G$364)</f>
        <v>0</v>
      </c>
      <c r="G12" s="16">
        <f>SUMIF(Estado!$A$9:$A$364,$A12,Estado!$I$9:$I$364)</f>
        <v>0</v>
      </c>
      <c r="H12" s="16">
        <f>SUMIF(Estado!$A$9:$A$364,$A12,Estado!$K$9:$K$364)</f>
        <v>9226263835</v>
      </c>
      <c r="I12" s="172">
        <f t="shared" si="0"/>
        <v>0.99999999989161381</v>
      </c>
      <c r="J12" s="16">
        <f ca="1">SUMIF(Estado!$A$9:$A$364,$A12,Estado!$O$9:$O$364)</f>
        <v>1</v>
      </c>
      <c r="K12" s="18">
        <f t="shared" si="2"/>
        <v>0.99999999989161381</v>
      </c>
      <c r="L12" s="172">
        <f t="shared" ca="1" si="1"/>
        <v>1.0838623496740853E-10</v>
      </c>
    </row>
    <row r="13" spans="1:19" ht="17.25" x14ac:dyDescent="0.25">
      <c r="B13" s="143" t="s">
        <v>15</v>
      </c>
      <c r="C13" s="144">
        <f>SUM(C7:C12)</f>
        <v>117089523837</v>
      </c>
      <c r="D13" s="144">
        <f t="shared" ref="D13:J13" ca="1" si="3">SUM(D7:D12)</f>
        <v>117086609403.25</v>
      </c>
      <c r="E13" s="144">
        <f t="shared" si="3"/>
        <v>4362972</v>
      </c>
      <c r="F13" s="144">
        <f t="shared" si="3"/>
        <v>2898400347.6699996</v>
      </c>
      <c r="G13" s="144">
        <f t="shared" si="3"/>
        <v>0</v>
      </c>
      <c r="H13" s="144">
        <f t="shared" si="3"/>
        <v>109931381274.07999</v>
      </c>
      <c r="I13" s="173">
        <f t="shared" si="0"/>
        <v>0.93886607163178115</v>
      </c>
      <c r="J13" s="144">
        <f t="shared" ca="1" si="3"/>
        <v>4255379243.25</v>
      </c>
      <c r="K13" s="145">
        <f t="shared" si="2"/>
        <v>0.96361978360096512</v>
      </c>
      <c r="L13" s="173">
        <f t="shared" ca="1" si="1"/>
        <v>3.6342954551373027E-2</v>
      </c>
    </row>
    <row r="14" spans="1:19" ht="16.5" x14ac:dyDescent="0.25">
      <c r="B14" s="4"/>
      <c r="C14" s="20">
        <f>+C13-Estado!C196</f>
        <v>0</v>
      </c>
      <c r="D14" s="20">
        <f ca="1">+D13-Estado!D196</f>
        <v>0</v>
      </c>
      <c r="E14" s="20">
        <f>+E13-Estado!E196</f>
        <v>0</v>
      </c>
      <c r="F14" s="20">
        <f>+F13-Estado!G10</f>
        <v>0</v>
      </c>
      <c r="G14" s="20">
        <f>+G13-Estado!I10</f>
        <v>0</v>
      </c>
      <c r="H14" s="20">
        <f>+H13-Estado!K10</f>
        <v>0</v>
      </c>
      <c r="I14" s="20"/>
      <c r="J14" s="20">
        <f ca="1">+C13-F13-H13-E13-G13-J13</f>
        <v>1.52587890625E-5</v>
      </c>
      <c r="K14" s="5"/>
      <c r="L14" s="5"/>
    </row>
    <row r="15" spans="1:19" ht="16.5" x14ac:dyDescent="0.25">
      <c r="B15" s="4"/>
      <c r="C15" s="4"/>
      <c r="D15" s="4"/>
      <c r="E15" s="4"/>
      <c r="F15" s="4"/>
      <c r="G15" s="4"/>
      <c r="H15" s="4"/>
      <c r="I15" s="4"/>
      <c r="J15" s="17"/>
      <c r="K15" s="4"/>
      <c r="L15" s="4"/>
    </row>
    <row r="16" spans="1:19" ht="51" hidden="1" customHeight="1" thickBot="1" x14ac:dyDescent="0.25">
      <c r="B16" s="183" t="s">
        <v>16</v>
      </c>
      <c r="C16" s="183" t="s">
        <v>1</v>
      </c>
      <c r="D16" s="183" t="s">
        <v>2</v>
      </c>
      <c r="E16" s="183" t="s">
        <v>3</v>
      </c>
      <c r="F16" s="183" t="s">
        <v>4</v>
      </c>
      <c r="G16" s="183"/>
      <c r="H16" s="183"/>
      <c r="I16" s="139"/>
      <c r="J16" s="183" t="s">
        <v>6</v>
      </c>
      <c r="K16" s="183" t="s">
        <v>7</v>
      </c>
      <c r="L16" s="183" t="s">
        <v>8</v>
      </c>
    </row>
    <row r="17" spans="2:13" ht="34.5" x14ac:dyDescent="0.25">
      <c r="B17" s="183"/>
      <c r="C17" s="183"/>
      <c r="D17" s="183"/>
      <c r="E17" s="183"/>
      <c r="F17" s="139" t="s">
        <v>43</v>
      </c>
      <c r="G17" s="139" t="s">
        <v>31</v>
      </c>
      <c r="H17" s="139" t="s">
        <v>33</v>
      </c>
      <c r="I17" s="139" t="s">
        <v>578</v>
      </c>
      <c r="J17" s="183"/>
      <c r="K17" s="183"/>
      <c r="L17" s="183"/>
    </row>
    <row r="18" spans="2:13" ht="16.5" x14ac:dyDescent="0.25">
      <c r="B18" s="146" t="s">
        <v>17</v>
      </c>
      <c r="C18" s="16">
        <f>+C7+Estado!C182</f>
        <v>79519698924</v>
      </c>
      <c r="D18" s="16">
        <f ca="1">+D7+Estado!D182</f>
        <v>79516784523</v>
      </c>
      <c r="E18" s="16">
        <f>+E7+Estado!E182</f>
        <v>0</v>
      </c>
      <c r="F18" s="16">
        <f>+F7+Estado!G182</f>
        <v>45261660.800000004</v>
      </c>
      <c r="G18" s="16">
        <f>+G7+Estado!I182</f>
        <v>0</v>
      </c>
      <c r="H18" s="16">
        <f>+H7+Estado!K182</f>
        <v>77212891600.099991</v>
      </c>
      <c r="I18" s="172">
        <f t="shared" ref="I18:I23" si="4">+H18/C18</f>
        <v>0.97099074373879724</v>
      </c>
      <c r="J18" s="16">
        <f ca="1">+J7+Estado!O182</f>
        <v>2261545663.0999999</v>
      </c>
      <c r="K18" s="18">
        <f t="shared" ref="K18:K23" si="5">SUM(F18:H18)/C18</f>
        <v>0.97155993176908972</v>
      </c>
      <c r="L18" s="172">
        <f t="shared" ref="L18:L23" ca="1" si="6">+J18/C18</f>
        <v>2.8440068230910245E-2</v>
      </c>
      <c r="M18" s="157">
        <f>+F18/C18</f>
        <v>5.6918803029244736E-4</v>
      </c>
    </row>
    <row r="19" spans="2:13" ht="16.5" x14ac:dyDescent="0.25">
      <c r="B19" s="146" t="s">
        <v>18</v>
      </c>
      <c r="C19" s="16">
        <f>+C8+C9</f>
        <v>22087760115</v>
      </c>
      <c r="D19" s="16">
        <f t="shared" ref="D19:J19" ca="1" si="7">+D8+D9</f>
        <v>22087760085.84</v>
      </c>
      <c r="E19" s="16">
        <f t="shared" si="7"/>
        <v>4362972</v>
      </c>
      <c r="F19" s="16">
        <f t="shared" si="7"/>
        <v>2116822420.4400001</v>
      </c>
      <c r="G19" s="16">
        <f t="shared" si="7"/>
        <v>0</v>
      </c>
      <c r="H19" s="16">
        <f t="shared" si="7"/>
        <v>18629547239.209999</v>
      </c>
      <c r="I19" s="172">
        <f t="shared" si="4"/>
        <v>0.84343306619662639</v>
      </c>
      <c r="J19" s="16">
        <f t="shared" ca="1" si="7"/>
        <v>1337027483.3499999</v>
      </c>
      <c r="K19" s="18">
        <f t="shared" si="5"/>
        <v>0.93926996452487499</v>
      </c>
      <c r="L19" s="172">
        <f t="shared" ca="1" si="6"/>
        <v>6.0532506527993857E-2</v>
      </c>
    </row>
    <row r="20" spans="2:13" ht="16.5" x14ac:dyDescent="0.25">
      <c r="B20" s="146" t="s">
        <v>19</v>
      </c>
      <c r="C20" s="16">
        <f>+C10</f>
        <v>3017512862</v>
      </c>
      <c r="D20" s="16">
        <f t="shared" ref="D20:J20" ca="1" si="8">+D10</f>
        <v>3017512861</v>
      </c>
      <c r="E20" s="16">
        <f t="shared" si="8"/>
        <v>0</v>
      </c>
      <c r="F20" s="16">
        <f t="shared" si="8"/>
        <v>443637739.51999998</v>
      </c>
      <c r="G20" s="16">
        <f t="shared" si="8"/>
        <v>0</v>
      </c>
      <c r="H20" s="16">
        <f t="shared" si="8"/>
        <v>2429148961.52</v>
      </c>
      <c r="I20" s="172">
        <f t="shared" si="4"/>
        <v>0.80501693699822907</v>
      </c>
      <c r="J20" s="16">
        <f t="shared" ca="1" si="8"/>
        <v>144726160.96000001</v>
      </c>
      <c r="K20" s="18">
        <f t="shared" si="5"/>
        <v>0.95203793071354936</v>
      </c>
      <c r="L20" s="172">
        <f t="shared" ca="1" si="6"/>
        <v>4.7962069286450651E-2</v>
      </c>
    </row>
    <row r="21" spans="2:13" ht="16.5" x14ac:dyDescent="0.25">
      <c r="B21" s="146" t="s">
        <v>20</v>
      </c>
      <c r="C21" s="16">
        <f>+C11-Estado!C182</f>
        <v>3238288100</v>
      </c>
      <c r="D21" s="16">
        <f ca="1">+D11-Estado!D182</f>
        <v>3238288098.4099998</v>
      </c>
      <c r="E21" s="16">
        <f>+E11-Estado!E182</f>
        <v>0</v>
      </c>
      <c r="F21" s="16">
        <f>+F11-Estado!G182</f>
        <v>292678526.91000003</v>
      </c>
      <c r="G21" s="16">
        <f>+G11-Estado!I182</f>
        <v>0</v>
      </c>
      <c r="H21" s="16">
        <f>+H11-Estado!K182</f>
        <v>2433529638.25</v>
      </c>
      <c r="I21" s="172">
        <f t="shared" si="4"/>
        <v>0.75148645305833039</v>
      </c>
      <c r="J21" s="16">
        <f ca="1">+J11-Estado!O182</f>
        <v>512079934.83999991</v>
      </c>
      <c r="K21" s="18">
        <f t="shared" si="5"/>
        <v>0.84186708562465451</v>
      </c>
      <c r="L21" s="172">
        <f t="shared" ca="1" si="6"/>
        <v>0.15813291437534538</v>
      </c>
    </row>
    <row r="22" spans="2:13" ht="16.5" x14ac:dyDescent="0.25">
      <c r="B22" s="146" t="s">
        <v>21</v>
      </c>
      <c r="C22" s="16">
        <f>+C12</f>
        <v>9226263836</v>
      </c>
      <c r="D22" s="16">
        <f t="shared" ref="D22:J22" ca="1" si="9">+D12</f>
        <v>9226263835</v>
      </c>
      <c r="E22" s="16">
        <f t="shared" si="9"/>
        <v>0</v>
      </c>
      <c r="F22" s="16">
        <f t="shared" si="9"/>
        <v>0</v>
      </c>
      <c r="G22" s="16">
        <f t="shared" si="9"/>
        <v>0</v>
      </c>
      <c r="H22" s="16">
        <f t="shared" si="9"/>
        <v>9226263835</v>
      </c>
      <c r="I22" s="172">
        <f t="shared" si="4"/>
        <v>0.99999999989161381</v>
      </c>
      <c r="J22" s="16">
        <f t="shared" ca="1" si="9"/>
        <v>1</v>
      </c>
      <c r="K22" s="18">
        <f t="shared" si="5"/>
        <v>0.99999999989161381</v>
      </c>
      <c r="L22" s="172">
        <f t="shared" ca="1" si="6"/>
        <v>1.0838623496740853E-10</v>
      </c>
    </row>
    <row r="23" spans="2:13" ht="17.25" x14ac:dyDescent="0.25">
      <c r="B23" s="143" t="s">
        <v>15</v>
      </c>
      <c r="C23" s="144">
        <f>SUM(C18:C22)</f>
        <v>117089523837</v>
      </c>
      <c r="D23" s="144">
        <f t="shared" ref="D23:J23" ca="1" si="10">SUM(D18:D22)</f>
        <v>117086609403.25</v>
      </c>
      <c r="E23" s="144">
        <f t="shared" si="10"/>
        <v>4362972</v>
      </c>
      <c r="F23" s="144">
        <f t="shared" si="10"/>
        <v>2898400347.6700001</v>
      </c>
      <c r="G23" s="144">
        <f t="shared" si="10"/>
        <v>0</v>
      </c>
      <c r="H23" s="144">
        <f t="shared" si="10"/>
        <v>109931381274.08</v>
      </c>
      <c r="I23" s="173">
        <f t="shared" si="4"/>
        <v>0.93886607163178126</v>
      </c>
      <c r="J23" s="144">
        <f t="shared" ca="1" si="10"/>
        <v>4255379243.25</v>
      </c>
      <c r="K23" s="145">
        <f t="shared" si="5"/>
        <v>0.96361978360096523</v>
      </c>
      <c r="L23" s="173">
        <f t="shared" ca="1" si="6"/>
        <v>3.6342954551373027E-2</v>
      </c>
    </row>
    <row r="788" spans="3:3" x14ac:dyDescent="0.25">
      <c r="C788">
        <v>8500000068</v>
      </c>
    </row>
  </sheetData>
  <mergeCells count="18">
    <mergeCell ref="B1:L1"/>
    <mergeCell ref="B2:L2"/>
    <mergeCell ref="B3:L3"/>
    <mergeCell ref="L5:L6"/>
    <mergeCell ref="K16:K17"/>
    <mergeCell ref="L16:L17"/>
    <mergeCell ref="F16:H16"/>
    <mergeCell ref="B5:B6"/>
    <mergeCell ref="C5:C6"/>
    <mergeCell ref="D5:D6"/>
    <mergeCell ref="B16:B17"/>
    <mergeCell ref="C16:C17"/>
    <mergeCell ref="D16:D17"/>
    <mergeCell ref="E16:E17"/>
    <mergeCell ref="J16:J17"/>
    <mergeCell ref="E5:E6"/>
    <mergeCell ref="J5:J6"/>
    <mergeCell ref="K5:K6"/>
  </mergeCells>
  <pageMargins left="0.7" right="0.7" top="0.75" bottom="0.75" header="0.3" footer="0.3"/>
  <pageSetup orientation="portrait" verticalDpi="599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"/>
  <sheetViews>
    <sheetView zoomScaleNormal="100" workbookViewId="0">
      <selection activeCell="D9" sqref="D9"/>
    </sheetView>
  </sheetViews>
  <sheetFormatPr baseColWidth="10" defaultRowHeight="15" x14ac:dyDescent="0.25"/>
  <cols>
    <col min="1" max="1" width="11.42578125" style="24"/>
    <col min="2" max="2" width="10.28515625" style="24" customWidth="1"/>
    <col min="3" max="3" width="5.140625" style="24" customWidth="1"/>
    <col min="4" max="4" width="16.28515625" style="24" customWidth="1"/>
    <col min="5" max="5" width="6.140625" style="24" bestFit="1" customWidth="1"/>
    <col min="6" max="6" width="17.28515625" style="24" bestFit="1" customWidth="1"/>
    <col min="7" max="7" width="6.140625" style="24" bestFit="1" customWidth="1"/>
    <col min="8" max="8" width="17.85546875" style="24" bestFit="1" customWidth="1"/>
    <col min="9" max="9" width="6.7109375" style="24" bestFit="1" customWidth="1"/>
    <col min="10" max="10" width="17.85546875" style="24" bestFit="1" customWidth="1"/>
    <col min="11" max="11" width="6.7109375" style="24" customWidth="1"/>
    <col min="12" max="12" width="17.85546875" style="24" bestFit="1" customWidth="1"/>
    <col min="13" max="13" width="6.7109375" style="24" customWidth="1"/>
    <col min="14" max="14" width="17.85546875" style="24" bestFit="1" customWidth="1"/>
    <col min="15" max="15" width="6.7109375" style="24" customWidth="1"/>
    <col min="16" max="16" width="17.85546875" style="24" customWidth="1"/>
    <col min="17" max="17" width="6.7109375" style="24" customWidth="1"/>
    <col min="18" max="18" width="18.7109375" style="24" customWidth="1"/>
    <col min="19" max="19" width="6.7109375" style="24" customWidth="1"/>
    <col min="20" max="20" width="18.5703125" style="24" hidden="1" customWidth="1"/>
    <col min="21" max="21" width="6.7109375" style="24" hidden="1" customWidth="1"/>
    <col min="22" max="22" width="17.85546875" style="24" bestFit="1" customWidth="1"/>
    <col min="23" max="23" width="6.7109375" style="24" customWidth="1"/>
    <col min="24" max="24" width="17.28515625" style="24" bestFit="1" customWidth="1"/>
    <col min="25" max="25" width="6.7109375" style="24" customWidth="1"/>
    <col min="26" max="26" width="18.140625" style="24" customWidth="1"/>
    <col min="27" max="27" width="7.42578125" style="24" customWidth="1"/>
    <col min="28" max="28" width="17" style="24" bestFit="1" customWidth="1"/>
    <col min="29" max="29" width="7.42578125" style="24" customWidth="1"/>
    <col min="30" max="30" width="18.140625" style="24" customWidth="1"/>
    <col min="31" max="31" width="7.42578125" style="24" customWidth="1"/>
    <col min="32" max="32" width="11.42578125" style="24" customWidth="1"/>
    <col min="33" max="49" width="11.42578125" style="99"/>
    <col min="50" max="57" width="11.42578125" style="66"/>
    <col min="58" max="16384" width="11.42578125" style="24"/>
  </cols>
  <sheetData>
    <row r="1" spans="1:55" ht="15.75" x14ac:dyDescent="0.25">
      <c r="A1" s="184" t="s">
        <v>76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</row>
    <row r="2" spans="1:55" ht="15.75" x14ac:dyDescent="0.25">
      <c r="A2" s="184" t="str">
        <f>+'ANALISIS POR PROG'!B2</f>
        <v xml:space="preserve">AL 31 DE DICEMBRE 2016        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48"/>
      <c r="AY2" s="148"/>
      <c r="AZ2" s="148"/>
      <c r="BA2" s="148"/>
      <c r="BB2" s="148"/>
      <c r="BC2" s="148"/>
    </row>
    <row r="3" spans="1:55" ht="15.75" x14ac:dyDescent="0.25">
      <c r="A3" s="184" t="s">
        <v>55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48"/>
      <c r="AY3" s="148"/>
      <c r="AZ3" s="148"/>
      <c r="BA3" s="148"/>
      <c r="BB3" s="148"/>
      <c r="BC3" s="148"/>
    </row>
    <row r="4" spans="1:55" x14ac:dyDescent="0.25">
      <c r="AF4" s="147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48"/>
      <c r="AY4" s="148"/>
      <c r="AZ4" s="148"/>
      <c r="BA4" s="148"/>
      <c r="BB4" s="148"/>
      <c r="BC4" s="148"/>
    </row>
    <row r="5" spans="1:55" x14ac:dyDescent="0.25">
      <c r="A5" s="58" t="s">
        <v>77</v>
      </c>
      <c r="B5" s="221" t="s">
        <v>88</v>
      </c>
      <c r="C5" s="222"/>
      <c r="D5" s="221" t="s">
        <v>89</v>
      </c>
      <c r="E5" s="222"/>
      <c r="F5" s="223" t="s">
        <v>90</v>
      </c>
      <c r="G5" s="224"/>
      <c r="H5" s="223" t="s">
        <v>91</v>
      </c>
      <c r="I5" s="224"/>
      <c r="J5" s="107" t="s">
        <v>96</v>
      </c>
      <c r="K5" s="107"/>
      <c r="L5" s="221" t="s">
        <v>97</v>
      </c>
      <c r="M5" s="222"/>
      <c r="N5" s="140" t="s">
        <v>571</v>
      </c>
      <c r="O5" s="140"/>
      <c r="P5" s="140" t="s">
        <v>577</v>
      </c>
      <c r="Q5" s="140"/>
      <c r="R5" s="221" t="s">
        <v>582</v>
      </c>
      <c r="S5" s="222"/>
      <c r="T5" s="221" t="s">
        <v>584</v>
      </c>
      <c r="U5" s="222"/>
      <c r="V5" s="140" t="s">
        <v>586</v>
      </c>
      <c r="W5" s="140"/>
      <c r="X5" s="221" t="s">
        <v>589</v>
      </c>
      <c r="Y5" s="222"/>
      <c r="Z5" s="221" t="s">
        <v>593</v>
      </c>
      <c r="AA5" s="222"/>
      <c r="AB5" s="221" t="s">
        <v>595</v>
      </c>
      <c r="AC5" s="222"/>
      <c r="AD5" s="221" t="s">
        <v>600</v>
      </c>
      <c r="AE5" s="222"/>
      <c r="AF5" s="147"/>
      <c r="AG5" s="101"/>
      <c r="AH5" s="165" t="str">
        <f>+B5</f>
        <v>07-Enero</v>
      </c>
      <c r="AI5" s="166" t="str">
        <f>+D5</f>
        <v>02-Febrero</v>
      </c>
      <c r="AJ5" s="166" t="s">
        <v>90</v>
      </c>
      <c r="AK5" s="166" t="s">
        <v>91</v>
      </c>
      <c r="AL5" s="166" t="s">
        <v>96</v>
      </c>
      <c r="AM5" s="166" t="s">
        <v>97</v>
      </c>
      <c r="AN5" s="166" t="s">
        <v>571</v>
      </c>
      <c r="AO5" s="166" t="s">
        <v>577</v>
      </c>
      <c r="AP5" s="166" t="s">
        <v>582</v>
      </c>
      <c r="AQ5" s="166" t="s">
        <v>584</v>
      </c>
      <c r="AR5" s="166" t="s">
        <v>586</v>
      </c>
      <c r="AS5" s="166" t="s">
        <v>589</v>
      </c>
      <c r="AT5" s="166" t="s">
        <v>593</v>
      </c>
      <c r="AU5" s="166" t="s">
        <v>595</v>
      </c>
      <c r="AV5" s="166" t="s">
        <v>600</v>
      </c>
      <c r="AW5" s="101"/>
      <c r="AX5" s="148"/>
      <c r="AY5" s="148"/>
      <c r="AZ5" s="148"/>
      <c r="BA5" s="148"/>
      <c r="BB5" s="148"/>
      <c r="BC5" s="148"/>
    </row>
    <row r="6" spans="1:55" x14ac:dyDescent="0.25">
      <c r="A6" s="88"/>
      <c r="B6" s="62" t="s">
        <v>86</v>
      </c>
      <c r="C6" s="62" t="s">
        <v>78</v>
      </c>
      <c r="D6" s="62" t="s">
        <v>86</v>
      </c>
      <c r="E6" s="62" t="s">
        <v>78</v>
      </c>
      <c r="F6" s="62" t="s">
        <v>86</v>
      </c>
      <c r="G6" s="62" t="s">
        <v>78</v>
      </c>
      <c r="H6" s="62" t="s">
        <v>86</v>
      </c>
      <c r="I6" s="62" t="s">
        <v>78</v>
      </c>
      <c r="J6" s="62" t="s">
        <v>86</v>
      </c>
      <c r="K6" s="62" t="s">
        <v>78</v>
      </c>
      <c r="L6" s="62" t="s">
        <v>86</v>
      </c>
      <c r="M6" s="62" t="s">
        <v>78</v>
      </c>
      <c r="N6" s="62" t="s">
        <v>86</v>
      </c>
      <c r="O6" s="62" t="s">
        <v>78</v>
      </c>
      <c r="P6" s="62" t="s">
        <v>86</v>
      </c>
      <c r="Q6" s="62" t="s">
        <v>78</v>
      </c>
      <c r="R6" s="62" t="s">
        <v>86</v>
      </c>
      <c r="S6" s="62" t="s">
        <v>78</v>
      </c>
      <c r="T6" s="62" t="s">
        <v>86</v>
      </c>
      <c r="U6" s="62" t="s">
        <v>78</v>
      </c>
      <c r="V6" s="62" t="s">
        <v>86</v>
      </c>
      <c r="W6" s="62" t="s">
        <v>78</v>
      </c>
      <c r="X6" s="62" t="s">
        <v>86</v>
      </c>
      <c r="Y6" s="62" t="s">
        <v>78</v>
      </c>
      <c r="Z6" s="62" t="s">
        <v>86</v>
      </c>
      <c r="AA6" s="62" t="s">
        <v>78</v>
      </c>
      <c r="AB6" s="62" t="s">
        <v>86</v>
      </c>
      <c r="AC6" s="62" t="s">
        <v>78</v>
      </c>
      <c r="AD6" s="62" t="s">
        <v>86</v>
      </c>
      <c r="AE6" s="62" t="s">
        <v>78</v>
      </c>
      <c r="AF6" s="147"/>
      <c r="AG6" s="101" t="s">
        <v>81</v>
      </c>
      <c r="AH6" s="167">
        <f>+C7</f>
        <v>0</v>
      </c>
      <c r="AI6" s="167">
        <f>+E7</f>
        <v>7.0419120509668698E-2</v>
      </c>
      <c r="AJ6" s="167">
        <f>+G7</f>
        <v>0.1051920636379533</v>
      </c>
      <c r="AK6" s="167">
        <f>+I7</f>
        <v>0.16634194867651356</v>
      </c>
      <c r="AL6" s="167">
        <f>+K7</f>
        <v>0.16634194867651356</v>
      </c>
      <c r="AM6" s="167">
        <f>+M7</f>
        <v>0.21380633958732984</v>
      </c>
      <c r="AN6" s="167">
        <f>+O7</f>
        <v>0.26041464032126493</v>
      </c>
      <c r="AO6" s="167">
        <f>+Q7</f>
        <v>0.30336542002214928</v>
      </c>
      <c r="AP6" s="167">
        <f>+S7</f>
        <v>0.35385834581634595</v>
      </c>
      <c r="AQ6" s="167">
        <f>+U7</f>
        <v>0.52629880850785726</v>
      </c>
      <c r="AR6" s="167">
        <f>+W7</f>
        <v>0.54138361692075698</v>
      </c>
      <c r="AS6" s="167">
        <f>+Y7</f>
        <v>0.59700785352283037</v>
      </c>
      <c r="AT6" s="167">
        <v>0.70674797079911356</v>
      </c>
      <c r="AU6" s="167">
        <v>0.76869545581451726</v>
      </c>
      <c r="AV6" s="167">
        <f>+AE7</f>
        <v>0.88526589241141873</v>
      </c>
      <c r="AW6" s="168"/>
      <c r="AX6" s="149"/>
      <c r="AY6" s="149"/>
      <c r="AZ6" s="149"/>
      <c r="BA6" s="149"/>
      <c r="BB6" s="149"/>
      <c r="BC6" s="149"/>
    </row>
    <row r="7" spans="1:55" x14ac:dyDescent="0.25">
      <c r="A7" s="84" t="s">
        <v>81</v>
      </c>
      <c r="B7" s="76">
        <v>0</v>
      </c>
      <c r="C7" s="96">
        <v>0</v>
      </c>
      <c r="D7" s="76">
        <v>245250994.83000001</v>
      </c>
      <c r="E7" s="96">
        <v>7.0419120509668698E-2</v>
      </c>
      <c r="F7" s="76">
        <v>366355871.37</v>
      </c>
      <c r="G7" s="96">
        <v>0.1051920636379533</v>
      </c>
      <c r="H7" s="108">
        <v>579324593.94000006</v>
      </c>
      <c r="I7" s="96">
        <v>0.16634194867651356</v>
      </c>
      <c r="J7" s="108">
        <v>579324593.94000006</v>
      </c>
      <c r="K7" s="96">
        <v>0.16634194867651356</v>
      </c>
      <c r="L7" s="108">
        <v>744630394.49000001</v>
      </c>
      <c r="M7" s="96">
        <v>0.21380633958732984</v>
      </c>
      <c r="N7" s="108">
        <v>906954661.52999997</v>
      </c>
      <c r="O7" s="96">
        <v>0.26041464032126493</v>
      </c>
      <c r="P7" s="108">
        <v>1056540759.37</v>
      </c>
      <c r="Q7" s="96">
        <v>0.30336542002214928</v>
      </c>
      <c r="R7" s="76">
        <v>1232394138.3</v>
      </c>
      <c r="S7" s="96">
        <v>0.35385834581634595</v>
      </c>
      <c r="T7" s="150">
        <v>1479237863.0999999</v>
      </c>
      <c r="U7" s="96">
        <v>0.52629880850785726</v>
      </c>
      <c r="V7" s="108">
        <v>1521635868.5699999</v>
      </c>
      <c r="W7" s="96">
        <v>0.54138361692075698</v>
      </c>
      <c r="X7" s="96">
        <v>1677975718.78</v>
      </c>
      <c r="Y7" s="96">
        <v>0.59700785352283037</v>
      </c>
      <c r="Z7" s="76">
        <v>1986415969.74</v>
      </c>
      <c r="AA7" s="96">
        <v>0.70674797079911356</v>
      </c>
      <c r="AB7" s="76">
        <v>2160528211.4499998</v>
      </c>
      <c r="AC7" s="96">
        <v>0.76869545581451726</v>
      </c>
      <c r="AD7" s="76">
        <f>+'ANALISIS POR PROG'!$L$6</f>
        <v>2457181742.7800002</v>
      </c>
      <c r="AE7" s="96">
        <f>+'ANALISIS POR PROG'!$M$6</f>
        <v>0.88526589241141873</v>
      </c>
      <c r="AF7" s="147"/>
      <c r="AG7" s="101" t="s">
        <v>82</v>
      </c>
      <c r="AH7" s="167">
        <f>+C8</f>
        <v>0</v>
      </c>
      <c r="AI7" s="167">
        <f>+E8</f>
        <v>9.847306681403302E-2</v>
      </c>
      <c r="AJ7" s="167">
        <f>+G8</f>
        <v>0.14412050791800232</v>
      </c>
      <c r="AK7" s="167">
        <f>+I8</f>
        <v>0.22521648410063372</v>
      </c>
      <c r="AL7" s="167">
        <f>+K8</f>
        <v>0.22521648410063372</v>
      </c>
      <c r="AM7" s="167">
        <f>+M8</f>
        <v>0.28187128888614627</v>
      </c>
      <c r="AN7" s="167">
        <f>+O8</f>
        <v>0.33919628395495699</v>
      </c>
      <c r="AO7" s="167">
        <f>+Q8</f>
        <v>0.39732708495640168</v>
      </c>
      <c r="AP7" s="167">
        <f>+S8</f>
        <v>0.46004519725307963</v>
      </c>
      <c r="AQ7" s="167">
        <f>+U8</f>
        <v>0.5127507660757088</v>
      </c>
      <c r="AR7" s="167">
        <f>+W8</f>
        <v>0.54261820773149716</v>
      </c>
      <c r="AS7" s="167">
        <f>+Y8</f>
        <v>0.60221737638396511</v>
      </c>
      <c r="AT7" s="167">
        <v>0.67315665049193119</v>
      </c>
      <c r="AU7" s="167">
        <v>0.74984207286196081</v>
      </c>
      <c r="AV7" s="167">
        <f>+AE8</f>
        <v>0.89942246440310392</v>
      </c>
      <c r="AW7" s="168"/>
      <c r="AX7" s="149"/>
      <c r="AY7" s="149"/>
      <c r="AZ7" s="149"/>
      <c r="BA7" s="149"/>
      <c r="BB7" s="149"/>
      <c r="BC7" s="149"/>
    </row>
    <row r="8" spans="1:55" x14ac:dyDescent="0.25">
      <c r="A8" s="84" t="s">
        <v>82</v>
      </c>
      <c r="B8" s="76">
        <v>0</v>
      </c>
      <c r="C8" s="96">
        <v>0</v>
      </c>
      <c r="D8" s="76">
        <v>89363224.930000007</v>
      </c>
      <c r="E8" s="96">
        <v>9.847306681403302E-2</v>
      </c>
      <c r="F8" s="76">
        <v>130787775.61</v>
      </c>
      <c r="G8" s="96">
        <v>0.14412050791800232</v>
      </c>
      <c r="H8" s="108">
        <v>204381481.94</v>
      </c>
      <c r="I8" s="96">
        <v>0.22521648410063372</v>
      </c>
      <c r="J8" s="108">
        <v>204381481.94</v>
      </c>
      <c r="K8" s="96">
        <v>0.22521648410063372</v>
      </c>
      <c r="L8" s="108">
        <v>255795094.08000001</v>
      </c>
      <c r="M8" s="96">
        <v>0.28187128888614627</v>
      </c>
      <c r="N8" s="108">
        <v>307816896.52999997</v>
      </c>
      <c r="O8" s="96">
        <v>0.33919628395495699</v>
      </c>
      <c r="P8" s="108">
        <v>360569959</v>
      </c>
      <c r="Q8" s="96">
        <v>0.39732708495640168</v>
      </c>
      <c r="R8" s="76">
        <v>417485956.00999999</v>
      </c>
      <c r="S8" s="96">
        <v>0.46004519725307963</v>
      </c>
      <c r="T8" s="150">
        <v>449305830.50999999</v>
      </c>
      <c r="U8" s="96">
        <v>0.5127507660757088</v>
      </c>
      <c r="V8" s="108">
        <v>475477640.61000001</v>
      </c>
      <c r="W8" s="96">
        <v>0.54261820773149716</v>
      </c>
      <c r="X8" s="96">
        <v>527702338.73000002</v>
      </c>
      <c r="Y8" s="96">
        <v>0.60221737638396511</v>
      </c>
      <c r="Z8" s="76">
        <v>589863980.55999994</v>
      </c>
      <c r="AA8" s="96">
        <v>0.67315665049193119</v>
      </c>
      <c r="AB8" s="76">
        <v>657060774.13999999</v>
      </c>
      <c r="AC8" s="96">
        <v>0.74984207286196081</v>
      </c>
      <c r="AD8" s="76">
        <f>+'ANALISIS POR PROG'!$L$7</f>
        <v>786800693.20000005</v>
      </c>
      <c r="AE8" s="96">
        <f>+'ANALISIS POR PROG'!$M$7</f>
        <v>0.89942246440310392</v>
      </c>
      <c r="AF8" s="147"/>
      <c r="AG8" s="101" t="s">
        <v>83</v>
      </c>
      <c r="AH8" s="167">
        <f>+C9</f>
        <v>0</v>
      </c>
      <c r="AI8" s="167">
        <f>+E9</f>
        <v>0.1034676705007908</v>
      </c>
      <c r="AJ8" s="167">
        <f>+G9</f>
        <v>0.14685775682797078</v>
      </c>
      <c r="AK8" s="167">
        <f>+I9</f>
        <v>0.23832923646647955</v>
      </c>
      <c r="AL8" s="167">
        <f>+K9</f>
        <v>0.23832923646647955</v>
      </c>
      <c r="AM8" s="167">
        <f>+M9</f>
        <v>0.30143125937641302</v>
      </c>
      <c r="AN8" s="167">
        <f>+O9</f>
        <v>0.35710474336060977</v>
      </c>
      <c r="AO8" s="167">
        <f>+Q9</f>
        <v>0.42067539423026834</v>
      </c>
      <c r="AP8" s="167">
        <f>+S9</f>
        <v>0.48457547136075985</v>
      </c>
      <c r="AQ8" s="167">
        <f>+U9</f>
        <v>0.5420373509532308</v>
      </c>
      <c r="AR8" s="167">
        <f>+W9</f>
        <v>0.57130568807912852</v>
      </c>
      <c r="AS8" s="167">
        <f>+Y9</f>
        <v>0.64107788372986207</v>
      </c>
      <c r="AT8" s="167">
        <v>0.71372859373685638</v>
      </c>
      <c r="AU8" s="167">
        <v>0.78155259840657876</v>
      </c>
      <c r="AV8" s="167">
        <f>+AE9</f>
        <v>0.94686884717732644</v>
      </c>
      <c r="AW8" s="168"/>
      <c r="AX8" s="149"/>
      <c r="AY8" s="149"/>
      <c r="AZ8" s="149"/>
      <c r="BA8" s="149"/>
      <c r="BB8" s="149"/>
      <c r="BC8" s="149"/>
    </row>
    <row r="9" spans="1:55" x14ac:dyDescent="0.25">
      <c r="A9" s="84" t="s">
        <v>83</v>
      </c>
      <c r="B9" s="76">
        <v>0</v>
      </c>
      <c r="C9" s="96">
        <v>0</v>
      </c>
      <c r="D9" s="76">
        <v>993084770.82000005</v>
      </c>
      <c r="E9" s="96">
        <v>0.1034676705007908</v>
      </c>
      <c r="F9" s="76">
        <v>1409543687.1900001</v>
      </c>
      <c r="G9" s="96">
        <v>0.14685775682797078</v>
      </c>
      <c r="H9" s="108">
        <v>2287488778.1900001</v>
      </c>
      <c r="I9" s="96">
        <v>0.23832923646647955</v>
      </c>
      <c r="J9" s="108">
        <v>2287488778.1900001</v>
      </c>
      <c r="K9" s="96">
        <v>0.23832923646647955</v>
      </c>
      <c r="L9" s="108">
        <v>2893143256.1199999</v>
      </c>
      <c r="M9" s="96">
        <v>0.30143125937641302</v>
      </c>
      <c r="N9" s="108">
        <v>3427498468.8699999</v>
      </c>
      <c r="O9" s="96">
        <v>0.35710474336060977</v>
      </c>
      <c r="P9" s="108">
        <v>4037650847.3299999</v>
      </c>
      <c r="Q9" s="96">
        <v>0.42067539423026834</v>
      </c>
      <c r="R9" s="76">
        <v>4650965065.6300001</v>
      </c>
      <c r="S9" s="96">
        <v>0.48457547136075985</v>
      </c>
      <c r="T9" s="150">
        <v>5018766614.3999996</v>
      </c>
      <c r="U9" s="96">
        <v>0.5420373509532308</v>
      </c>
      <c r="V9" s="108">
        <v>5289764457.9399996</v>
      </c>
      <c r="W9" s="96">
        <v>0.57130568807912852</v>
      </c>
      <c r="X9" s="96">
        <v>5935790724.4499998</v>
      </c>
      <c r="Y9" s="96">
        <v>0.64107788372986207</v>
      </c>
      <c r="Z9" s="76">
        <v>6608469382.5799999</v>
      </c>
      <c r="AA9" s="96">
        <v>0.71372859373685638</v>
      </c>
      <c r="AB9" s="76">
        <v>7236457195.0299997</v>
      </c>
      <c r="AC9" s="96">
        <v>0.78155259840657876</v>
      </c>
      <c r="AD9" s="76">
        <f>+'ANALISIS POR PROG'!$L$8</f>
        <v>8639388473.7000008</v>
      </c>
      <c r="AE9" s="96">
        <f>+'ANALISIS POR PROG'!$M$8</f>
        <v>0.94686884717732644</v>
      </c>
      <c r="AF9" s="147"/>
      <c r="AG9" s="101" t="s">
        <v>84</v>
      </c>
      <c r="AH9" s="167">
        <f>+C10</f>
        <v>0</v>
      </c>
      <c r="AI9" s="167">
        <f>+E10</f>
        <v>8.2754659490175769E-2</v>
      </c>
      <c r="AJ9" s="167">
        <f>+G10</f>
        <v>0.12395199074682743</v>
      </c>
      <c r="AK9" s="167">
        <f>+I10</f>
        <v>0.2057917742419221</v>
      </c>
      <c r="AL9" s="167">
        <f>+K10</f>
        <v>0.2057917742419221</v>
      </c>
      <c r="AM9" s="167">
        <f>+M10</f>
        <v>0.26576438671716529</v>
      </c>
      <c r="AN9" s="167">
        <f>+O10</f>
        <v>0.32424020876802151</v>
      </c>
      <c r="AO9" s="167">
        <f>+Q10</f>
        <v>0.38137051910877928</v>
      </c>
      <c r="AP9" s="167">
        <f>+S10</f>
        <v>0.44617821619113329</v>
      </c>
      <c r="AQ9" s="167">
        <f>+U10</f>
        <v>0.48714224106997811</v>
      </c>
      <c r="AR9" s="167">
        <f>+W10</f>
        <v>0.5099788499543082</v>
      </c>
      <c r="AS9" s="167">
        <f>+Y10</f>
        <v>0.57139356645109007</v>
      </c>
      <c r="AT9" s="167">
        <v>0.63477107375470487</v>
      </c>
      <c r="AU9" s="167">
        <v>0.70808288615654291</v>
      </c>
      <c r="AV9" s="167">
        <f>+AE10</f>
        <v>0.94331409863563531</v>
      </c>
      <c r="AW9" s="168"/>
      <c r="AX9" s="149"/>
      <c r="AY9" s="149"/>
      <c r="AZ9" s="149"/>
      <c r="BA9" s="149"/>
      <c r="BB9" s="149"/>
      <c r="BC9" s="149"/>
    </row>
    <row r="10" spans="1:55" x14ac:dyDescent="0.25">
      <c r="A10" s="84" t="s">
        <v>84</v>
      </c>
      <c r="B10" s="76">
        <v>0</v>
      </c>
      <c r="C10" s="96">
        <v>0</v>
      </c>
      <c r="D10" s="76">
        <v>7496056829.2399998</v>
      </c>
      <c r="E10" s="96">
        <v>8.2754659490175769E-2</v>
      </c>
      <c r="F10" s="76">
        <v>11227780676.76</v>
      </c>
      <c r="G10" s="96">
        <v>0.12395199074682743</v>
      </c>
      <c r="H10" s="108">
        <v>18640966493.139999</v>
      </c>
      <c r="I10" s="96">
        <v>0.2057917742419221</v>
      </c>
      <c r="J10" s="108">
        <v>18640966493.139999</v>
      </c>
      <c r="K10" s="96">
        <v>0.2057917742419221</v>
      </c>
      <c r="L10" s="108">
        <v>24073387024.889999</v>
      </c>
      <c r="M10" s="96">
        <v>0.26576438671716529</v>
      </c>
      <c r="N10" s="108">
        <v>29370225751.919998</v>
      </c>
      <c r="O10" s="96">
        <v>0.32424020876802151</v>
      </c>
      <c r="P10" s="108">
        <v>34545185755.68</v>
      </c>
      <c r="Q10" s="96">
        <v>0.38137051910877928</v>
      </c>
      <c r="R10" s="76">
        <v>40415576417.599998</v>
      </c>
      <c r="S10" s="96">
        <v>0.44617821619113329</v>
      </c>
      <c r="T10" s="150">
        <v>44159402879.379997</v>
      </c>
      <c r="U10" s="96">
        <v>0.48714224106997811</v>
      </c>
      <c r="V10" s="108">
        <v>46229539539.889999</v>
      </c>
      <c r="W10" s="96">
        <v>0.5099788499543082</v>
      </c>
      <c r="X10" s="96">
        <v>51796778386.900002</v>
      </c>
      <c r="Y10" s="96">
        <v>0.57139356645109007</v>
      </c>
      <c r="Z10" s="76">
        <v>57541944054.25</v>
      </c>
      <c r="AA10" s="96">
        <v>0.63477107375470487</v>
      </c>
      <c r="AB10" s="76">
        <v>64187653637.059998</v>
      </c>
      <c r="AC10" s="96">
        <v>0.70808288615654291</v>
      </c>
      <c r="AD10" s="76">
        <f>+'ANALISIS POR PROG'!$L$9</f>
        <v>85963389837.949997</v>
      </c>
      <c r="AE10" s="96">
        <f>+'ANALISIS POR PROG'!$M$9</f>
        <v>0.94331409863563531</v>
      </c>
      <c r="AF10" s="147"/>
      <c r="AG10" s="101" t="s">
        <v>85</v>
      </c>
      <c r="AH10" s="167">
        <f>+C11</f>
        <v>0</v>
      </c>
      <c r="AI10" s="167">
        <f>+E11</f>
        <v>0.11570925218181546</v>
      </c>
      <c r="AJ10" s="167">
        <f>+G11</f>
        <v>0.1626488165739505</v>
      </c>
      <c r="AK10" s="167">
        <f>+I11</f>
        <v>0.25129019514931733</v>
      </c>
      <c r="AL10" s="167">
        <f>+K11</f>
        <v>0.25129019514931733</v>
      </c>
      <c r="AM10" s="167">
        <f>+M11</f>
        <v>0.31431923888391666</v>
      </c>
      <c r="AN10" s="167">
        <f>+O11</f>
        <v>0.38348291768852633</v>
      </c>
      <c r="AO10" s="167">
        <f>+Q11</f>
        <v>0.44740282664124387</v>
      </c>
      <c r="AP10" s="167">
        <f>+S11</f>
        <v>0.51275678897521071</v>
      </c>
      <c r="AQ10" s="167">
        <f>+U11</f>
        <v>0.5531082270342087</v>
      </c>
      <c r="AR10" s="167">
        <f>+W11</f>
        <v>0.57968585922017446</v>
      </c>
      <c r="AS10" s="167">
        <f>+Y11</f>
        <v>0.64460673182559847</v>
      </c>
      <c r="AT10" s="167">
        <v>0.70797571855644348</v>
      </c>
      <c r="AU10" s="167">
        <v>0.77281210486863083</v>
      </c>
      <c r="AV10" s="167">
        <f>+AE11</f>
        <v>0.91648716581430723</v>
      </c>
      <c r="AW10" s="168"/>
      <c r="AX10" s="149"/>
      <c r="AY10" s="149"/>
      <c r="AZ10" s="149"/>
      <c r="BA10" s="149"/>
      <c r="BB10" s="149"/>
      <c r="BC10" s="149"/>
    </row>
    <row r="11" spans="1:55" x14ac:dyDescent="0.25">
      <c r="A11" s="84" t="s">
        <v>85</v>
      </c>
      <c r="B11" s="76">
        <v>0</v>
      </c>
      <c r="C11" s="96">
        <v>0</v>
      </c>
      <c r="D11" s="76">
        <v>1570413954.55</v>
      </c>
      <c r="E11" s="96">
        <v>0.11570925218181546</v>
      </c>
      <c r="F11" s="76">
        <v>2207480961.3099999</v>
      </c>
      <c r="G11" s="96">
        <v>0.1626488165739505</v>
      </c>
      <c r="H11" s="108">
        <v>3410527867.5900002</v>
      </c>
      <c r="I11" s="96">
        <v>0.25129019514931733</v>
      </c>
      <c r="J11" s="108">
        <v>3410527867.5900002</v>
      </c>
      <c r="K11" s="96">
        <v>0.25129019514931733</v>
      </c>
      <c r="L11" s="108">
        <v>4265962398.1599998</v>
      </c>
      <c r="M11" s="96">
        <v>0.31431923888391666</v>
      </c>
      <c r="N11" s="108">
        <v>5204656619.1899996</v>
      </c>
      <c r="O11" s="96">
        <v>0.38348291768852633</v>
      </c>
      <c r="P11" s="108">
        <v>6072182033.9700003</v>
      </c>
      <c r="Q11" s="96">
        <v>0.44740282664124387</v>
      </c>
      <c r="R11" s="76">
        <v>6959170520.1899996</v>
      </c>
      <c r="S11" s="96">
        <v>0.51275678897521071</v>
      </c>
      <c r="T11" s="150">
        <v>7463433045.3299999</v>
      </c>
      <c r="U11" s="96">
        <v>0.5531082270342087</v>
      </c>
      <c r="V11" s="108">
        <v>7822061553.5100002</v>
      </c>
      <c r="W11" s="96">
        <v>0.57968585922017446</v>
      </c>
      <c r="X11" s="96">
        <v>8698079233.6900005</v>
      </c>
      <c r="Y11" s="96">
        <v>0.64460673182559847</v>
      </c>
      <c r="Z11" s="76">
        <v>9553156353.3199997</v>
      </c>
      <c r="AA11" s="96">
        <v>0.70797571855644348</v>
      </c>
      <c r="AB11" s="76">
        <v>10428034007.440001</v>
      </c>
      <c r="AC11" s="96">
        <v>0.77281210486863083</v>
      </c>
      <c r="AD11" s="76">
        <f>+'ANALISIS POR PROG'!$L$10</f>
        <v>12084620526.450001</v>
      </c>
      <c r="AE11" s="96">
        <f>+'ANALISIS POR PROG'!$M$10</f>
        <v>0.91648716581430723</v>
      </c>
      <c r="AF11" s="147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48"/>
      <c r="AY11" s="148"/>
      <c r="AZ11" s="148"/>
      <c r="BA11" s="148"/>
      <c r="BB11" s="148"/>
      <c r="BC11" s="148"/>
    </row>
    <row r="12" spans="1:55" x14ac:dyDescent="0.25">
      <c r="A12" s="55" t="s">
        <v>15</v>
      </c>
      <c r="B12" s="56">
        <f>SUM(B7:B11)</f>
        <v>0</v>
      </c>
      <c r="C12" s="97">
        <f t="shared" ref="C12" si="0">SUM(C7:C11)</f>
        <v>0</v>
      </c>
      <c r="D12" s="56">
        <f>SUM(D7:D11)</f>
        <v>10394169774.369999</v>
      </c>
      <c r="E12" s="97"/>
      <c r="F12" s="56">
        <f>SUM(F7:F11)</f>
        <v>15341948972.24</v>
      </c>
      <c r="G12" s="97"/>
      <c r="H12" s="109">
        <v>25122689214.799999</v>
      </c>
      <c r="I12" s="97"/>
      <c r="J12" s="109">
        <v>25122689214.799999</v>
      </c>
      <c r="K12" s="97"/>
      <c r="L12" s="56">
        <f>SUM(L7:L11)</f>
        <v>32232918167.739998</v>
      </c>
      <c r="M12" s="97"/>
      <c r="N12" s="109">
        <v>39217152398.040001</v>
      </c>
      <c r="O12" s="97"/>
      <c r="P12" s="109">
        <v>46072129355.349998</v>
      </c>
      <c r="Q12" s="97"/>
      <c r="R12" s="109">
        <f>SUM(R7:R11)</f>
        <v>53675592097.730003</v>
      </c>
      <c r="S12" s="97"/>
      <c r="T12" s="109">
        <f>SUM(T7:T11)</f>
        <v>58570146232.720001</v>
      </c>
      <c r="U12" s="97"/>
      <c r="V12" s="109">
        <f>SUM(V7:V11)</f>
        <v>61338479060.519997</v>
      </c>
      <c r="W12" s="97"/>
      <c r="X12" s="109">
        <f>SUM(X7:X11)</f>
        <v>68636326402.550003</v>
      </c>
      <c r="Y12" s="97"/>
      <c r="Z12" s="109">
        <v>76279849740.450012</v>
      </c>
      <c r="AA12" s="97"/>
      <c r="AB12" s="109">
        <v>84669733825.119995</v>
      </c>
      <c r="AC12" s="97"/>
      <c r="AD12" s="109">
        <f>SUM(AD7:AD11)</f>
        <v>109931381274.08</v>
      </c>
      <c r="AE12" s="97"/>
      <c r="AF12" s="147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48"/>
      <c r="AY12" s="148"/>
      <c r="AZ12" s="148"/>
      <c r="BA12" s="148"/>
      <c r="BB12" s="148"/>
      <c r="BC12" s="148"/>
    </row>
    <row r="13" spans="1:55" x14ac:dyDescent="0.25">
      <c r="A13" s="81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147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48"/>
      <c r="AY13" s="148"/>
      <c r="AZ13" s="148"/>
      <c r="BA13" s="148"/>
      <c r="BB13" s="148"/>
      <c r="BC13" s="148"/>
    </row>
    <row r="14" spans="1:55" x14ac:dyDescent="0.25">
      <c r="AF14" s="147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48"/>
      <c r="AY14" s="148"/>
      <c r="AZ14" s="148"/>
      <c r="BA14" s="148"/>
      <c r="BB14" s="148"/>
      <c r="BC14" s="148"/>
    </row>
    <row r="15" spans="1:55" x14ac:dyDescent="0.25"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48"/>
      <c r="AY15" s="148"/>
      <c r="AZ15" s="148"/>
      <c r="BA15" s="148"/>
      <c r="BB15" s="148"/>
      <c r="BC15" s="148"/>
    </row>
    <row r="16" spans="1:55" x14ac:dyDescent="0.25"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48"/>
      <c r="AY16" s="148"/>
      <c r="AZ16" s="148"/>
      <c r="BA16" s="148"/>
      <c r="BB16" s="148"/>
      <c r="BC16" s="148"/>
    </row>
    <row r="17" spans="33:55" x14ac:dyDescent="0.25"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48"/>
      <c r="AY17" s="148"/>
      <c r="AZ17" s="148"/>
      <c r="BA17" s="148"/>
      <c r="BB17" s="148"/>
      <c r="BC17" s="148"/>
    </row>
    <row r="18" spans="33:55" x14ac:dyDescent="0.25"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48"/>
      <c r="AY18" s="148"/>
      <c r="AZ18" s="148"/>
      <c r="BA18" s="148"/>
      <c r="BB18" s="148"/>
      <c r="BC18" s="148"/>
    </row>
    <row r="19" spans="33:55" x14ac:dyDescent="0.25"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48"/>
      <c r="AY19" s="148"/>
      <c r="AZ19" s="148"/>
      <c r="BA19" s="148"/>
      <c r="BB19" s="148"/>
      <c r="BC19" s="148"/>
    </row>
    <row r="20" spans="33:55" x14ac:dyDescent="0.25"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48"/>
      <c r="AY20" s="148"/>
      <c r="AZ20" s="148"/>
      <c r="BA20" s="148"/>
      <c r="BB20" s="148"/>
      <c r="BC20" s="148"/>
    </row>
    <row r="21" spans="33:55" x14ac:dyDescent="0.25"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48"/>
      <c r="AY21" s="148"/>
      <c r="AZ21" s="148"/>
      <c r="BA21" s="148"/>
      <c r="BB21" s="148"/>
      <c r="BC21" s="148"/>
    </row>
    <row r="22" spans="33:55" x14ac:dyDescent="0.25"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48"/>
      <c r="AY22" s="148"/>
      <c r="AZ22" s="148"/>
      <c r="BA22" s="148"/>
      <c r="BB22" s="148"/>
      <c r="BC22" s="148"/>
    </row>
    <row r="23" spans="33:55" x14ac:dyDescent="0.25"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48"/>
      <c r="AY23" s="148"/>
      <c r="AZ23" s="148"/>
      <c r="BA23" s="148"/>
      <c r="BB23" s="148"/>
      <c r="BC23" s="148"/>
    </row>
    <row r="24" spans="33:55" x14ac:dyDescent="0.25"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48"/>
      <c r="AY24" s="148"/>
      <c r="AZ24" s="148"/>
      <c r="BA24" s="148"/>
      <c r="BB24" s="148"/>
      <c r="BC24" s="148"/>
    </row>
    <row r="25" spans="33:55" x14ac:dyDescent="0.25"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48"/>
      <c r="AY25" s="148"/>
      <c r="AZ25" s="148"/>
      <c r="BA25" s="148"/>
      <c r="BB25" s="148"/>
      <c r="BC25" s="148"/>
    </row>
    <row r="26" spans="33:55" x14ac:dyDescent="0.25"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48"/>
      <c r="AY26" s="148"/>
      <c r="AZ26" s="148"/>
      <c r="BA26" s="148"/>
      <c r="BB26" s="148"/>
      <c r="BC26" s="148"/>
    </row>
  </sheetData>
  <mergeCells count="14">
    <mergeCell ref="D5:E5"/>
    <mergeCell ref="A1:AE1"/>
    <mergeCell ref="A2:AE2"/>
    <mergeCell ref="A3:AE3"/>
    <mergeCell ref="B5:C5"/>
    <mergeCell ref="AD5:AE5"/>
    <mergeCell ref="F5:G5"/>
    <mergeCell ref="H5:I5"/>
    <mergeCell ref="L5:M5"/>
    <mergeCell ref="R5:S5"/>
    <mergeCell ref="T5:U5"/>
    <mergeCell ref="X5:Y5"/>
    <mergeCell ref="Z5:AA5"/>
    <mergeCell ref="AB5:AC5"/>
  </mergeCells>
  <pageMargins left="0.7" right="0.7" top="0.75" bottom="0.75" header="0.3" footer="0.3"/>
  <pageSetup orientation="portrait" verticalDpi="599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B1" workbookViewId="0">
      <selection activeCell="I23" sqref="I23"/>
    </sheetView>
  </sheetViews>
  <sheetFormatPr baseColWidth="10" defaultRowHeight="15" x14ac:dyDescent="0.25"/>
  <cols>
    <col min="1" max="1" width="9" hidden="1" customWidth="1"/>
    <col min="2" max="3" width="19.5703125" bestFit="1" customWidth="1"/>
    <col min="4" max="4" width="17.85546875" bestFit="1" customWidth="1"/>
    <col min="5" max="5" width="14.7109375" customWidth="1"/>
  </cols>
  <sheetData>
    <row r="1" spans="1:7" ht="18.75" x14ac:dyDescent="0.25">
      <c r="B1" s="228" t="s">
        <v>95</v>
      </c>
      <c r="C1" s="229"/>
      <c r="D1" s="229"/>
      <c r="E1" s="230"/>
      <c r="F1" s="99"/>
      <c r="G1" s="99"/>
    </row>
    <row r="2" spans="1:7" ht="18.75" x14ac:dyDescent="0.3">
      <c r="B2" s="103" t="s">
        <v>92</v>
      </c>
      <c r="C2" s="103" t="s">
        <v>33</v>
      </c>
      <c r="D2" s="103" t="s">
        <v>93</v>
      </c>
      <c r="E2" s="104" t="s">
        <v>94</v>
      </c>
    </row>
    <row r="3" spans="1:7" x14ac:dyDescent="0.25">
      <c r="B3" s="100">
        <f>+$B$7+$B$11+$B$15+$B$19+$B$23</f>
        <v>117089523837</v>
      </c>
      <c r="C3" s="100">
        <f>+$C$7+$C$11+$C$15+$C$19+$C$23</f>
        <v>109931381274.08</v>
      </c>
      <c r="D3" s="100">
        <f>+$D$7+$D$11+$D$15+$D$19+$D$23</f>
        <v>4255379243.25</v>
      </c>
      <c r="E3" s="181">
        <f>+C3/B3</f>
        <v>0.93886607163178126</v>
      </c>
    </row>
    <row r="4" spans="1:7" x14ac:dyDescent="0.25">
      <c r="B4" s="101"/>
      <c r="C4" s="101"/>
      <c r="D4" s="101"/>
      <c r="E4" s="101"/>
    </row>
    <row r="5" spans="1:7" ht="18.75" x14ac:dyDescent="0.25">
      <c r="B5" s="225" t="str">
        <f>+'ANALISIS POR PROG'!$B$6</f>
        <v>PROG 779</v>
      </c>
      <c r="C5" s="226"/>
      <c r="D5" s="226"/>
      <c r="E5" s="227"/>
      <c r="F5" s="99"/>
      <c r="G5" s="99"/>
    </row>
    <row r="6" spans="1:7" ht="18.75" x14ac:dyDescent="0.3">
      <c r="B6" s="103" t="s">
        <v>92</v>
      </c>
      <c r="C6" s="103" t="s">
        <v>33</v>
      </c>
      <c r="D6" s="103" t="s">
        <v>93</v>
      </c>
      <c r="E6" s="104" t="s">
        <v>94</v>
      </c>
    </row>
    <row r="7" spans="1:7" x14ac:dyDescent="0.25">
      <c r="A7">
        <v>214779</v>
      </c>
      <c r="B7" s="100">
        <f>SUMIF(SIGAF!$A$2:$A$500,$A7,SIGAF!$F$2:$F$500)</f>
        <v>2775642622</v>
      </c>
      <c r="C7" s="100">
        <f>SUMIF(SIGAF!$A$2:$A$500,$A7,SIGAF!$K$2:$K$500)</f>
        <v>2457181742.7800002</v>
      </c>
      <c r="D7" s="100">
        <f>SUMIF(SIGAF!$A$2:$A$500,$A7,SIGAF!$M$2:$M$500)</f>
        <v>275772850.01999998</v>
      </c>
      <c r="E7" s="181">
        <f>+C7/B7</f>
        <v>0.88526589241141873</v>
      </c>
    </row>
    <row r="8" spans="1:7" x14ac:dyDescent="0.25">
      <c r="B8" s="101"/>
      <c r="C8" s="101"/>
      <c r="D8" s="101"/>
      <c r="E8" s="101"/>
    </row>
    <row r="9" spans="1:7" ht="18.75" x14ac:dyDescent="0.25">
      <c r="B9" s="225" t="str">
        <f>+'ANALISIS POR PROG'!$B$7</f>
        <v>PROG 780</v>
      </c>
      <c r="C9" s="226"/>
      <c r="D9" s="226"/>
      <c r="E9" s="227"/>
    </row>
    <row r="10" spans="1:7" ht="18.75" x14ac:dyDescent="0.3">
      <c r="B10" s="103" t="s">
        <v>92</v>
      </c>
      <c r="C10" s="103" t="s">
        <v>33</v>
      </c>
      <c r="D10" s="103" t="s">
        <v>93</v>
      </c>
      <c r="E10" s="104" t="s">
        <v>94</v>
      </c>
    </row>
    <row r="11" spans="1:7" x14ac:dyDescent="0.25">
      <c r="A11">
        <v>214780</v>
      </c>
      <c r="B11" s="100">
        <f>SUMIF(SIGAF!$A$2:$A$500,$A11,SIGAF!$F$2:$F$500)</f>
        <v>874784347</v>
      </c>
      <c r="C11" s="100">
        <f>SUMIF(SIGAF!$A$2:$A$500,$A11,SIGAF!$K$2:$K$500)</f>
        <v>786800693.20000005</v>
      </c>
      <c r="D11" s="100">
        <f>SUMIF(SIGAF!$A$2:$A$500,$A11,SIGAF!$M$2:$M$500)</f>
        <v>83257677.25</v>
      </c>
      <c r="E11" s="181">
        <f>+C11/B11</f>
        <v>0.89942246440310392</v>
      </c>
    </row>
    <row r="12" spans="1:7" x14ac:dyDescent="0.25">
      <c r="B12" s="102"/>
      <c r="C12" s="102"/>
      <c r="D12" s="102"/>
      <c r="E12" s="102"/>
    </row>
    <row r="13" spans="1:7" ht="18.75" x14ac:dyDescent="0.25">
      <c r="B13" s="225" t="str">
        <f>+'ANALISIS POR PROG'!$B$8</f>
        <v>PROG 781</v>
      </c>
      <c r="C13" s="226"/>
      <c r="D13" s="226"/>
      <c r="E13" s="227"/>
    </row>
    <row r="14" spans="1:7" ht="18.75" x14ac:dyDescent="0.3">
      <c r="B14" s="103" t="s">
        <v>92</v>
      </c>
      <c r="C14" s="103" t="s">
        <v>33</v>
      </c>
      <c r="D14" s="103" t="s">
        <v>93</v>
      </c>
      <c r="E14" s="104" t="s">
        <v>94</v>
      </c>
    </row>
    <row r="15" spans="1:7" x14ac:dyDescent="0.25">
      <c r="A15">
        <v>214781</v>
      </c>
      <c r="B15" s="100">
        <f>SUMIF(SIGAF!$A$2:$A$500,$A15,SIGAF!$F$2:$F$500)</f>
        <v>9124165928</v>
      </c>
      <c r="C15" s="100">
        <f>SUMIF(SIGAF!$A$2:$A$500,$A15,SIGAF!$K$2:$K$500)</f>
        <v>8639388473.7000008</v>
      </c>
      <c r="D15" s="100">
        <f>SUMIF(SIGAF!$A$2:$A$500,$A15,SIGAF!$M$2:$M$500)</f>
        <v>437027932.38999999</v>
      </c>
      <c r="E15" s="181">
        <f>+C15/B15</f>
        <v>0.94686884717732644</v>
      </c>
    </row>
    <row r="16" spans="1:7" x14ac:dyDescent="0.25">
      <c r="B16" s="102"/>
      <c r="C16" s="102"/>
      <c r="D16" s="102"/>
      <c r="E16" s="102"/>
    </row>
    <row r="17" spans="1:5" ht="18.75" x14ac:dyDescent="0.25">
      <c r="B17" s="225" t="str">
        <f>+'ANALISIS POR PROG'!$B$9</f>
        <v>PROG 783</v>
      </c>
      <c r="C17" s="226"/>
      <c r="D17" s="226"/>
      <c r="E17" s="227"/>
    </row>
    <row r="18" spans="1:5" ht="18.75" x14ac:dyDescent="0.3">
      <c r="B18" s="103" t="s">
        <v>92</v>
      </c>
      <c r="C18" s="103" t="s">
        <v>33</v>
      </c>
      <c r="D18" s="103" t="s">
        <v>93</v>
      </c>
      <c r="E18" s="104" t="s">
        <v>94</v>
      </c>
    </row>
    <row r="19" spans="1:5" x14ac:dyDescent="0.25">
      <c r="A19">
        <v>214783</v>
      </c>
      <c r="B19" s="100">
        <f>SUMIF(SIGAF!$A$2:$A$500,$A19,SIGAF!$F$2:$F$500)</f>
        <v>91129126515</v>
      </c>
      <c r="C19" s="100">
        <f>SUMIF(SIGAF!$A$2:$A$500,$A19,SIGAF!$K$2:$K$500)</f>
        <v>85963389837.949997</v>
      </c>
      <c r="D19" s="100">
        <f>SUMIF(SIGAF!$A$2:$A$500,$A19,SIGAF!$M$2:$M$500)</f>
        <v>2403362222.1399999</v>
      </c>
      <c r="E19" s="181">
        <f>+C19/B19</f>
        <v>0.94331409863563531</v>
      </c>
    </row>
    <row r="20" spans="1:5" x14ac:dyDescent="0.25">
      <c r="B20" s="102"/>
      <c r="C20" s="102"/>
      <c r="D20" s="102"/>
      <c r="E20" s="102"/>
    </row>
    <row r="21" spans="1:5" ht="18.75" x14ac:dyDescent="0.25">
      <c r="B21" s="225" t="str">
        <f>+'ANALISIS POR PROG'!$B$10</f>
        <v>PROG 784</v>
      </c>
      <c r="C21" s="226"/>
      <c r="D21" s="226"/>
      <c r="E21" s="227"/>
    </row>
    <row r="22" spans="1:5" ht="18.75" x14ac:dyDescent="0.3">
      <c r="B22" s="103" t="s">
        <v>92</v>
      </c>
      <c r="C22" s="103" t="s">
        <v>33</v>
      </c>
      <c r="D22" s="103" t="s">
        <v>93</v>
      </c>
      <c r="E22" s="104" t="s">
        <v>94</v>
      </c>
    </row>
    <row r="23" spans="1:5" x14ac:dyDescent="0.25">
      <c r="A23">
        <v>214784</v>
      </c>
      <c r="B23" s="100">
        <f>SUMIF(SIGAF!$A$2:$A$500,$A23,SIGAF!$F$2:$F$500)</f>
        <v>13185804425</v>
      </c>
      <c r="C23" s="100">
        <f>SUMIF(SIGAF!$A$2:$A$500,$A23,SIGAF!$K$2:$K$500)</f>
        <v>12084620526.450001</v>
      </c>
      <c r="D23" s="100">
        <f>SUMIF(SIGAF!$A$2:$A$500,$A23,SIGAF!$M$2:$M$500)</f>
        <v>1055958561.45</v>
      </c>
      <c r="E23" s="181">
        <f>+C23/B23</f>
        <v>0.91648716581430723</v>
      </c>
    </row>
    <row r="24" spans="1:5" x14ac:dyDescent="0.25">
      <c r="B24" s="102"/>
      <c r="C24" s="102"/>
      <c r="D24" s="102"/>
      <c r="E24" s="102"/>
    </row>
    <row r="25" spans="1:5" x14ac:dyDescent="0.25">
      <c r="B25" s="25">
        <f>+B3-SIGAF!F2</f>
        <v>0</v>
      </c>
      <c r="C25" s="25">
        <f>+C3-SIGAF!K2</f>
        <v>0</v>
      </c>
      <c r="D25" s="25"/>
      <c r="E25" s="25"/>
    </row>
  </sheetData>
  <mergeCells count="6">
    <mergeCell ref="B21:E21"/>
    <mergeCell ref="B1:E1"/>
    <mergeCell ref="B5:E5"/>
    <mergeCell ref="B9:E9"/>
    <mergeCell ref="B13:E13"/>
    <mergeCell ref="B17:E17"/>
  </mergeCells>
  <pageMargins left="0.7" right="0.7" top="0.75" bottom="0.75" header="0.3" footer="0.3"/>
  <pageSetup orientation="portrait" verticalDpi="599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5" sqref="A25"/>
    </sheetView>
  </sheetViews>
  <sheetFormatPr baseColWidth="10" defaultRowHeight="15" x14ac:dyDescent="0.25"/>
  <cols>
    <col min="1" max="1" width="37.85546875" bestFit="1" customWidth="1"/>
    <col min="2" max="2" width="20.42578125" bestFit="1" customWidth="1"/>
    <col min="3" max="3" width="22.85546875" bestFit="1" customWidth="1"/>
    <col min="4" max="4" width="30.28515625" bestFit="1" customWidth="1"/>
    <col min="5" max="5" width="18.28515625" bestFit="1" customWidth="1"/>
    <col min="6" max="6" width="14.42578125" customWidth="1"/>
  </cols>
  <sheetData>
    <row r="1" spans="1:6" ht="18" thickBot="1" x14ac:dyDescent="0.3">
      <c r="A1" s="231" t="s">
        <v>44</v>
      </c>
      <c r="B1" s="232"/>
      <c r="C1" s="232"/>
      <c r="D1" s="232"/>
      <c r="E1" s="232"/>
      <c r="F1" s="233"/>
    </row>
    <row r="2" spans="1:6" ht="15.75" thickBot="1" x14ac:dyDescent="0.3"/>
    <row r="3" spans="1:6" ht="33.75" customHeight="1" x14ac:dyDescent="0.25">
      <c r="A3" s="29" t="s">
        <v>0</v>
      </c>
      <c r="B3" s="7" t="s">
        <v>45</v>
      </c>
      <c r="C3" s="7" t="s">
        <v>54</v>
      </c>
      <c r="D3" s="7" t="s">
        <v>46</v>
      </c>
      <c r="E3" s="7" t="s">
        <v>47</v>
      </c>
      <c r="F3" s="30" t="s">
        <v>8</v>
      </c>
    </row>
    <row r="4" spans="1:6" ht="16.5" x14ac:dyDescent="0.25">
      <c r="A4" s="8" t="s">
        <v>9</v>
      </c>
      <c r="B4" s="16">
        <f>+'Resumen partida'!C7</f>
        <v>79101866424</v>
      </c>
      <c r="C4" s="16">
        <f ca="1">+'Resumen partida'!G7</f>
        <v>2182405859.4899998</v>
      </c>
      <c r="D4" s="16">
        <f>26829389123.4-3461184089.09</f>
        <v>23368205034.310001</v>
      </c>
      <c r="E4" s="16">
        <f ca="1">+C4-D4</f>
        <v>-21185799174.82</v>
      </c>
      <c r="F4" s="31">
        <f ca="1">+E4/B4</f>
        <v>-0.26782932100818413</v>
      </c>
    </row>
    <row r="5" spans="1:6" ht="16.5" x14ac:dyDescent="0.25">
      <c r="A5" s="8" t="s">
        <v>10</v>
      </c>
      <c r="B5" s="16">
        <f>+'Resumen partida'!C8</f>
        <v>9118490598</v>
      </c>
      <c r="C5" s="16">
        <f ca="1">+'Resumen partida'!G8</f>
        <v>370785106.50999999</v>
      </c>
      <c r="D5" s="16">
        <f>1520802352.53-507409539.12+4542543.01</f>
        <v>1017935356.42</v>
      </c>
      <c r="E5" s="16">
        <f t="shared" ref="E5:E9" ca="1" si="0">+C5-D5</f>
        <v>-647150249.90999997</v>
      </c>
      <c r="F5" s="31">
        <f t="shared" ref="F5:F10" ca="1" si="1">+E5/B5</f>
        <v>-7.0971203287958903E-2</v>
      </c>
    </row>
    <row r="6" spans="1:6" ht="16.5" x14ac:dyDescent="0.25">
      <c r="A6" s="8" t="s">
        <v>11</v>
      </c>
      <c r="B6" s="16">
        <f>+'Resumen partida'!C9</f>
        <v>12969269517</v>
      </c>
      <c r="C6" s="16">
        <f ca="1">+'Resumen partida'!G9</f>
        <v>966242376.84000003</v>
      </c>
      <c r="D6" s="16">
        <f>3114532393.51-1046587510.82</f>
        <v>2067944882.6900001</v>
      </c>
      <c r="E6" s="16">
        <f t="shared" ca="1" si="0"/>
        <v>-1101702505.8499999</v>
      </c>
      <c r="F6" s="31">
        <f t="shared" ca="1" si="1"/>
        <v>-8.4947151757922709E-2</v>
      </c>
    </row>
    <row r="7" spans="1:6" ht="16.5" x14ac:dyDescent="0.25">
      <c r="A7" s="8" t="s">
        <v>12</v>
      </c>
      <c r="B7" s="16">
        <f>+'Resumen partida'!C10</f>
        <v>3017512862</v>
      </c>
      <c r="C7" s="16">
        <f ca="1">+'Resumen partida'!G10</f>
        <v>144726160.96000001</v>
      </c>
      <c r="D7" s="16">
        <f>381303517.72-155353964</f>
        <v>225949553.72000003</v>
      </c>
      <c r="E7" s="16">
        <f t="shared" ca="1" si="0"/>
        <v>-81223392.76000002</v>
      </c>
      <c r="F7" s="31">
        <f t="shared" ca="1" si="1"/>
        <v>-2.6917331085099454E-2</v>
      </c>
    </row>
    <row r="8" spans="1:6" ht="16.5" x14ac:dyDescent="0.25">
      <c r="A8" s="8" t="s">
        <v>13</v>
      </c>
      <c r="B8" s="16">
        <f>+'Resumen partida'!C11</f>
        <v>3656120600</v>
      </c>
      <c r="C8" s="16">
        <f ca="1">+'Resumen partida'!G11</f>
        <v>591219738.44999993</v>
      </c>
      <c r="D8" s="16">
        <v>970391201.72000003</v>
      </c>
      <c r="E8" s="16">
        <f t="shared" ca="1" si="0"/>
        <v>-379171463.2700001</v>
      </c>
      <c r="F8" s="31">
        <f t="shared" ca="1" si="1"/>
        <v>-0.10370868599629894</v>
      </c>
    </row>
    <row r="9" spans="1:6" ht="16.5" x14ac:dyDescent="0.25">
      <c r="A9" s="8" t="s">
        <v>14</v>
      </c>
      <c r="B9" s="16">
        <f>+'Resumen partida'!C12</f>
        <v>9226263836</v>
      </c>
      <c r="C9" s="16">
        <f ca="1">+'Resumen partida'!G12</f>
        <v>1</v>
      </c>
      <c r="D9" s="16">
        <v>9346324000</v>
      </c>
      <c r="E9" s="16">
        <f t="shared" ca="1" si="0"/>
        <v>-9346323999</v>
      </c>
      <c r="F9" s="31">
        <f t="shared" ca="1" si="1"/>
        <v>-1.0130128690371434</v>
      </c>
    </row>
    <row r="10" spans="1:6" ht="18" thickBot="1" x14ac:dyDescent="0.3">
      <c r="A10" s="9" t="s">
        <v>15</v>
      </c>
      <c r="B10" s="15">
        <f>SUM(B4:B9)</f>
        <v>117089523837</v>
      </c>
      <c r="C10" s="15">
        <f t="shared" ref="C10:E10" ca="1" si="2">SUM(C4:C9)</f>
        <v>4255379243.25</v>
      </c>
      <c r="D10" s="15">
        <f t="shared" si="2"/>
        <v>36996750028.860001</v>
      </c>
      <c r="E10" s="15">
        <f t="shared" ca="1" si="2"/>
        <v>-32741370785.609997</v>
      </c>
      <c r="F10" s="32">
        <f t="shared" ca="1" si="1"/>
        <v>-0.2796268164109128</v>
      </c>
    </row>
    <row r="12" spans="1:6" ht="15" customHeight="1" x14ac:dyDescent="0.25"/>
    <row r="15" spans="1:6" ht="18" thickBot="1" x14ac:dyDescent="0.3">
      <c r="A15" s="231" t="s">
        <v>48</v>
      </c>
      <c r="B15" s="232"/>
      <c r="C15" s="232"/>
      <c r="D15" s="232"/>
      <c r="E15" s="232"/>
      <c r="F15" s="233"/>
    </row>
    <row r="16" spans="1:6" ht="15.75" thickBot="1" x14ac:dyDescent="0.3">
      <c r="C16" s="25"/>
      <c r="D16" s="25"/>
      <c r="E16" s="25"/>
    </row>
    <row r="17" spans="1:6" ht="34.5" x14ac:dyDescent="0.25">
      <c r="A17" s="29" t="s">
        <v>56</v>
      </c>
      <c r="B17" s="7" t="s">
        <v>45</v>
      </c>
      <c r="C17" s="7" t="s">
        <v>54</v>
      </c>
      <c r="D17" s="7" t="s">
        <v>46</v>
      </c>
      <c r="E17" s="7" t="s">
        <v>47</v>
      </c>
      <c r="F17" s="30" t="s">
        <v>8</v>
      </c>
    </row>
    <row r="18" spans="1:6" x14ac:dyDescent="0.25">
      <c r="A18" s="26" t="s">
        <v>49</v>
      </c>
      <c r="B18" s="27">
        <f>+[9]proyeccion!$B$10</f>
        <v>3104857000</v>
      </c>
      <c r="C18" s="27">
        <f>+[9]proyeccion!$C$10</f>
        <v>1064850521.0999999</v>
      </c>
      <c r="D18" s="27">
        <f>+[9]proyeccion!$D$10</f>
        <v>817913281.75999999</v>
      </c>
      <c r="E18" s="27">
        <f>+C18-D18</f>
        <v>246937239.33999991</v>
      </c>
      <c r="F18" s="28">
        <f>+E18/B18</f>
        <v>7.953256441117898E-2</v>
      </c>
    </row>
    <row r="19" spans="1:6" x14ac:dyDescent="0.25">
      <c r="A19" s="26" t="s">
        <v>50</v>
      </c>
      <c r="B19" s="27">
        <f>+[10]Proyeccion!$B$10</f>
        <v>886495000</v>
      </c>
      <c r="C19" s="27">
        <f>+[10]Proyeccion!$C$10</f>
        <v>344496181.24000001</v>
      </c>
      <c r="D19" s="27">
        <f>+[10]Proyeccion!$D$10</f>
        <v>196164904.31</v>
      </c>
      <c r="E19" s="27">
        <f t="shared" ref="E19:E21" si="3">+C19-D19</f>
        <v>148331276.93000001</v>
      </c>
      <c r="F19" s="28">
        <f t="shared" ref="F19:F22" si="4">+E19/B19</f>
        <v>0.16732330913315924</v>
      </c>
    </row>
    <row r="20" spans="1:6" x14ac:dyDescent="0.25">
      <c r="A20" s="26" t="s">
        <v>51</v>
      </c>
      <c r="B20" s="27">
        <f>+[11]proyecion!B$10</f>
        <v>9259897000</v>
      </c>
      <c r="C20" s="27">
        <f>+[11]proyecion!C$10</f>
        <v>2809082347.3700004</v>
      </c>
      <c r="D20" s="27">
        <f>+[11]proyecion!D$10</f>
        <v>2552094589.6900001</v>
      </c>
      <c r="E20" s="27">
        <f t="shared" si="3"/>
        <v>256987757.68000031</v>
      </c>
      <c r="F20" s="28">
        <f t="shared" si="4"/>
        <v>2.7752766329906295E-2</v>
      </c>
    </row>
    <row r="21" spans="1:6" x14ac:dyDescent="0.25">
      <c r="A21" s="26" t="s">
        <v>52</v>
      </c>
      <c r="B21" s="27">
        <f>+[12]proyeccion!B$10</f>
        <v>152948794714.44</v>
      </c>
      <c r="C21" s="27">
        <f>+[12]proyeccion!C$10</f>
        <v>69213232409.300003</v>
      </c>
      <c r="D21" s="27">
        <f>+[12]proyeccion!D$10</f>
        <v>29520016193.59</v>
      </c>
      <c r="E21" s="27">
        <f t="shared" si="3"/>
        <v>39693216215.710007</v>
      </c>
      <c r="F21" s="28">
        <f t="shared" si="4"/>
        <v>0.25951964047718346</v>
      </c>
    </row>
    <row r="22" spans="1:6" x14ac:dyDescent="0.25">
      <c r="A22" s="26" t="s">
        <v>53</v>
      </c>
      <c r="B22" s="27">
        <f>+[13]proyeccion!B$10</f>
        <v>13799039000</v>
      </c>
      <c r="C22" s="27">
        <f>+[13]proyeccion!C$10</f>
        <v>4783423549.5699997</v>
      </c>
      <c r="D22" s="27">
        <f>+[13]proyeccion!D$10</f>
        <v>3910561059.5099998</v>
      </c>
      <c r="E22" s="27">
        <f>+[13]proyeccion!E$10</f>
        <v>872862490.06000042</v>
      </c>
      <c r="F22" s="28">
        <f t="shared" si="4"/>
        <v>6.3255310029923129E-2</v>
      </c>
    </row>
    <row r="23" spans="1:6" ht="18" thickBot="1" x14ac:dyDescent="0.3">
      <c r="A23" s="9" t="s">
        <v>15</v>
      </c>
      <c r="B23" s="15">
        <f>SUM(B18:B22)</f>
        <v>179999082714.44</v>
      </c>
      <c r="C23" s="15">
        <f>SUM(C18:C22)</f>
        <v>78215085008.580017</v>
      </c>
      <c r="D23" s="15">
        <f t="shared" ref="D23:E23" si="5">SUM(D18:D22)</f>
        <v>36996750028.860001</v>
      </c>
      <c r="E23" s="15">
        <f t="shared" si="5"/>
        <v>41218334979.720001</v>
      </c>
      <c r="F23" s="19">
        <f>+E23/B23</f>
        <v>0.22899191683721484</v>
      </c>
    </row>
    <row r="25" spans="1:6" x14ac:dyDescent="0.25">
      <c r="E25" s="33">
        <f ca="1">+E23-E10</f>
        <v>73959705765.330002</v>
      </c>
    </row>
  </sheetData>
  <mergeCells count="2">
    <mergeCell ref="A15:F15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00"/>
  <sheetViews>
    <sheetView topLeftCell="C1" workbookViewId="0">
      <selection activeCell="I12" sqref="I12"/>
    </sheetView>
  </sheetViews>
  <sheetFormatPr baseColWidth="10" defaultRowHeight="15" x14ac:dyDescent="0.25"/>
  <cols>
    <col min="1" max="1" width="16.85546875" customWidth="1"/>
    <col min="2" max="2" width="25.42578125" customWidth="1"/>
    <col min="3" max="3" width="19.5703125" customWidth="1"/>
    <col min="4" max="4" width="18.5703125" customWidth="1"/>
    <col min="5" max="5" width="17.5703125" customWidth="1"/>
    <col min="6" max="6" width="6.85546875" style="14" customWidth="1"/>
    <col min="7" max="7" width="18.5703125" customWidth="1"/>
    <col min="8" max="8" width="7.42578125" customWidth="1"/>
    <col min="9" max="9" width="14.140625" customWidth="1"/>
    <col min="10" max="10" width="10.7109375" customWidth="1"/>
    <col min="11" max="11" width="16.85546875" customWidth="1"/>
    <col min="12" max="12" width="8.85546875" customWidth="1"/>
    <col min="13" max="13" width="18.140625" customWidth="1"/>
    <col min="14" max="14" width="8.28515625" customWidth="1"/>
    <col min="15" max="15" width="17" style="93" customWidth="1"/>
    <col min="16" max="16" width="7.7109375" bestFit="1" customWidth="1"/>
    <col min="17" max="17" width="16.5703125" customWidth="1"/>
    <col min="18" max="18" width="7.7109375" bestFit="1" customWidth="1"/>
    <col min="19" max="19" width="15.28515625" bestFit="1" customWidth="1"/>
  </cols>
  <sheetData>
    <row r="1" spans="1:18" ht="15.75" x14ac:dyDescent="0.25">
      <c r="A1" s="186" t="s">
        <v>22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8"/>
    </row>
    <row r="2" spans="1:18" ht="15.75" x14ac:dyDescent="0.25">
      <c r="A2" s="184" t="s">
        <v>23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9"/>
    </row>
    <row r="3" spans="1:18" ht="15.75" x14ac:dyDescent="0.25">
      <c r="A3" s="184" t="s">
        <v>75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9"/>
    </row>
    <row r="4" spans="1:18" ht="15.75" x14ac:dyDescent="0.25">
      <c r="A4" s="193" t="s">
        <v>601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5"/>
    </row>
    <row r="5" spans="1:18" ht="15.75" x14ac:dyDescent="0.25">
      <c r="A5" s="190" t="s">
        <v>55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2"/>
    </row>
    <row r="6" spans="1:18" ht="15.75" x14ac:dyDescent="0.25">
      <c r="A6" s="184" t="s">
        <v>87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9"/>
    </row>
    <row r="7" spans="1:18" ht="15.75" thickBot="1" x14ac:dyDescent="0.3">
      <c r="A7" s="1"/>
      <c r="B7" s="2"/>
      <c r="C7" s="2"/>
      <c r="D7" s="2"/>
      <c r="E7" s="2"/>
      <c r="F7" s="10"/>
      <c r="G7" s="2"/>
      <c r="H7" s="2"/>
      <c r="I7" s="2"/>
      <c r="J7" s="2"/>
      <c r="K7" s="2"/>
      <c r="L7" s="2"/>
      <c r="M7" s="2"/>
      <c r="N7" s="2"/>
      <c r="O7" s="89"/>
      <c r="P7" s="2"/>
      <c r="Q7" s="2"/>
      <c r="R7" s="3"/>
    </row>
    <row r="8" spans="1:18" ht="33.75" customHeight="1" x14ac:dyDescent="0.25">
      <c r="A8" s="53" t="s">
        <v>24</v>
      </c>
      <c r="B8" s="53" t="s">
        <v>559</v>
      </c>
      <c r="C8" s="53" t="s">
        <v>25</v>
      </c>
      <c r="D8" s="53" t="s">
        <v>562</v>
      </c>
      <c r="E8" s="53" t="s">
        <v>27</v>
      </c>
      <c r="F8" s="53" t="s">
        <v>28</v>
      </c>
      <c r="G8" s="53" t="s">
        <v>29</v>
      </c>
      <c r="H8" s="53" t="s">
        <v>30</v>
      </c>
      <c r="I8" s="53" t="s">
        <v>31</v>
      </c>
      <c r="J8" s="53" t="s">
        <v>32</v>
      </c>
      <c r="K8" s="53" t="s">
        <v>33</v>
      </c>
      <c r="L8" s="53" t="s">
        <v>34</v>
      </c>
      <c r="M8" s="53" t="s">
        <v>35</v>
      </c>
      <c r="N8" s="53" t="s">
        <v>36</v>
      </c>
      <c r="O8" s="53" t="s">
        <v>561</v>
      </c>
      <c r="P8" s="53" t="s">
        <v>38</v>
      </c>
      <c r="Q8" s="53" t="s">
        <v>575</v>
      </c>
      <c r="R8" s="54" t="s">
        <v>40</v>
      </c>
    </row>
    <row r="9" spans="1:18" x14ac:dyDescent="0.25">
      <c r="A9" s="11" t="s">
        <v>41</v>
      </c>
      <c r="B9" s="11"/>
      <c r="C9" s="11" t="s">
        <v>42</v>
      </c>
      <c r="D9" s="11" t="s">
        <v>42</v>
      </c>
      <c r="E9" s="11" t="s">
        <v>42</v>
      </c>
      <c r="F9" s="12"/>
      <c r="G9" s="11" t="s">
        <v>42</v>
      </c>
      <c r="H9" s="11"/>
      <c r="I9" s="11" t="s">
        <v>42</v>
      </c>
      <c r="J9" s="11"/>
      <c r="K9" s="11" t="s">
        <v>42</v>
      </c>
      <c r="L9" s="11"/>
      <c r="M9" s="11" t="s">
        <v>42</v>
      </c>
      <c r="N9" s="11"/>
      <c r="O9" s="90" t="s">
        <v>42</v>
      </c>
      <c r="P9" s="11"/>
      <c r="Q9" s="11" t="s">
        <v>42</v>
      </c>
      <c r="R9" s="13"/>
    </row>
    <row r="10" spans="1:18" s="23" customFormat="1" x14ac:dyDescent="0.25">
      <c r="A10">
        <v>214</v>
      </c>
      <c r="B10" s="21"/>
      <c r="C10" s="35">
        <f>SUMIF(SIGAF!$A$2:$A$500,$A10,SIGAF!$F$2:$F$500)</f>
        <v>117089523837</v>
      </c>
      <c r="D10" s="35">
        <f ca="1">SUMIF(SIGAF!$A$2:$A$500,$A10,SIGAF!$G$2:$G$364)</f>
        <v>117086609403.25</v>
      </c>
      <c r="E10" s="35">
        <f>SUMIF(SIGAF!$A$2:$A$500,$A10,SIGAF!$H$2:$H$500)</f>
        <v>4362972</v>
      </c>
      <c r="F10" s="67">
        <f>+IFERROR(+E10/$C10,0)</f>
        <v>3.7261847661740267E-5</v>
      </c>
      <c r="G10" s="35">
        <f>SUMIF(SIGAF!$A$2:$A$500,$A10,SIGAF!$I$2:$I$500)</f>
        <v>2898400347.6700001</v>
      </c>
      <c r="H10" s="67">
        <f>+IFERROR(+G10/$C10,0)</f>
        <v>2.4753711969183981E-2</v>
      </c>
      <c r="I10" s="35">
        <f>SUMIF(SIGAF!$A$2:$A$500,$A10,SIGAF!$J$2:$J$500)</f>
        <v>0</v>
      </c>
      <c r="J10" s="67">
        <f>+IFERROR(+I10/$C10,0)</f>
        <v>0</v>
      </c>
      <c r="K10" s="35">
        <f>SUMIF(SIGAF!$A$2:$A$500,$A10,SIGAF!$K$2:$K$500)</f>
        <v>109931381274.08</v>
      </c>
      <c r="L10" s="174">
        <f t="shared" ref="L10:L11" si="0">+IFERROR(+K10/$C10,0)</f>
        <v>0.93886607163178126</v>
      </c>
      <c r="M10" s="35">
        <f>SUMIF(SIGAF!$A$2:$A$500,$A10,SIGAF!$L$2:$L$500)</f>
        <v>92686644098.789993</v>
      </c>
      <c r="N10" s="67">
        <f>+IFERROR(+M10/$C10,0)</f>
        <v>0.79158784715717878</v>
      </c>
      <c r="O10" s="35">
        <f>SUMIF(SIGAF!$A$2:$A$500,$A10,SIGAF!$M$2:$M$500)</f>
        <v>4255379243.25</v>
      </c>
      <c r="P10" s="67">
        <f>+IFERROR(+O10/$C10,0)</f>
        <v>3.6342954551373027E-2</v>
      </c>
      <c r="Q10" s="35">
        <f>SUMIF(SIGAF!$A$2:$A$500,$A10,SIGAF!$N$2:$N$500)</f>
        <v>4252464809.5</v>
      </c>
      <c r="R10" s="67">
        <f>+IFERROR(+Q10/$C10,0)</f>
        <v>3.6318063906552768E-2</v>
      </c>
    </row>
    <row r="11" spans="1:18" s="23" customFormat="1" x14ac:dyDescent="0.25">
      <c r="A11" s="21" t="s">
        <v>100</v>
      </c>
      <c r="B11" s="21" t="s">
        <v>101</v>
      </c>
      <c r="C11" s="35">
        <f>SUMIF(SIGAF!$B$2:$B$500,$A11,SIGAF!$F$2:$F$500)</f>
        <v>79101866424</v>
      </c>
      <c r="D11" s="35">
        <f ca="1">SUMIF(SIGAF!$B$2:$B$500,$A11,SIGAF!$G$2:$G$364)</f>
        <v>79098952023</v>
      </c>
      <c r="E11" s="35">
        <f>SUMIF(SIGAF!$B$2:$B$500,$A11,SIGAF!$H$2:$H$500)</f>
        <v>0</v>
      </c>
      <c r="F11" s="67">
        <f t="shared" ref="F11:F74" si="1">+IFERROR(+E11/$C11,0)</f>
        <v>0</v>
      </c>
      <c r="G11" s="35">
        <f>SUMIF(SIGAF!$B$2:$B$500,$A11,SIGAF!$I$2:$I$500)</f>
        <v>45261660.800000004</v>
      </c>
      <c r="H11" s="67">
        <f t="shared" ref="H11:J74" si="2">+IFERROR(+G11/$C11,0)</f>
        <v>5.7219459977580676E-4</v>
      </c>
      <c r="I11" s="35">
        <f>SUMIF(SIGAF!$B$2:$B$500,$A11,SIGAF!$J$2:$J$500)</f>
        <v>0</v>
      </c>
      <c r="J11" s="67">
        <f t="shared" si="2"/>
        <v>0</v>
      </c>
      <c r="K11" s="35">
        <f>SUMIF(SIGAF!$B$2:$B$500,$A11,SIGAF!$K$2:$K$500)</f>
        <v>76874198903.709991</v>
      </c>
      <c r="L11" s="174">
        <f t="shared" si="0"/>
        <v>0.97183799041669494</v>
      </c>
      <c r="M11" s="35">
        <f>SUMIF(SIGAF!$B$2:$B$500,$A11,SIGAF!$L$2:$L$500)</f>
        <v>63137433799.969994</v>
      </c>
      <c r="N11" s="67">
        <f t="shared" ref="N11:N74" si="3">+IFERROR(+M11/$C11,0)</f>
        <v>0.7981788123878415</v>
      </c>
      <c r="O11" s="91">
        <f ca="1">SUMIF(SIGAF!$B$2:$B$500,$A11,SIGAF!$M$2:$M$364)</f>
        <v>2182405859.4899998</v>
      </c>
      <c r="P11" s="67">
        <f t="shared" ref="P11:P74" ca="1" si="4">+IFERROR(+O11/$C11,0)</f>
        <v>2.7589814983529189E-2</v>
      </c>
      <c r="Q11" s="35">
        <f ca="1">SUMIF(SIGAF!$B$2:$B$500,$A11,SIGAF!$N$2:$N$364)</f>
        <v>2179491458.4899998</v>
      </c>
      <c r="R11" s="67">
        <f t="shared" ref="R11:R74" ca="1" si="5">+IFERROR(+Q11/$C11,0)</f>
        <v>2.7552971339608347E-2</v>
      </c>
    </row>
    <row r="12" spans="1:18" x14ac:dyDescent="0.25">
      <c r="A12" s="11" t="s">
        <v>102</v>
      </c>
      <c r="B12" s="11" t="s">
        <v>428</v>
      </c>
      <c r="C12" s="13">
        <f>SUMIF(SIGAF!$B$2:$B$500,$A12,SIGAF!$F$2:$F$500)</f>
        <v>27983331488</v>
      </c>
      <c r="D12" s="13">
        <f ca="1">SUMIF(SIGAF!$B$2:$B$500,$A12,SIGAF!$G$2:$G$364)</f>
        <v>27980417087</v>
      </c>
      <c r="E12" s="13">
        <f>SUMIF(SIGAF!$B$2:$B$500,$A12,SIGAF!$H$2:$H$500)</f>
        <v>0</v>
      </c>
      <c r="F12" s="68">
        <f t="shared" si="1"/>
        <v>0</v>
      </c>
      <c r="G12" s="163">
        <f>SUMIF(SIGAF!$B$2:$B$500,$A12,SIGAF!$I$2:$I$500)</f>
        <v>299.93</v>
      </c>
      <c r="H12" s="68">
        <f t="shared" si="2"/>
        <v>1.0718166281545785E-8</v>
      </c>
      <c r="I12" s="13">
        <f>SUMIF(SIGAF!$B$2:$B$500,$A12,SIGAF!$J$2:$J$500)</f>
        <v>0</v>
      </c>
      <c r="J12" s="68">
        <f t="shared" si="2"/>
        <v>0</v>
      </c>
      <c r="K12" s="13">
        <f>SUMIF(SIGAF!$B$2:$B$500,$A12,SIGAF!$K$2:$K$500)</f>
        <v>27140121438.599998</v>
      </c>
      <c r="L12" s="175">
        <f>+IFERROR(+K12/$C12,0)</f>
        <v>0.96986741733157855</v>
      </c>
      <c r="M12" s="13">
        <f>SUMIF(SIGAF!$B$2:$B$500,$A12,SIGAF!$L$2:$L$500)</f>
        <v>22645158655.82</v>
      </c>
      <c r="N12" s="68">
        <f t="shared" si="3"/>
        <v>0.80923740854554249</v>
      </c>
      <c r="O12" s="90">
        <f ca="1">SUMIF(SIGAF!$B$2:$B$500,$A12,SIGAF!$M$2:$M$364)</f>
        <v>843209749.47000003</v>
      </c>
      <c r="P12" s="68">
        <f t="shared" ca="1" si="4"/>
        <v>3.0132571950255132E-2</v>
      </c>
      <c r="Q12" s="13">
        <f ca="1">SUMIF(SIGAF!$B$2:$B$500,$A12,SIGAF!$N$2:$N$364)</f>
        <v>840295348.47000003</v>
      </c>
      <c r="R12" s="68">
        <f t="shared" ca="1" si="5"/>
        <v>3.0028424200683222E-2</v>
      </c>
    </row>
    <row r="13" spans="1:18" x14ac:dyDescent="0.25">
      <c r="A13" s="11" t="s">
        <v>104</v>
      </c>
      <c r="B13" s="11" t="s">
        <v>429</v>
      </c>
      <c r="C13" s="13">
        <f>SUMIF(SIGAF!$B$2:$B$500,$A13,SIGAF!$F$2:$F$500)</f>
        <v>27708909488</v>
      </c>
      <c r="D13" s="13">
        <f ca="1">SUMIF(SIGAF!$B$2:$B$500,$A13,SIGAF!$G$2:$G$364)</f>
        <v>27705995087</v>
      </c>
      <c r="E13" s="13">
        <f>SUMIF(SIGAF!$B$2:$B$500,$A13,SIGAF!$H$2:$H$500)</f>
        <v>0</v>
      </c>
      <c r="F13" s="68">
        <f t="shared" si="1"/>
        <v>0</v>
      </c>
      <c r="G13" s="163">
        <f>SUMIF(SIGAF!$B$2:$B$500,$A13,SIGAF!$I$2:$I$500)</f>
        <v>299.93</v>
      </c>
      <c r="H13" s="68">
        <f t="shared" si="2"/>
        <v>1.0824316277401382E-8</v>
      </c>
      <c r="I13" s="13">
        <f>SUMIF(SIGAF!$B$2:$B$500,$A13,SIGAF!$J$2:$J$500)</f>
        <v>0</v>
      </c>
      <c r="J13" s="68">
        <f t="shared" si="2"/>
        <v>0</v>
      </c>
      <c r="K13" s="13">
        <f>SUMIF(SIGAF!$B$2:$B$500,$A13,SIGAF!$K$2:$K$500)</f>
        <v>26908024166.66</v>
      </c>
      <c r="L13" s="175">
        <f t="shared" ref="L13:L76" si="6">+IFERROR(+K13/$C13,0)</f>
        <v>0.97109646910908409</v>
      </c>
      <c r="M13" s="13">
        <f>SUMIF(SIGAF!$B$2:$B$500,$A13,SIGAF!$L$2:$L$500)</f>
        <v>22450194138.879997</v>
      </c>
      <c r="N13" s="68">
        <f t="shared" si="3"/>
        <v>0.81021572316307089</v>
      </c>
      <c r="O13" s="90">
        <f ca="1">SUMIF(SIGAF!$B$2:$B$500,$A13,SIGAF!$M$2:$M$364)</f>
        <v>800885021.41000009</v>
      </c>
      <c r="P13" s="68">
        <f t="shared" ca="1" si="4"/>
        <v>2.8903520066599603E-2</v>
      </c>
      <c r="Q13" s="13">
        <f ca="1">SUMIF(SIGAF!$B$2:$B$500,$A13,SIGAF!$N$2:$N$364)</f>
        <v>797970620.41000009</v>
      </c>
      <c r="R13" s="68">
        <f t="shared" ca="1" si="5"/>
        <v>2.8798340864175119E-2</v>
      </c>
    </row>
    <row r="14" spans="1:18" x14ac:dyDescent="0.25">
      <c r="A14" s="11" t="s">
        <v>366</v>
      </c>
      <c r="B14" s="11" t="s">
        <v>367</v>
      </c>
      <c r="C14" s="13">
        <f>SUMIF(SIGAF!$B$2:$B$500,$A14,SIGAF!$F$2:$F$500)</f>
        <v>264422000</v>
      </c>
      <c r="D14" s="13">
        <f ca="1">SUMIF(SIGAF!$B$2:$B$500,$A14,SIGAF!$G$2:$G$364)</f>
        <v>264422000</v>
      </c>
      <c r="E14" s="13">
        <f>SUMIF(SIGAF!$B$2:$B$500,$A14,SIGAF!$H$2:$H$500)</f>
        <v>0</v>
      </c>
      <c r="F14" s="68">
        <f t="shared" si="1"/>
        <v>0</v>
      </c>
      <c r="G14" s="163">
        <f>SUMIF(SIGAF!$B$2:$B$500,$A14,SIGAF!$I$2:$I$500)</f>
        <v>0</v>
      </c>
      <c r="H14" s="68">
        <f t="shared" si="2"/>
        <v>0</v>
      </c>
      <c r="I14" s="13">
        <f>SUMIF(SIGAF!$B$2:$B$500,$A14,SIGAF!$J$2:$J$500)</f>
        <v>0</v>
      </c>
      <c r="J14" s="68">
        <f t="shared" si="2"/>
        <v>0</v>
      </c>
      <c r="K14" s="13">
        <f>SUMIF(SIGAF!$B$2:$B$500,$A14,SIGAF!$K$2:$K$500)</f>
        <v>225245181.94</v>
      </c>
      <c r="L14" s="175">
        <f t="shared" si="6"/>
        <v>0.85183979373879626</v>
      </c>
      <c r="M14" s="13">
        <f>SUMIF(SIGAF!$B$2:$B$500,$A14,SIGAF!$L$2:$L$500)</f>
        <v>189846658.61000001</v>
      </c>
      <c r="N14" s="68">
        <f t="shared" si="3"/>
        <v>0.71796846937849357</v>
      </c>
      <c r="O14" s="90">
        <f ca="1">SUMIF(SIGAF!$B$2:$B$500,$A14,SIGAF!$M$2:$M$364)</f>
        <v>39176818.060000002</v>
      </c>
      <c r="P14" s="68">
        <f t="shared" ca="1" si="4"/>
        <v>0.14816020626120369</v>
      </c>
      <c r="Q14" s="13">
        <f ca="1">SUMIF(SIGAF!$B$2:$B$500,$A14,SIGAF!$N$2:$N$364)</f>
        <v>39176818.060000002</v>
      </c>
      <c r="R14" s="68">
        <f t="shared" ca="1" si="5"/>
        <v>0.14816020626120369</v>
      </c>
    </row>
    <row r="15" spans="1:18" x14ac:dyDescent="0.25">
      <c r="A15" s="11" t="s">
        <v>331</v>
      </c>
      <c r="B15" s="11" t="s">
        <v>332</v>
      </c>
      <c r="C15" s="13">
        <f>SUMIF(SIGAF!$B$2:$B$500,$A15,SIGAF!$F$2:$F$500)</f>
        <v>10000000</v>
      </c>
      <c r="D15" s="13">
        <f ca="1">SUMIF(SIGAF!$B$2:$B$500,$A15,SIGAF!$G$2:$G$364)</f>
        <v>10000000</v>
      </c>
      <c r="E15" s="13">
        <f>SUMIF(SIGAF!$B$2:$B$500,$A15,SIGAF!$H$2:$H$500)</f>
        <v>0</v>
      </c>
      <c r="F15" s="68">
        <f t="shared" si="1"/>
        <v>0</v>
      </c>
      <c r="G15" s="163">
        <f>SUMIF(SIGAF!$B$2:$B$500,$A15,SIGAF!$I$2:$I$500)</f>
        <v>0</v>
      </c>
      <c r="H15" s="68">
        <f t="shared" si="2"/>
        <v>0</v>
      </c>
      <c r="I15" s="13">
        <f>SUMIF(SIGAF!$B$2:$B$500,$A15,SIGAF!$J$2:$J$500)</f>
        <v>0</v>
      </c>
      <c r="J15" s="68">
        <f t="shared" si="2"/>
        <v>0</v>
      </c>
      <c r="K15" s="13">
        <f>SUMIF(SIGAF!$B$2:$B$500,$A15,SIGAF!$K$2:$K$500)</f>
        <v>6852090</v>
      </c>
      <c r="L15" s="175">
        <f t="shared" si="6"/>
        <v>0.68520899999999996</v>
      </c>
      <c r="M15" s="13">
        <f>SUMIF(SIGAF!$B$2:$B$500,$A15,SIGAF!$L$2:$L$500)</f>
        <v>5117858.33</v>
      </c>
      <c r="N15" s="68">
        <f t="shared" si="3"/>
        <v>0.51178583300000002</v>
      </c>
      <c r="O15" s="90">
        <f ca="1">SUMIF(SIGAF!$B$2:$B$500,$A15,SIGAF!$M$2:$M$364)</f>
        <v>3147910</v>
      </c>
      <c r="P15" s="68">
        <f t="shared" ca="1" si="4"/>
        <v>0.31479099999999999</v>
      </c>
      <c r="Q15" s="13">
        <f ca="1">SUMIF(SIGAF!$B$2:$B$500,$A15,SIGAF!$N$2:$N$364)</f>
        <v>3147910</v>
      </c>
      <c r="R15" s="68">
        <f t="shared" ca="1" si="5"/>
        <v>0.31479099999999999</v>
      </c>
    </row>
    <row r="16" spans="1:18" x14ac:dyDescent="0.25">
      <c r="A16" s="11" t="s">
        <v>106</v>
      </c>
      <c r="B16" s="11" t="s">
        <v>430</v>
      </c>
      <c r="C16" s="13">
        <f>SUMIF(SIGAF!$B$2:$B$500,$A16,SIGAF!$F$2:$F$500)</f>
        <v>3075863466</v>
      </c>
      <c r="D16" s="13">
        <f ca="1">SUMIF(SIGAF!$B$2:$B$500,$A16,SIGAF!$G$2:$G$364)</f>
        <v>3075863466</v>
      </c>
      <c r="E16" s="13">
        <f>SUMIF(SIGAF!$B$2:$B$500,$A16,SIGAF!$H$2:$H$500)</f>
        <v>0</v>
      </c>
      <c r="F16" s="68">
        <f t="shared" si="1"/>
        <v>0</v>
      </c>
      <c r="G16" s="163">
        <f>SUMIF(SIGAF!$B$2:$B$500,$A16,SIGAF!$I$2:$I$500)</f>
        <v>31558.7</v>
      </c>
      <c r="H16" s="68">
        <f t="shared" si="2"/>
        <v>1.0260110810783302E-5</v>
      </c>
      <c r="I16" s="13">
        <f>SUMIF(SIGAF!$B$2:$B$500,$A16,SIGAF!$J$2:$J$500)</f>
        <v>0</v>
      </c>
      <c r="J16" s="68">
        <f t="shared" si="2"/>
        <v>0</v>
      </c>
      <c r="K16" s="13">
        <f>SUMIF(SIGAF!$B$2:$B$500,$A16,SIGAF!$K$2:$K$500)</f>
        <v>3036535747.9099998</v>
      </c>
      <c r="L16" s="175">
        <f t="shared" si="6"/>
        <v>0.98721408849101366</v>
      </c>
      <c r="M16" s="13">
        <f>SUMIF(SIGAF!$B$2:$B$500,$A16,SIGAF!$L$2:$L$500)</f>
        <v>2532322727.5699997</v>
      </c>
      <c r="N16" s="68">
        <f t="shared" si="3"/>
        <v>0.82328840521102631</v>
      </c>
      <c r="O16" s="90">
        <f ca="1">SUMIF(SIGAF!$B$2:$B$500,$A16,SIGAF!$M$2:$M$364)</f>
        <v>39296159.390000001</v>
      </c>
      <c r="P16" s="68">
        <f t="shared" ca="1" si="4"/>
        <v>1.2775651398175552E-2</v>
      </c>
      <c r="Q16" s="13">
        <f ca="1">SUMIF(SIGAF!$B$2:$B$500,$A16,SIGAF!$N$2:$N$364)</f>
        <v>39296159.390000001</v>
      </c>
      <c r="R16" s="68">
        <f t="shared" ca="1" si="5"/>
        <v>1.2775651398175552E-2</v>
      </c>
    </row>
    <row r="17" spans="1:18" x14ac:dyDescent="0.25">
      <c r="A17" s="11" t="s">
        <v>108</v>
      </c>
      <c r="B17" s="11" t="s">
        <v>431</v>
      </c>
      <c r="C17" s="13">
        <f>SUMIF(SIGAF!$B$2:$B$500,$A17,SIGAF!$F$2:$F$500)</f>
        <v>30127466</v>
      </c>
      <c r="D17" s="13">
        <f ca="1">SUMIF(SIGAF!$B$2:$B$500,$A17,SIGAF!$G$2:$G$364)</f>
        <v>30127466</v>
      </c>
      <c r="E17" s="13">
        <f>SUMIF(SIGAF!$B$2:$B$500,$A17,SIGAF!$H$2:$H$500)</f>
        <v>0</v>
      </c>
      <c r="F17" s="68">
        <f t="shared" si="1"/>
        <v>0</v>
      </c>
      <c r="G17" s="163">
        <f>SUMIF(SIGAF!$B$2:$B$500,$A17,SIGAF!$I$2:$I$500)</f>
        <v>31558.7</v>
      </c>
      <c r="H17" s="68">
        <f t="shared" si="2"/>
        <v>1.047505953537546E-3</v>
      </c>
      <c r="I17" s="13">
        <f>SUMIF(SIGAF!$B$2:$B$500,$A17,SIGAF!$J$2:$J$500)</f>
        <v>0</v>
      </c>
      <c r="J17" s="68">
        <f t="shared" si="2"/>
        <v>0</v>
      </c>
      <c r="K17" s="13">
        <f>SUMIF(SIGAF!$B$2:$B$500,$A17,SIGAF!$K$2:$K$500)</f>
        <v>22924352.630000003</v>
      </c>
      <c r="L17" s="175">
        <f t="shared" si="6"/>
        <v>0.76091207372037206</v>
      </c>
      <c r="M17" s="13">
        <f>SUMIF(SIGAF!$B$2:$B$500,$A17,SIGAF!$L$2:$L$500)</f>
        <v>18594910.43</v>
      </c>
      <c r="N17" s="68">
        <f t="shared" si="3"/>
        <v>0.61720791353643878</v>
      </c>
      <c r="O17" s="90">
        <f ca="1">SUMIF(SIGAF!$B$2:$B$500,$A17,SIGAF!$M$2:$M$364)</f>
        <v>7171554.6699999999</v>
      </c>
      <c r="P17" s="68">
        <f t="shared" ca="1" si="4"/>
        <v>0.23804042032609049</v>
      </c>
      <c r="Q17" s="13">
        <f ca="1">SUMIF(SIGAF!$B$2:$B$500,$A17,SIGAF!$N$2:$N$364)</f>
        <v>7171554.6699999999</v>
      </c>
      <c r="R17" s="68">
        <f t="shared" ca="1" si="5"/>
        <v>0.23804042032609049</v>
      </c>
    </row>
    <row r="18" spans="1:18" x14ac:dyDescent="0.25">
      <c r="A18" s="11" t="s">
        <v>368</v>
      </c>
      <c r="B18" s="11" t="s">
        <v>369</v>
      </c>
      <c r="C18" s="13">
        <f>SUMIF(SIGAF!$B$2:$B$500,$A18,SIGAF!$F$2:$F$500)</f>
        <v>9000000</v>
      </c>
      <c r="D18" s="13">
        <f ca="1">SUMIF(SIGAF!$B$2:$B$500,$A18,SIGAF!$G$2:$G$364)</f>
        <v>9000000</v>
      </c>
      <c r="E18" s="13">
        <f>SUMIF(SIGAF!$B$2:$B$500,$A18,SIGAF!$H$2:$H$500)</f>
        <v>0</v>
      </c>
      <c r="F18" s="68">
        <f t="shared" si="1"/>
        <v>0</v>
      </c>
      <c r="G18" s="163">
        <f>SUMIF(SIGAF!$B$2:$B$500,$A18,SIGAF!$I$2:$I$500)</f>
        <v>0</v>
      </c>
      <c r="H18" s="68">
        <f t="shared" si="2"/>
        <v>0</v>
      </c>
      <c r="I18" s="13">
        <f>SUMIF(SIGAF!$B$2:$B$500,$A18,SIGAF!$J$2:$J$500)</f>
        <v>0</v>
      </c>
      <c r="J18" s="68">
        <f t="shared" si="2"/>
        <v>0</v>
      </c>
      <c r="K18" s="13">
        <f>SUMIF(SIGAF!$B$2:$B$500,$A18,SIGAF!$K$2:$K$500)</f>
        <v>7843142.5999999996</v>
      </c>
      <c r="L18" s="175">
        <f t="shared" si="6"/>
        <v>0.87146028888888882</v>
      </c>
      <c r="M18" s="13">
        <f>SUMIF(SIGAF!$B$2:$B$500,$A18,SIGAF!$L$2:$L$500)</f>
        <v>6921856.5</v>
      </c>
      <c r="N18" s="68">
        <f t="shared" si="3"/>
        <v>0.76909516666666666</v>
      </c>
      <c r="O18" s="90">
        <f ca="1">SUMIF(SIGAF!$B$2:$B$500,$A18,SIGAF!$M$2:$M$364)</f>
        <v>1156857.3999999999</v>
      </c>
      <c r="P18" s="68">
        <f t="shared" ca="1" si="4"/>
        <v>0.12853971111111109</v>
      </c>
      <c r="Q18" s="13">
        <f ca="1">SUMIF(SIGAF!$B$2:$B$500,$A18,SIGAF!$N$2:$N$364)</f>
        <v>1156857.3999999999</v>
      </c>
      <c r="R18" s="68">
        <f t="shared" ca="1" si="5"/>
        <v>0.12853971111111109</v>
      </c>
    </row>
    <row r="19" spans="1:18" x14ac:dyDescent="0.25">
      <c r="A19" s="11" t="s">
        <v>370</v>
      </c>
      <c r="B19" s="11" t="s">
        <v>432</v>
      </c>
      <c r="C19" s="13">
        <f>SUMIF(SIGAF!$B$2:$B$500,$A19,SIGAF!$F$2:$F$500)</f>
        <v>3036736000</v>
      </c>
      <c r="D19" s="13">
        <f ca="1">SUMIF(SIGAF!$B$2:$B$500,$A19,SIGAF!$G$2:$G$364)</f>
        <v>3036736000</v>
      </c>
      <c r="E19" s="13">
        <f>SUMIF(SIGAF!$B$2:$B$500,$A19,SIGAF!$H$2:$H$500)</f>
        <v>0</v>
      </c>
      <c r="F19" s="68">
        <f t="shared" si="1"/>
        <v>0</v>
      </c>
      <c r="G19" s="163">
        <f>SUMIF(SIGAF!$B$2:$B$500,$A19,SIGAF!$I$2:$I$500)</f>
        <v>0</v>
      </c>
      <c r="H19" s="68">
        <f t="shared" si="2"/>
        <v>0</v>
      </c>
      <c r="I19" s="13">
        <f>SUMIF(SIGAF!$B$2:$B$500,$A19,SIGAF!$J$2:$J$500)</f>
        <v>0</v>
      </c>
      <c r="J19" s="68">
        <f t="shared" si="2"/>
        <v>0</v>
      </c>
      <c r="K19" s="13">
        <f>SUMIF(SIGAF!$B$2:$B$500,$A19,SIGAF!$K$2:$K$500)</f>
        <v>3005768252.6799998</v>
      </c>
      <c r="L19" s="175">
        <f t="shared" si="6"/>
        <v>0.98980229189498192</v>
      </c>
      <c r="M19" s="13">
        <f>SUMIF(SIGAF!$B$2:$B$500,$A19,SIGAF!$L$2:$L$500)</f>
        <v>2506805960.6399999</v>
      </c>
      <c r="N19" s="68">
        <f t="shared" si="3"/>
        <v>0.8254935432780458</v>
      </c>
      <c r="O19" s="90">
        <f ca="1">SUMIF(SIGAF!$B$2:$B$500,$A19,SIGAF!$M$2:$M$364)</f>
        <v>30967747.32</v>
      </c>
      <c r="P19" s="68">
        <f t="shared" ca="1" si="4"/>
        <v>1.019770810501802E-2</v>
      </c>
      <c r="Q19" s="13">
        <f ca="1">SUMIF(SIGAF!$B$2:$B$500,$A19,SIGAF!$N$2:$N$364)</f>
        <v>30967747.32</v>
      </c>
      <c r="R19" s="68">
        <f t="shared" ca="1" si="5"/>
        <v>1.019770810501802E-2</v>
      </c>
    </row>
    <row r="20" spans="1:18" x14ac:dyDescent="0.25">
      <c r="A20" s="11" t="s">
        <v>110</v>
      </c>
      <c r="B20" s="11" t="s">
        <v>433</v>
      </c>
      <c r="C20" s="13">
        <f>SUMIF(SIGAF!$B$2:$B$500,$A20,SIGAF!$F$2:$F$500)</f>
        <v>36008546965</v>
      </c>
      <c r="D20" s="13">
        <f ca="1">SUMIF(SIGAF!$B$2:$B$500,$A20,SIGAF!$G$2:$G$364)</f>
        <v>36008546965</v>
      </c>
      <c r="E20" s="13">
        <f>SUMIF(SIGAF!$B$2:$B$500,$A20,SIGAF!$H$2:$H$500)</f>
        <v>0</v>
      </c>
      <c r="F20" s="68">
        <f t="shared" si="1"/>
        <v>0</v>
      </c>
      <c r="G20" s="163">
        <f>SUMIF(SIGAF!$B$2:$B$500,$A20,SIGAF!$I$2:$I$500)</f>
        <v>4465.07</v>
      </c>
      <c r="H20" s="68">
        <f t="shared" si="2"/>
        <v>1.2400028260901528E-7</v>
      </c>
      <c r="I20" s="13">
        <f>SUMIF(SIGAF!$B$2:$B$500,$A20,SIGAF!$J$2:$J$500)</f>
        <v>0</v>
      </c>
      <c r="J20" s="68">
        <f t="shared" si="2"/>
        <v>0</v>
      </c>
      <c r="K20" s="13">
        <f>SUMIF(SIGAF!$B$2:$B$500,$A20,SIGAF!$K$2:$K$500)</f>
        <v>35146589518.489998</v>
      </c>
      <c r="L20" s="175">
        <f t="shared" si="6"/>
        <v>0.97606242075394445</v>
      </c>
      <c r="M20" s="13">
        <f>SUMIF(SIGAF!$B$2:$B$500,$A20,SIGAF!$L$2:$L$500)</f>
        <v>26409050217.869999</v>
      </c>
      <c r="N20" s="68">
        <f t="shared" si="3"/>
        <v>0.73341060508604716</v>
      </c>
      <c r="O20" s="90">
        <f ca="1">SUMIF(SIGAF!$B$2:$B$500,$A20,SIGAF!$M$2:$M$364)</f>
        <v>861952981.44000006</v>
      </c>
      <c r="P20" s="68">
        <f t="shared" ca="1" si="4"/>
        <v>2.3937455245772926E-2</v>
      </c>
      <c r="Q20" s="13">
        <f ca="1">SUMIF(SIGAF!$B$2:$B$500,$A20,SIGAF!$N$2:$N$364)</f>
        <v>861952981.44000006</v>
      </c>
      <c r="R20" s="68">
        <f t="shared" ca="1" si="5"/>
        <v>2.3937455245772926E-2</v>
      </c>
    </row>
    <row r="21" spans="1:18" x14ac:dyDescent="0.25">
      <c r="A21" s="11" t="s">
        <v>112</v>
      </c>
      <c r="B21" s="11" t="s">
        <v>434</v>
      </c>
      <c r="C21" s="13">
        <f>SUMIF(SIGAF!$B$2:$B$500,$A21,SIGAF!$F$2:$F$500)</f>
        <v>10368897175</v>
      </c>
      <c r="D21" s="13">
        <f ca="1">SUMIF(SIGAF!$B$2:$B$500,$A21,SIGAF!$G$2:$G$364)</f>
        <v>10368897175</v>
      </c>
      <c r="E21" s="13">
        <f>SUMIF(SIGAF!$B$2:$B$500,$A21,SIGAF!$H$2:$H$500)</f>
        <v>0</v>
      </c>
      <c r="F21" s="68">
        <f t="shared" si="1"/>
        <v>0</v>
      </c>
      <c r="G21" s="163">
        <f>SUMIF(SIGAF!$B$2:$B$500,$A21,SIGAF!$I$2:$I$500)</f>
        <v>0</v>
      </c>
      <c r="H21" s="68">
        <f t="shared" si="2"/>
        <v>0</v>
      </c>
      <c r="I21" s="13">
        <f>SUMIF(SIGAF!$B$2:$B$500,$A21,SIGAF!$J$2:$J$500)</f>
        <v>0</v>
      </c>
      <c r="J21" s="68">
        <f t="shared" si="2"/>
        <v>0</v>
      </c>
      <c r="K21" s="13">
        <f>SUMIF(SIGAF!$B$2:$B$500,$A21,SIGAF!$K$2:$K$500)</f>
        <v>10176035302.76</v>
      </c>
      <c r="L21" s="175">
        <f t="shared" si="6"/>
        <v>0.9813999628904605</v>
      </c>
      <c r="M21" s="13">
        <f>SUMIF(SIGAF!$B$2:$B$500,$A21,SIGAF!$L$2:$L$500)</f>
        <v>8506689714.3400002</v>
      </c>
      <c r="N21" s="68">
        <f t="shared" si="3"/>
        <v>0.82040448186236359</v>
      </c>
      <c r="O21" s="90">
        <f ca="1">SUMIF(SIGAF!$B$2:$B$500,$A21,SIGAF!$M$2:$M$364)</f>
        <v>192861872.24000001</v>
      </c>
      <c r="P21" s="68">
        <f t="shared" ca="1" si="4"/>
        <v>1.8600037109539568E-2</v>
      </c>
      <c r="Q21" s="13">
        <f ca="1">SUMIF(SIGAF!$B$2:$B$500,$A21,SIGAF!$N$2:$N$364)</f>
        <v>192861872.24000001</v>
      </c>
      <c r="R21" s="68">
        <f t="shared" ca="1" si="5"/>
        <v>1.8600037109539568E-2</v>
      </c>
    </row>
    <row r="22" spans="1:18" x14ac:dyDescent="0.25">
      <c r="A22" s="11" t="s">
        <v>114</v>
      </c>
      <c r="B22" s="11" t="s">
        <v>435</v>
      </c>
      <c r="C22" s="13">
        <f>SUMIF(SIGAF!$B$2:$B$500,$A22,SIGAF!$F$2:$F$500)</f>
        <v>7321516016</v>
      </c>
      <c r="D22" s="13">
        <f ca="1">SUMIF(SIGAF!$B$2:$B$500,$A22,SIGAF!$G$2:$G$364)</f>
        <v>7321516016</v>
      </c>
      <c r="E22" s="13">
        <f>SUMIF(SIGAF!$B$2:$B$500,$A22,SIGAF!$H$2:$H$500)</f>
        <v>0</v>
      </c>
      <c r="F22" s="68">
        <f t="shared" si="1"/>
        <v>0</v>
      </c>
      <c r="G22" s="163">
        <f>SUMIF(SIGAF!$B$2:$B$500,$A22,SIGAF!$I$2:$I$500)</f>
        <v>0</v>
      </c>
      <c r="H22" s="68">
        <f t="shared" si="2"/>
        <v>0</v>
      </c>
      <c r="I22" s="13">
        <f>SUMIF(SIGAF!$B$2:$B$500,$A22,SIGAF!$J$2:$J$500)</f>
        <v>0</v>
      </c>
      <c r="J22" s="68">
        <f t="shared" si="2"/>
        <v>0</v>
      </c>
      <c r="K22" s="13">
        <f>SUMIF(SIGAF!$B$2:$B$500,$A22,SIGAF!$K$2:$K$500)</f>
        <v>7188598739.000001</v>
      </c>
      <c r="L22" s="175">
        <f t="shared" si="6"/>
        <v>0.98184566192172096</v>
      </c>
      <c r="M22" s="13">
        <f>SUMIF(SIGAF!$B$2:$B$500,$A22,SIGAF!$L$2:$L$500)</f>
        <v>6003540705.5300007</v>
      </c>
      <c r="N22" s="68">
        <f t="shared" si="3"/>
        <v>0.81998601005723737</v>
      </c>
      <c r="O22" s="90">
        <f ca="1">SUMIF(SIGAF!$B$2:$B$500,$A22,SIGAF!$M$2:$M$364)</f>
        <v>132917277.00000001</v>
      </c>
      <c r="P22" s="68">
        <f t="shared" ca="1" si="4"/>
        <v>1.8154338078279226E-2</v>
      </c>
      <c r="Q22" s="13">
        <f ca="1">SUMIF(SIGAF!$B$2:$B$500,$A22,SIGAF!$N$2:$N$364)</f>
        <v>132917277.00000001</v>
      </c>
      <c r="R22" s="68">
        <f t="shared" ca="1" si="5"/>
        <v>1.8154338078279226E-2</v>
      </c>
    </row>
    <row r="23" spans="1:18" x14ac:dyDescent="0.25">
      <c r="A23" s="11" t="s">
        <v>120</v>
      </c>
      <c r="B23" s="11" t="s">
        <v>121</v>
      </c>
      <c r="C23" s="13">
        <f>SUMIF(SIGAF!$B$2:$B$500,$A23,SIGAF!$F$2:$F$500)</f>
        <v>5312901000</v>
      </c>
      <c r="D23" s="13">
        <f ca="1">SUMIF(SIGAF!$B$2:$B$500,$A23,SIGAF!$G$2:$G$364)</f>
        <v>5312901000</v>
      </c>
      <c r="E23" s="13">
        <f>SUMIF(SIGAF!$B$2:$B$500,$A23,SIGAF!$H$2:$H$500)</f>
        <v>0</v>
      </c>
      <c r="F23" s="68">
        <f t="shared" si="1"/>
        <v>0</v>
      </c>
      <c r="G23" s="163">
        <f>SUMIF(SIGAF!$B$2:$B$500,$A23,SIGAF!$I$2:$I$500)</f>
        <v>838.65</v>
      </c>
      <c r="H23" s="68">
        <f t="shared" si="2"/>
        <v>1.5785161440049418E-7</v>
      </c>
      <c r="I23" s="13">
        <f>SUMIF(SIGAF!$B$2:$B$500,$A23,SIGAF!$J$2:$J$500)</f>
        <v>0</v>
      </c>
      <c r="J23" s="68">
        <f t="shared" si="2"/>
        <v>0</v>
      </c>
      <c r="K23" s="13">
        <f>SUMIF(SIGAF!$B$2:$B$500,$A23,SIGAF!$K$2:$K$500)</f>
        <v>5032158503.7600002</v>
      </c>
      <c r="L23" s="175">
        <f t="shared" si="6"/>
        <v>0.94715834226160067</v>
      </c>
      <c r="M23" s="13">
        <f>SUMIF(SIGAF!$B$2:$B$500,$A23,SIGAF!$L$2:$L$500)</f>
        <v>5031707479.1599998</v>
      </c>
      <c r="N23" s="68">
        <f t="shared" si="3"/>
        <v>0.94707344992123887</v>
      </c>
      <c r="O23" s="90">
        <f ca="1">SUMIF(SIGAF!$B$2:$B$500,$A23,SIGAF!$M$2:$M$364)</f>
        <v>280741657.59000003</v>
      </c>
      <c r="P23" s="68">
        <f t="shared" ca="1" si="4"/>
        <v>5.2841499886785021E-2</v>
      </c>
      <c r="Q23" s="13">
        <f ca="1">SUMIF(SIGAF!$B$2:$B$500,$A23,SIGAF!$N$2:$N$364)</f>
        <v>280741657.59000003</v>
      </c>
      <c r="R23" s="68">
        <f t="shared" ca="1" si="5"/>
        <v>5.2841499886785021E-2</v>
      </c>
    </row>
    <row r="24" spans="1:18" x14ac:dyDescent="0.25">
      <c r="A24" s="11" t="s">
        <v>116</v>
      </c>
      <c r="B24" s="11" t="s">
        <v>117</v>
      </c>
      <c r="C24" s="13">
        <f>SUMIF(SIGAF!$B$2:$B$500,$A24,SIGAF!$F$2:$F$500)</f>
        <v>4607300000</v>
      </c>
      <c r="D24" s="13">
        <f ca="1">SUMIF(SIGAF!$B$2:$B$500,$A24,SIGAF!$G$2:$G$364)</f>
        <v>4607300000</v>
      </c>
      <c r="E24" s="13">
        <f>SUMIF(SIGAF!$B$2:$B$500,$A24,SIGAF!$H$2:$H$500)</f>
        <v>0</v>
      </c>
      <c r="F24" s="68">
        <f t="shared" si="1"/>
        <v>0</v>
      </c>
      <c r="G24" s="163">
        <f>SUMIF(SIGAF!$B$2:$B$500,$A24,SIGAF!$I$2:$I$500)</f>
        <v>3626.42</v>
      </c>
      <c r="H24" s="68">
        <f t="shared" si="2"/>
        <v>7.8710307555401215E-7</v>
      </c>
      <c r="I24" s="13">
        <f>SUMIF(SIGAF!$B$2:$B$500,$A24,SIGAF!$J$2:$J$500)</f>
        <v>0</v>
      </c>
      <c r="J24" s="68">
        <f t="shared" si="2"/>
        <v>0</v>
      </c>
      <c r="K24" s="13">
        <f>SUMIF(SIGAF!$B$2:$B$500,$A24,SIGAF!$K$2:$K$500)</f>
        <v>4547736922.7300005</v>
      </c>
      <c r="L24" s="175">
        <f t="shared" si="6"/>
        <v>0.98707202108176162</v>
      </c>
      <c r="M24" s="13">
        <f>SUMIF(SIGAF!$B$2:$B$500,$A24,SIGAF!$L$2:$L$500)</f>
        <v>9431145.2299999986</v>
      </c>
      <c r="N24" s="68">
        <f t="shared" si="3"/>
        <v>2.0470004623098122E-3</v>
      </c>
      <c r="O24" s="90">
        <f ca="1">SUMIF(SIGAF!$B$2:$B$500,$A24,SIGAF!$M$2:$M$364)</f>
        <v>59559450.849999994</v>
      </c>
      <c r="P24" s="68">
        <f t="shared" ca="1" si="4"/>
        <v>1.2927191815162893E-2</v>
      </c>
      <c r="Q24" s="13">
        <f ca="1">SUMIF(SIGAF!$B$2:$B$500,$A24,SIGAF!$N$2:$N$364)</f>
        <v>59559450.849999994</v>
      </c>
      <c r="R24" s="68">
        <f t="shared" ca="1" si="5"/>
        <v>1.2927191815162893E-2</v>
      </c>
    </row>
    <row r="25" spans="1:18" x14ac:dyDescent="0.25">
      <c r="A25" s="11" t="s">
        <v>118</v>
      </c>
      <c r="B25" s="11" t="s">
        <v>436</v>
      </c>
      <c r="C25" s="13">
        <f>SUMIF(SIGAF!$B$2:$B$500,$A25,SIGAF!$F$2:$F$500)</f>
        <v>8397932774</v>
      </c>
      <c r="D25" s="13">
        <f ca="1">SUMIF(SIGAF!$B$2:$B$500,$A25,SIGAF!$G$2:$G$364)</f>
        <v>8397932774</v>
      </c>
      <c r="E25" s="13">
        <f>SUMIF(SIGAF!$B$2:$B$500,$A25,SIGAF!$H$2:$H$500)</f>
        <v>0</v>
      </c>
      <c r="F25" s="68">
        <f t="shared" si="1"/>
        <v>0</v>
      </c>
      <c r="G25" s="163">
        <f>SUMIF(SIGAF!$B$2:$B$500,$A25,SIGAF!$I$2:$I$500)</f>
        <v>0</v>
      </c>
      <c r="H25" s="68">
        <f t="shared" si="2"/>
        <v>0</v>
      </c>
      <c r="I25" s="13">
        <f>SUMIF(SIGAF!$B$2:$B$500,$A25,SIGAF!$J$2:$J$500)</f>
        <v>0</v>
      </c>
      <c r="J25" s="68">
        <f t="shared" si="2"/>
        <v>0</v>
      </c>
      <c r="K25" s="13">
        <f>SUMIF(SIGAF!$B$2:$B$500,$A25,SIGAF!$K$2:$K$500)</f>
        <v>8202060050.2399998</v>
      </c>
      <c r="L25" s="175">
        <f t="shared" si="6"/>
        <v>0.97667607862182204</v>
      </c>
      <c r="M25" s="13">
        <f>SUMIF(SIGAF!$B$2:$B$500,$A25,SIGAF!$L$2:$L$500)</f>
        <v>6857681173.6100006</v>
      </c>
      <c r="N25" s="68">
        <f t="shared" si="3"/>
        <v>0.81659157773224644</v>
      </c>
      <c r="O25" s="90">
        <f ca="1">SUMIF(SIGAF!$B$2:$B$500,$A25,SIGAF!$M$2:$M$364)</f>
        <v>195872723.75999999</v>
      </c>
      <c r="P25" s="68">
        <f t="shared" ca="1" si="4"/>
        <v>2.3323921378177966E-2</v>
      </c>
      <c r="Q25" s="13">
        <f ca="1">SUMIF(SIGAF!$B$2:$B$500,$A25,SIGAF!$N$2:$N$364)</f>
        <v>195872723.75999999</v>
      </c>
      <c r="R25" s="68">
        <f t="shared" ca="1" si="5"/>
        <v>2.3323921378177966E-2</v>
      </c>
    </row>
    <row r="26" spans="1:18" x14ac:dyDescent="0.25">
      <c r="A26" s="11" t="s">
        <v>122</v>
      </c>
      <c r="B26" s="11" t="s">
        <v>437</v>
      </c>
      <c r="C26" s="13">
        <f>SUMIF(SIGAF!$B$2:$B$500,$A26,SIGAF!$F$2:$F$500)</f>
        <v>5970848670</v>
      </c>
      <c r="D26" s="13">
        <f ca="1">SUMIF(SIGAF!$B$2:$B$500,$A26,SIGAF!$G$2:$G$364)</f>
        <v>5970848670</v>
      </c>
      <c r="E26" s="13">
        <f>SUMIF(SIGAF!$B$2:$B$500,$A26,SIGAF!$H$2:$H$500)</f>
        <v>0</v>
      </c>
      <c r="F26" s="68">
        <f t="shared" si="1"/>
        <v>0</v>
      </c>
      <c r="G26" s="163">
        <f>SUMIF(SIGAF!$B$2:$B$500,$A26,SIGAF!$I$2:$I$500)</f>
        <v>4770904.04</v>
      </c>
      <c r="H26" s="68">
        <f t="shared" si="2"/>
        <v>7.9903281822749658E-4</v>
      </c>
      <c r="I26" s="13">
        <f>SUMIF(SIGAF!$B$2:$B$500,$A26,SIGAF!$J$2:$J$500)</f>
        <v>0</v>
      </c>
      <c r="J26" s="68">
        <f t="shared" si="2"/>
        <v>0</v>
      </c>
      <c r="K26" s="13">
        <f>SUMIF(SIGAF!$B$2:$B$500,$A26,SIGAF!$K$2:$K$500)</f>
        <v>5847985753</v>
      </c>
      <c r="L26" s="175">
        <f t="shared" si="6"/>
        <v>0.97942287205882239</v>
      </c>
      <c r="M26" s="13">
        <f>SUMIF(SIGAF!$B$2:$B$500,$A26,SIGAF!$L$2:$L$500)</f>
        <v>5847985753</v>
      </c>
      <c r="N26" s="68">
        <f t="shared" si="3"/>
        <v>0.97942287205882239</v>
      </c>
      <c r="O26" s="90">
        <f ca="1">SUMIF(SIGAF!$B$2:$B$500,$A26,SIGAF!$M$2:$M$364)</f>
        <v>118092012.96000001</v>
      </c>
      <c r="P26" s="68">
        <f t="shared" ca="1" si="4"/>
        <v>1.9778095122950087E-2</v>
      </c>
      <c r="Q26" s="13">
        <f ca="1">SUMIF(SIGAF!$B$2:$B$500,$A26,SIGAF!$N$2:$N$364)</f>
        <v>118092012.96000001</v>
      </c>
      <c r="R26" s="68">
        <f t="shared" ca="1" si="5"/>
        <v>1.9778095122950087E-2</v>
      </c>
    </row>
    <row r="27" spans="1:18" x14ac:dyDescent="0.25">
      <c r="A27" s="11" t="s">
        <v>415</v>
      </c>
      <c r="B27" s="11" t="s">
        <v>438</v>
      </c>
      <c r="C27" s="13">
        <f>SUM(C28:C32)</f>
        <v>5659181686</v>
      </c>
      <c r="D27" s="13">
        <f t="shared" ref="D27:G27" ca="1" si="7">SUM(D28:D32)</f>
        <v>5659181686</v>
      </c>
      <c r="E27" s="13">
        <f t="shared" si="7"/>
        <v>0</v>
      </c>
      <c r="F27" s="68">
        <f t="shared" si="1"/>
        <v>0</v>
      </c>
      <c r="G27" s="163">
        <f t="shared" si="7"/>
        <v>3077861.53</v>
      </c>
      <c r="H27" s="68">
        <f t="shared" si="2"/>
        <v>5.4387042169262484E-4</v>
      </c>
      <c r="I27" s="13">
        <f t="shared" ref="I27" si="8">SUM(I28:I32)</f>
        <v>0</v>
      </c>
      <c r="J27" s="68">
        <f t="shared" si="2"/>
        <v>0</v>
      </c>
      <c r="K27" s="13">
        <f t="shared" ref="K27:Q27" si="9">SUM(K28:K32)</f>
        <v>5548261049</v>
      </c>
      <c r="L27" s="175">
        <f t="shared" si="6"/>
        <v>0.98039988055615856</v>
      </c>
      <c r="M27" s="13">
        <f t="shared" si="9"/>
        <v>5548261049</v>
      </c>
      <c r="N27" s="68">
        <f t="shared" si="3"/>
        <v>0.98039988055615856</v>
      </c>
      <c r="O27" s="13">
        <f t="shared" ca="1" si="9"/>
        <v>107842775.47</v>
      </c>
      <c r="P27" s="68">
        <f t="shared" ca="1" si="4"/>
        <v>1.9056249022148818E-2</v>
      </c>
      <c r="Q27" s="13">
        <f t="shared" ca="1" si="9"/>
        <v>107842775.47</v>
      </c>
      <c r="R27" s="68">
        <f t="shared" ca="1" si="5"/>
        <v>1.9056249022148818E-2</v>
      </c>
    </row>
    <row r="28" spans="1:18" x14ac:dyDescent="0.25">
      <c r="A28" s="11" t="s">
        <v>124</v>
      </c>
      <c r="B28" s="11" t="s">
        <v>439</v>
      </c>
      <c r="C28" s="13">
        <f>SUMIF(SIGAF!$B$2:$B$500,$A28,SIGAF!$F$2:$F$500)</f>
        <v>111686008</v>
      </c>
      <c r="D28" s="13">
        <f ca="1">SUMIF(SIGAF!$B$2:$B$500,$A28,SIGAF!$G$2:$G$364)</f>
        <v>111686008</v>
      </c>
      <c r="E28" s="13">
        <f>SUMIF(SIGAF!$B$2:$B$500,$A28,SIGAF!$H$2:$H$500)</f>
        <v>0</v>
      </c>
      <c r="F28" s="68">
        <f t="shared" si="1"/>
        <v>0</v>
      </c>
      <c r="G28" s="163">
        <f>SUMIF(SIGAF!$B$2:$B$500,$A28,SIGAF!$I$2:$I$500)</f>
        <v>0</v>
      </c>
      <c r="H28" s="68">
        <f t="shared" si="2"/>
        <v>0</v>
      </c>
      <c r="I28" s="13">
        <f>SUMIF(SIGAF!$B$2:$B$500,$A28,SIGAF!$J$2:$J$500)</f>
        <v>0</v>
      </c>
      <c r="J28" s="68">
        <f t="shared" si="2"/>
        <v>0</v>
      </c>
      <c r="K28" s="13">
        <f>SUMIF(SIGAF!$B$2:$B$500,$A28,SIGAF!$K$2:$K$500)</f>
        <v>103778455</v>
      </c>
      <c r="L28" s="175">
        <f t="shared" si="6"/>
        <v>0.92919835580478438</v>
      </c>
      <c r="M28" s="13">
        <f>SUMIF(SIGAF!$B$2:$B$500,$A28,SIGAF!$L$2:$L$500)</f>
        <v>103778455</v>
      </c>
      <c r="N28" s="68">
        <f t="shared" si="3"/>
        <v>0.92919835580478438</v>
      </c>
      <c r="O28" s="90">
        <f ca="1">SUMIF(SIGAF!$B$2:$B$500,$A28,SIGAF!$M$2:$M$364)</f>
        <v>7907553</v>
      </c>
      <c r="P28" s="68">
        <f t="shared" ca="1" si="4"/>
        <v>7.0801644195215577E-2</v>
      </c>
      <c r="Q28" s="13">
        <f ca="1">SUMIF(SIGAF!$B$2:$B$500,$A28,SIGAF!$N$2:$N$364)</f>
        <v>7907553</v>
      </c>
      <c r="R28" s="68">
        <f t="shared" ca="1" si="5"/>
        <v>7.0801644195215577E-2</v>
      </c>
    </row>
    <row r="29" spans="1:18" x14ac:dyDescent="0.25">
      <c r="A29" s="11" t="s">
        <v>318</v>
      </c>
      <c r="B29" s="11" t="s">
        <v>439</v>
      </c>
      <c r="C29" s="13">
        <f>SUMIF(SIGAF!$B$2:$B$500,$A29,SIGAF!$F$2:$F$500)</f>
        <v>49464397</v>
      </c>
      <c r="D29" s="13">
        <f ca="1">SUMIF(SIGAF!$B$2:$B$500,$A29,SIGAF!$G$2:$G$364)</f>
        <v>49464397</v>
      </c>
      <c r="E29" s="13">
        <f>SUMIF(SIGAF!$B$2:$B$500,$A29,SIGAF!$H$2:$H$500)</f>
        <v>0</v>
      </c>
      <c r="F29" s="68">
        <f t="shared" si="1"/>
        <v>0</v>
      </c>
      <c r="G29" s="163">
        <f>SUMIF(SIGAF!$B$2:$B$500,$A29,SIGAF!$I$2:$I$500)</f>
        <v>0</v>
      </c>
      <c r="H29" s="68">
        <f t="shared" si="2"/>
        <v>0</v>
      </c>
      <c r="I29" s="13">
        <f>SUMIF(SIGAF!$B$2:$B$500,$A29,SIGAF!$J$2:$J$500)</f>
        <v>0</v>
      </c>
      <c r="J29" s="68">
        <f t="shared" si="2"/>
        <v>0</v>
      </c>
      <c r="K29" s="13">
        <f>SUMIF(SIGAF!$B$2:$B$500,$A29,SIGAF!$K$2:$K$500)</f>
        <v>46311575</v>
      </c>
      <c r="L29" s="175">
        <f t="shared" si="6"/>
        <v>0.93626078166888393</v>
      </c>
      <c r="M29" s="13">
        <f>SUMIF(SIGAF!$B$2:$B$500,$A29,SIGAF!$L$2:$L$500)</f>
        <v>46311575</v>
      </c>
      <c r="N29" s="68">
        <f t="shared" si="3"/>
        <v>0.93626078166888393</v>
      </c>
      <c r="O29" s="90">
        <f ca="1">SUMIF(SIGAF!$B$2:$B$500,$A29,SIGAF!$M$2:$M$364)</f>
        <v>3152822</v>
      </c>
      <c r="P29" s="68">
        <f t="shared" ca="1" si="4"/>
        <v>6.373921833111601E-2</v>
      </c>
      <c r="Q29" s="13">
        <f ca="1">SUMIF(SIGAF!$B$2:$B$500,$A29,SIGAF!$N$2:$N$364)</f>
        <v>3152822</v>
      </c>
      <c r="R29" s="68">
        <f t="shared" ca="1" si="5"/>
        <v>6.373921833111601E-2</v>
      </c>
    </row>
    <row r="30" spans="1:18" x14ac:dyDescent="0.25">
      <c r="A30" s="11" t="s">
        <v>333</v>
      </c>
      <c r="B30" s="11" t="s">
        <v>439</v>
      </c>
      <c r="C30" s="13">
        <f>SUMIF(SIGAF!$B$2:$B$500,$A30,SIGAF!$F$2:$F$500)</f>
        <v>558943000</v>
      </c>
      <c r="D30" s="13">
        <f ca="1">SUMIF(SIGAF!$B$2:$B$500,$A30,SIGAF!$G$2:$G$364)</f>
        <v>558943000</v>
      </c>
      <c r="E30" s="13">
        <f>SUMIF(SIGAF!$B$2:$B$500,$A30,SIGAF!$H$2:$H$500)</f>
        <v>0</v>
      </c>
      <c r="F30" s="68">
        <f t="shared" si="1"/>
        <v>0</v>
      </c>
      <c r="G30" s="163">
        <f>SUMIF(SIGAF!$B$2:$B$500,$A30,SIGAF!$I$2:$I$500)</f>
        <v>0</v>
      </c>
      <c r="H30" s="68">
        <f t="shared" si="2"/>
        <v>0</v>
      </c>
      <c r="I30" s="13">
        <f>SUMIF(SIGAF!$B$2:$B$500,$A30,SIGAF!$J$2:$J$500)</f>
        <v>0</v>
      </c>
      <c r="J30" s="68">
        <f t="shared" si="2"/>
        <v>0</v>
      </c>
      <c r="K30" s="13">
        <f>SUMIF(SIGAF!$B$2:$B$500,$A30,SIGAF!$K$2:$K$500)</f>
        <v>532511231</v>
      </c>
      <c r="L30" s="175">
        <f t="shared" si="6"/>
        <v>0.95271115480469382</v>
      </c>
      <c r="M30" s="13">
        <f>SUMIF(SIGAF!$B$2:$B$500,$A30,SIGAF!$L$2:$L$500)</f>
        <v>532511231</v>
      </c>
      <c r="N30" s="68">
        <f t="shared" si="3"/>
        <v>0.95271115480469382</v>
      </c>
      <c r="O30" s="90">
        <f ca="1">SUMIF(SIGAF!$B$2:$B$500,$A30,SIGAF!$M$2:$M$364)</f>
        <v>26431769</v>
      </c>
      <c r="P30" s="68">
        <f t="shared" ca="1" si="4"/>
        <v>4.7288845195306142E-2</v>
      </c>
      <c r="Q30" s="13">
        <f ca="1">SUMIF(SIGAF!$B$2:$B$500,$A30,SIGAF!$N$2:$N$364)</f>
        <v>26431769</v>
      </c>
      <c r="R30" s="68">
        <f t="shared" ca="1" si="5"/>
        <v>4.7288845195306142E-2</v>
      </c>
    </row>
    <row r="31" spans="1:18" x14ac:dyDescent="0.25">
      <c r="A31" s="11" t="s">
        <v>372</v>
      </c>
      <c r="B31" s="11" t="s">
        <v>439</v>
      </c>
      <c r="C31" s="13">
        <f>SUMIF(SIGAF!$B$2:$B$500,$A31,SIGAF!$F$2:$F$500)</f>
        <v>4062021007</v>
      </c>
      <c r="D31" s="13">
        <f ca="1">SUMIF(SIGAF!$B$2:$B$500,$A31,SIGAF!$G$2:$G$364)</f>
        <v>4062021007</v>
      </c>
      <c r="E31" s="13">
        <f>SUMIF(SIGAF!$B$2:$B$500,$A31,SIGAF!$H$2:$H$500)</f>
        <v>0</v>
      </c>
      <c r="F31" s="68">
        <f t="shared" si="1"/>
        <v>0</v>
      </c>
      <c r="G31" s="163">
        <f>SUMIF(SIGAF!$B$2:$B$500,$A31,SIGAF!$I$2:$I$500)</f>
        <v>0</v>
      </c>
      <c r="H31" s="68">
        <f t="shared" si="2"/>
        <v>0</v>
      </c>
      <c r="I31" s="13">
        <f>SUMIF(SIGAF!$B$2:$B$500,$A31,SIGAF!$J$2:$J$500)</f>
        <v>0</v>
      </c>
      <c r="J31" s="68">
        <f t="shared" si="2"/>
        <v>0</v>
      </c>
      <c r="K31" s="13">
        <f>SUMIF(SIGAF!$B$2:$B$500,$A31,SIGAF!$K$2:$K$500)</f>
        <v>4012044012</v>
      </c>
      <c r="L31" s="175">
        <f t="shared" si="6"/>
        <v>0.9876965198077815</v>
      </c>
      <c r="M31" s="13">
        <f>SUMIF(SIGAF!$B$2:$B$500,$A31,SIGAF!$L$2:$L$500)</f>
        <v>4012044012</v>
      </c>
      <c r="N31" s="68">
        <f t="shared" si="3"/>
        <v>0.9876965198077815</v>
      </c>
      <c r="O31" s="90">
        <f ca="1">SUMIF(SIGAF!$B$2:$B$500,$A31,SIGAF!$M$2:$M$364)</f>
        <v>49976995</v>
      </c>
      <c r="P31" s="68">
        <f t="shared" ca="1" si="4"/>
        <v>1.2303480192218514E-2</v>
      </c>
      <c r="Q31" s="13">
        <f ca="1">SUMIF(SIGAF!$B$2:$B$500,$A31,SIGAF!$N$2:$N$364)</f>
        <v>49976995</v>
      </c>
      <c r="R31" s="68">
        <f t="shared" ca="1" si="5"/>
        <v>1.2303480192218514E-2</v>
      </c>
    </row>
    <row r="32" spans="1:18" x14ac:dyDescent="0.25">
      <c r="A32" s="11" t="s">
        <v>405</v>
      </c>
      <c r="B32" s="11" t="s">
        <v>439</v>
      </c>
      <c r="C32" s="13">
        <f>SUMIF(SIGAF!$B$2:$B$500,$A32,SIGAF!$F$2:$F$500)</f>
        <v>877067274</v>
      </c>
      <c r="D32" s="13">
        <f ca="1">SUMIF(SIGAF!$B$2:$B$500,$A32,SIGAF!$G$2:$G$364)</f>
        <v>877067274</v>
      </c>
      <c r="E32" s="13">
        <f>SUMIF(SIGAF!$B$2:$B$500,$A32,SIGAF!$H$2:$H$500)</f>
        <v>0</v>
      </c>
      <c r="F32" s="68">
        <f t="shared" si="1"/>
        <v>0</v>
      </c>
      <c r="G32" s="163">
        <f>SUMIF(SIGAF!$B$2:$B$500,$A32,SIGAF!$I$2:$I$500)</f>
        <v>3077861.53</v>
      </c>
      <c r="H32" s="68">
        <f t="shared" si="2"/>
        <v>3.5092650486922622E-3</v>
      </c>
      <c r="I32" s="13">
        <f>SUMIF(SIGAF!$B$2:$B$500,$A32,SIGAF!$J$2:$J$500)</f>
        <v>0</v>
      </c>
      <c r="J32" s="68">
        <f t="shared" si="2"/>
        <v>0</v>
      </c>
      <c r="K32" s="13">
        <f>SUMIF(SIGAF!$B$2:$B$500,$A32,SIGAF!$K$2:$K$500)</f>
        <v>853615776</v>
      </c>
      <c r="L32" s="175">
        <f t="shared" si="6"/>
        <v>0.97326146044299899</v>
      </c>
      <c r="M32" s="13">
        <f>SUMIF(SIGAF!$B$2:$B$500,$A32,SIGAF!$L$2:$L$500)</f>
        <v>853615776</v>
      </c>
      <c r="N32" s="68">
        <f t="shared" si="3"/>
        <v>0.97326146044299899</v>
      </c>
      <c r="O32" s="90">
        <f ca="1">SUMIF(SIGAF!$B$2:$B$500,$A32,SIGAF!$M$2:$M$364)</f>
        <v>20373636.469999999</v>
      </c>
      <c r="P32" s="68">
        <f t="shared" ca="1" si="4"/>
        <v>2.3229274508308695E-2</v>
      </c>
      <c r="Q32" s="13">
        <f ca="1">SUMIF(SIGAF!$B$2:$B$500,$A32,SIGAF!$N$2:$N$364)</f>
        <v>20373636.469999999</v>
      </c>
      <c r="R32" s="68">
        <f t="shared" ca="1" si="5"/>
        <v>2.3229274508308695E-2</v>
      </c>
    </row>
    <row r="33" spans="1:18" x14ac:dyDescent="0.25">
      <c r="A33" s="11" t="s">
        <v>416</v>
      </c>
      <c r="B33" s="11" t="s">
        <v>440</v>
      </c>
      <c r="C33" s="13">
        <f>SUM(C34:C38)</f>
        <v>311666984</v>
      </c>
      <c r="D33" s="13">
        <f t="shared" ref="D33:G33" ca="1" si="10">SUM(D34:D38)</f>
        <v>311666984</v>
      </c>
      <c r="E33" s="13">
        <f t="shared" si="10"/>
        <v>0</v>
      </c>
      <c r="F33" s="68">
        <f t="shared" si="1"/>
        <v>0</v>
      </c>
      <c r="G33" s="163">
        <f t="shared" si="10"/>
        <v>1693042.51</v>
      </c>
      <c r="H33" s="68">
        <f t="shared" si="2"/>
        <v>5.4322164262352538E-3</v>
      </c>
      <c r="I33" s="13">
        <f t="shared" ref="I33" si="11">SUM(I34:I38)</f>
        <v>0</v>
      </c>
      <c r="J33" s="68">
        <f t="shared" si="2"/>
        <v>0</v>
      </c>
      <c r="K33" s="13">
        <f t="shared" ref="K33:Q33" si="12">SUM(K34:K38)</f>
        <v>299724704</v>
      </c>
      <c r="L33" s="175">
        <f t="shared" si="6"/>
        <v>0.9616825630782887</v>
      </c>
      <c r="M33" s="13">
        <f t="shared" si="12"/>
        <v>299724704</v>
      </c>
      <c r="N33" s="68">
        <f t="shared" si="3"/>
        <v>0.9616825630782887</v>
      </c>
      <c r="O33" s="13">
        <f t="shared" ca="1" si="12"/>
        <v>10249237.49</v>
      </c>
      <c r="P33" s="68">
        <f t="shared" ca="1" si="4"/>
        <v>3.2885220495476028E-2</v>
      </c>
      <c r="Q33" s="13">
        <f t="shared" ca="1" si="12"/>
        <v>10249237.49</v>
      </c>
      <c r="R33" s="68">
        <f t="shared" ca="1" si="5"/>
        <v>3.2885220495476028E-2</v>
      </c>
    </row>
    <row r="34" spans="1:18" x14ac:dyDescent="0.25">
      <c r="A34" s="11" t="s">
        <v>126</v>
      </c>
      <c r="B34" s="11" t="s">
        <v>441</v>
      </c>
      <c r="C34" s="13">
        <f>SUMIF(SIGAF!$B$2:$B$500,$A34,SIGAF!$F$2:$F$500)</f>
        <v>6037568</v>
      </c>
      <c r="D34" s="13">
        <f ca="1">SUMIF(SIGAF!$B$2:$B$500,$A34,SIGAF!$G$2:$G$364)</f>
        <v>6037568</v>
      </c>
      <c r="E34" s="13">
        <f>SUMIF(SIGAF!$B$2:$B$500,$A34,SIGAF!$H$2:$H$500)</f>
        <v>0</v>
      </c>
      <c r="F34" s="68">
        <f t="shared" si="1"/>
        <v>0</v>
      </c>
      <c r="G34" s="163">
        <f>SUMIF(SIGAF!$B$2:$B$500,$A34,SIGAF!$I$2:$I$500)</f>
        <v>0</v>
      </c>
      <c r="H34" s="68">
        <f t="shared" si="2"/>
        <v>0</v>
      </c>
      <c r="I34" s="13">
        <f>SUMIF(SIGAF!$B$2:$B$500,$A34,SIGAF!$J$2:$J$500)</f>
        <v>0</v>
      </c>
      <c r="J34" s="68">
        <f t="shared" si="2"/>
        <v>0</v>
      </c>
      <c r="K34" s="13">
        <f>SUMIF(SIGAF!$B$2:$B$500,$A34,SIGAF!$K$2:$K$500)</f>
        <v>5604213</v>
      </c>
      <c r="L34" s="175">
        <f t="shared" si="6"/>
        <v>0.92822358274060024</v>
      </c>
      <c r="M34" s="13">
        <f>SUMIF(SIGAF!$B$2:$B$500,$A34,SIGAF!$L$2:$L$500)</f>
        <v>5604213</v>
      </c>
      <c r="N34" s="68">
        <f t="shared" si="3"/>
        <v>0.92822358274060024</v>
      </c>
      <c r="O34" s="90">
        <f ca="1">SUMIF(SIGAF!$B$2:$B$500,$A34,SIGAF!$M$2:$M$364)</f>
        <v>433355</v>
      </c>
      <c r="P34" s="68">
        <f t="shared" ca="1" si="4"/>
        <v>7.1776417259399816E-2</v>
      </c>
      <c r="Q34" s="13">
        <f ca="1">SUMIF(SIGAF!$B$2:$B$500,$A34,SIGAF!$N$2:$N$364)</f>
        <v>433355</v>
      </c>
      <c r="R34" s="68">
        <f t="shared" ca="1" si="5"/>
        <v>7.1776417259399816E-2</v>
      </c>
    </row>
    <row r="35" spans="1:18" x14ac:dyDescent="0.25">
      <c r="A35" s="11" t="s">
        <v>319</v>
      </c>
      <c r="B35" s="11" t="s">
        <v>441</v>
      </c>
      <c r="C35" s="13">
        <f>SUMIF(SIGAF!$B$2:$B$500,$A35,SIGAF!$F$2:$F$500)</f>
        <v>2674076</v>
      </c>
      <c r="D35" s="13">
        <f ca="1">SUMIF(SIGAF!$B$2:$B$500,$A35,SIGAF!$G$2:$G$364)</f>
        <v>2674076</v>
      </c>
      <c r="E35" s="13">
        <f>SUMIF(SIGAF!$B$2:$B$500,$A35,SIGAF!$H$2:$H$500)</f>
        <v>0</v>
      </c>
      <c r="F35" s="68">
        <f t="shared" si="1"/>
        <v>0</v>
      </c>
      <c r="G35" s="163">
        <f>SUMIF(SIGAF!$B$2:$B$500,$A35,SIGAF!$I$2:$I$500)</f>
        <v>0</v>
      </c>
      <c r="H35" s="68">
        <f t="shared" si="2"/>
        <v>0</v>
      </c>
      <c r="I35" s="13">
        <f>SUMIF(SIGAF!$B$2:$B$500,$A35,SIGAF!$J$2:$J$500)</f>
        <v>0</v>
      </c>
      <c r="J35" s="68">
        <f t="shared" si="2"/>
        <v>0</v>
      </c>
      <c r="K35" s="13">
        <f>SUMIF(SIGAF!$B$2:$B$500,$A35,SIGAF!$K$2:$K$500)</f>
        <v>2503138</v>
      </c>
      <c r="L35" s="175">
        <f t="shared" si="6"/>
        <v>0.93607586321405978</v>
      </c>
      <c r="M35" s="13">
        <f>SUMIF(SIGAF!$B$2:$B$500,$A35,SIGAF!$L$2:$L$500)</f>
        <v>2503138</v>
      </c>
      <c r="N35" s="68">
        <f t="shared" si="3"/>
        <v>0.93607586321405978</v>
      </c>
      <c r="O35" s="90">
        <f ca="1">SUMIF(SIGAF!$B$2:$B$500,$A35,SIGAF!$M$2:$M$364)</f>
        <v>170938</v>
      </c>
      <c r="P35" s="68">
        <f t="shared" ca="1" si="4"/>
        <v>6.3924136785940264E-2</v>
      </c>
      <c r="Q35" s="13">
        <f ca="1">SUMIF(SIGAF!$B$2:$B$500,$A35,SIGAF!$N$2:$N$364)</f>
        <v>170938</v>
      </c>
      <c r="R35" s="68">
        <f t="shared" ca="1" si="5"/>
        <v>6.3924136785940264E-2</v>
      </c>
    </row>
    <row r="36" spans="1:18" x14ac:dyDescent="0.25">
      <c r="A36" s="11" t="s">
        <v>334</v>
      </c>
      <c r="B36" s="11" t="s">
        <v>441</v>
      </c>
      <c r="C36" s="13">
        <f>SUMIF(SIGAF!$B$2:$B$500,$A36,SIGAF!$F$2:$F$500)</f>
        <v>30213000</v>
      </c>
      <c r="D36" s="13">
        <f ca="1">SUMIF(SIGAF!$B$2:$B$500,$A36,SIGAF!$G$2:$G$364)</f>
        <v>30213000</v>
      </c>
      <c r="E36" s="13">
        <f>SUMIF(SIGAF!$B$2:$B$500,$A36,SIGAF!$H$2:$H$500)</f>
        <v>0</v>
      </c>
      <c r="F36" s="68">
        <f t="shared" si="1"/>
        <v>0</v>
      </c>
      <c r="G36" s="163">
        <f>SUMIF(SIGAF!$B$2:$B$500,$A36,SIGAF!$I$2:$I$500)</f>
        <v>0</v>
      </c>
      <c r="H36" s="68">
        <f t="shared" si="2"/>
        <v>0</v>
      </c>
      <c r="I36" s="13">
        <f>SUMIF(SIGAF!$B$2:$B$500,$A36,SIGAF!$J$2:$J$500)</f>
        <v>0</v>
      </c>
      <c r="J36" s="68">
        <f t="shared" si="2"/>
        <v>0</v>
      </c>
      <c r="K36" s="13">
        <f>SUMIF(SIGAF!$B$2:$B$500,$A36,SIGAF!$K$2:$K$500)</f>
        <v>28781913</v>
      </c>
      <c r="L36" s="175">
        <f t="shared" si="6"/>
        <v>0.95263340283983711</v>
      </c>
      <c r="M36" s="13">
        <f>SUMIF(SIGAF!$B$2:$B$500,$A36,SIGAF!$L$2:$L$500)</f>
        <v>28781913</v>
      </c>
      <c r="N36" s="68">
        <f t="shared" si="3"/>
        <v>0.95263340283983711</v>
      </c>
      <c r="O36" s="90">
        <f ca="1">SUMIF(SIGAF!$B$2:$B$500,$A36,SIGAF!$M$2:$M$364)</f>
        <v>1431087</v>
      </c>
      <c r="P36" s="68">
        <f t="shared" ca="1" si="4"/>
        <v>4.7366597160162845E-2</v>
      </c>
      <c r="Q36" s="13">
        <f ca="1">SUMIF(SIGAF!$B$2:$B$500,$A36,SIGAF!$N$2:$N$364)</f>
        <v>1431087</v>
      </c>
      <c r="R36" s="68">
        <f t="shared" ca="1" si="5"/>
        <v>4.7366597160162845E-2</v>
      </c>
    </row>
    <row r="37" spans="1:18" x14ac:dyDescent="0.25">
      <c r="A37" s="11" t="s">
        <v>373</v>
      </c>
      <c r="B37" s="11" t="s">
        <v>441</v>
      </c>
      <c r="C37" s="13">
        <f>SUMIF(SIGAF!$B$2:$B$500,$A37,SIGAF!$F$2:$F$500)</f>
        <v>223839649</v>
      </c>
      <c r="D37" s="13">
        <f ca="1">SUMIF(SIGAF!$B$2:$B$500,$A37,SIGAF!$G$2:$G$364)</f>
        <v>223839649</v>
      </c>
      <c r="E37" s="13">
        <f>SUMIF(SIGAF!$B$2:$B$500,$A37,SIGAF!$H$2:$H$500)</f>
        <v>0</v>
      </c>
      <c r="F37" s="68">
        <f t="shared" si="1"/>
        <v>0</v>
      </c>
      <c r="G37" s="163">
        <f>SUMIF(SIGAF!$B$2:$B$500,$A37,SIGAF!$I$2:$I$500)</f>
        <v>0</v>
      </c>
      <c r="H37" s="68">
        <f t="shared" si="2"/>
        <v>0</v>
      </c>
      <c r="I37" s="13">
        <f>SUMIF(SIGAF!$B$2:$B$500,$A37,SIGAF!$J$2:$J$500)</f>
        <v>0</v>
      </c>
      <c r="J37" s="68">
        <f t="shared" si="2"/>
        <v>0</v>
      </c>
      <c r="K37" s="13">
        <f>SUMIF(SIGAF!$B$2:$B$500,$A37,SIGAF!$K$2:$K$500)</f>
        <v>216727070</v>
      </c>
      <c r="L37" s="175">
        <f t="shared" si="6"/>
        <v>0.96822466872256396</v>
      </c>
      <c r="M37" s="13">
        <f>SUMIF(SIGAF!$B$2:$B$500,$A37,SIGAF!$L$2:$L$500)</f>
        <v>216727070</v>
      </c>
      <c r="N37" s="68">
        <f t="shared" si="3"/>
        <v>0.96822466872256396</v>
      </c>
      <c r="O37" s="90">
        <f ca="1">SUMIF(SIGAF!$B$2:$B$500,$A37,SIGAF!$M$2:$M$364)</f>
        <v>7112579</v>
      </c>
      <c r="P37" s="68">
        <f t="shared" ca="1" si="4"/>
        <v>3.1775331277436016E-2</v>
      </c>
      <c r="Q37" s="13">
        <f ca="1">SUMIF(SIGAF!$B$2:$B$500,$A37,SIGAF!$N$2:$N$364)</f>
        <v>7112579</v>
      </c>
      <c r="R37" s="68">
        <f t="shared" ca="1" si="5"/>
        <v>3.1775331277436016E-2</v>
      </c>
    </row>
    <row r="38" spans="1:18" x14ac:dyDescent="0.25">
      <c r="A38" s="11" t="s">
        <v>406</v>
      </c>
      <c r="B38" s="11" t="s">
        <v>441</v>
      </c>
      <c r="C38" s="13">
        <f>SUMIF(SIGAF!$B$2:$B$500,$A38,SIGAF!$F$2:$F$500)</f>
        <v>48902691</v>
      </c>
      <c r="D38" s="13">
        <f ca="1">SUMIF(SIGAF!$B$2:$B$500,$A38,SIGAF!$G$2:$G$364)</f>
        <v>48902691</v>
      </c>
      <c r="E38" s="13">
        <f>SUMIF(SIGAF!$B$2:$B$500,$A38,SIGAF!$H$2:$H$500)</f>
        <v>0</v>
      </c>
      <c r="F38" s="68">
        <f t="shared" si="1"/>
        <v>0</v>
      </c>
      <c r="G38" s="163">
        <f>SUMIF(SIGAF!$B$2:$B$500,$A38,SIGAF!$I$2:$I$500)</f>
        <v>1693042.51</v>
      </c>
      <c r="H38" s="68">
        <f t="shared" si="2"/>
        <v>3.4620641019529989E-2</v>
      </c>
      <c r="I38" s="13">
        <f>SUMIF(SIGAF!$B$2:$B$500,$A38,SIGAF!$J$2:$J$500)</f>
        <v>0</v>
      </c>
      <c r="J38" s="68">
        <f t="shared" si="2"/>
        <v>0</v>
      </c>
      <c r="K38" s="13">
        <f>SUMIF(SIGAF!$B$2:$B$500,$A38,SIGAF!$K$2:$K$500)</f>
        <v>46108370</v>
      </c>
      <c r="L38" s="175">
        <f t="shared" si="6"/>
        <v>0.94285956574455176</v>
      </c>
      <c r="M38" s="13">
        <f>SUMIF(SIGAF!$B$2:$B$500,$A38,SIGAF!$L$2:$L$500)</f>
        <v>46108370</v>
      </c>
      <c r="N38" s="68">
        <f t="shared" si="3"/>
        <v>0.94285956574455176</v>
      </c>
      <c r="O38" s="90">
        <f ca="1">SUMIF(SIGAF!$B$2:$B$500,$A38,SIGAF!$M$2:$M$364)</f>
        <v>1101278.49</v>
      </c>
      <c r="P38" s="68">
        <f t="shared" ca="1" si="4"/>
        <v>2.2519793235918243E-2</v>
      </c>
      <c r="Q38" s="13">
        <f ca="1">SUMIF(SIGAF!$B$2:$B$500,$A38,SIGAF!$N$2:$N$364)</f>
        <v>1101278.49</v>
      </c>
      <c r="R38" s="68">
        <f t="shared" ca="1" si="5"/>
        <v>2.2519793235918243E-2</v>
      </c>
    </row>
    <row r="39" spans="1:18" x14ac:dyDescent="0.25">
      <c r="A39" s="11" t="s">
        <v>128</v>
      </c>
      <c r="B39" s="11" t="s">
        <v>442</v>
      </c>
      <c r="C39" s="13">
        <f>SUMIF(SIGAF!$B$2:$B$500,$A39,SIGAF!$F$2:$F$500)</f>
        <v>6062975835</v>
      </c>
      <c r="D39" s="13">
        <f ca="1">SUMIF(SIGAF!$B$2:$B$500,$A39,SIGAF!$G$2:$G$364)</f>
        <v>6062975835</v>
      </c>
      <c r="E39" s="13">
        <f>SUMIF(SIGAF!$B$2:$B$500,$A39,SIGAF!$H$2:$H$500)</f>
        <v>0</v>
      </c>
      <c r="F39" s="68">
        <f t="shared" si="1"/>
        <v>0</v>
      </c>
      <c r="G39" s="163">
        <f>SUMIF(SIGAF!$B$2:$B$500,$A39,SIGAF!$I$2:$I$500)</f>
        <v>40454433.060000002</v>
      </c>
      <c r="H39" s="68">
        <f t="shared" si="2"/>
        <v>6.6723724720238811E-3</v>
      </c>
      <c r="I39" s="13">
        <f>SUMIF(SIGAF!$B$2:$B$500,$A39,SIGAF!$J$2:$J$500)</f>
        <v>0</v>
      </c>
      <c r="J39" s="68">
        <f t="shared" si="2"/>
        <v>0</v>
      </c>
      <c r="K39" s="13">
        <f>SUMIF(SIGAF!$B$2:$B$500,$A39,SIGAF!$K$2:$K$500)</f>
        <v>5702666445.71</v>
      </c>
      <c r="L39" s="175">
        <f t="shared" si="6"/>
        <v>0.94057218780091012</v>
      </c>
      <c r="M39" s="13">
        <f>SUMIF(SIGAF!$B$2:$B$500,$A39,SIGAF!$L$2:$L$500)</f>
        <v>5702666445.71</v>
      </c>
      <c r="N39" s="68">
        <f t="shared" si="3"/>
        <v>0.94057218780091012</v>
      </c>
      <c r="O39" s="90">
        <f ca="1">SUMIF(SIGAF!$B$2:$B$500,$A39,SIGAF!$M$2:$M$364)</f>
        <v>319854956.23000002</v>
      </c>
      <c r="P39" s="68">
        <f t="shared" ca="1" si="4"/>
        <v>5.2755439727065978E-2</v>
      </c>
      <c r="Q39" s="13">
        <f ca="1">SUMIF(SIGAF!$B$2:$B$500,$A39,SIGAF!$N$2:$N$364)</f>
        <v>319854956.23000002</v>
      </c>
      <c r="R39" s="68">
        <f t="shared" ca="1" si="5"/>
        <v>5.2755439727065978E-2</v>
      </c>
    </row>
    <row r="40" spans="1:18" x14ac:dyDescent="0.25">
      <c r="A40" s="11" t="s">
        <v>417</v>
      </c>
      <c r="B40" s="11" t="s">
        <v>443</v>
      </c>
      <c r="C40" s="13">
        <f>SUM(C41:C45)</f>
        <v>3137474986</v>
      </c>
      <c r="D40" s="13">
        <f t="shared" ref="D40:G40" ca="1" si="13">SUM(D41:D45)</f>
        <v>3137474986</v>
      </c>
      <c r="E40" s="13">
        <f t="shared" si="13"/>
        <v>0</v>
      </c>
      <c r="F40" s="68">
        <f t="shared" si="1"/>
        <v>0</v>
      </c>
      <c r="G40" s="163">
        <f t="shared" si="13"/>
        <v>25222840.43</v>
      </c>
      <c r="H40" s="68">
        <f t="shared" si="2"/>
        <v>8.0392164216604219E-3</v>
      </c>
      <c r="I40" s="13">
        <f t="shared" ref="I40" si="14">SUM(I41:I45)</f>
        <v>0</v>
      </c>
      <c r="J40" s="68">
        <f t="shared" si="2"/>
        <v>0</v>
      </c>
      <c r="K40" s="13">
        <f t="shared" ref="K40:Q40" si="15">SUM(K41:K45)</f>
        <v>2905432795</v>
      </c>
      <c r="L40" s="175">
        <f t="shared" si="6"/>
        <v>0.92604173992289485</v>
      </c>
      <c r="M40" s="13">
        <f t="shared" si="15"/>
        <v>2905432795</v>
      </c>
      <c r="N40" s="68">
        <f t="shared" si="3"/>
        <v>0.92604173992289485</v>
      </c>
      <c r="O40" s="13">
        <f t="shared" ca="1" si="15"/>
        <v>206819350.56999999</v>
      </c>
      <c r="P40" s="68">
        <f t="shared" ca="1" si="4"/>
        <v>6.5919043655444778E-2</v>
      </c>
      <c r="Q40" s="13">
        <f t="shared" ca="1" si="15"/>
        <v>206819350.56999999</v>
      </c>
      <c r="R40" s="68">
        <f t="shared" ca="1" si="5"/>
        <v>6.5919043655444778E-2</v>
      </c>
    </row>
    <row r="41" spans="1:18" x14ac:dyDescent="0.25">
      <c r="A41" s="11" t="s">
        <v>130</v>
      </c>
      <c r="B41" s="11" t="s">
        <v>444</v>
      </c>
      <c r="C41" s="13">
        <f>SUMIF(SIGAF!$B$2:$B$500,$A41,SIGAF!$F$2:$F$500)</f>
        <v>61337331</v>
      </c>
      <c r="D41" s="13">
        <f ca="1">SUMIF(SIGAF!$B$2:$B$500,$A41,SIGAF!$G$2:$G$364)</f>
        <v>61337331</v>
      </c>
      <c r="E41" s="13">
        <f>SUMIF(SIGAF!$B$2:$B$500,$A41,SIGAF!$H$2:$H$500)</f>
        <v>0</v>
      </c>
      <c r="F41" s="68">
        <f t="shared" si="1"/>
        <v>0</v>
      </c>
      <c r="G41" s="163">
        <f>SUMIF(SIGAF!$B$2:$B$500,$A41,SIGAF!$I$2:$I$500)</f>
        <v>0</v>
      </c>
      <c r="H41" s="68">
        <f t="shared" si="2"/>
        <v>0</v>
      </c>
      <c r="I41" s="13">
        <f>SUMIF(SIGAF!$B$2:$B$500,$A41,SIGAF!$J$2:$J$500)</f>
        <v>0</v>
      </c>
      <c r="J41" s="68">
        <f t="shared" si="2"/>
        <v>0</v>
      </c>
      <c r="K41" s="13">
        <f>SUMIF(SIGAF!$B$2:$B$500,$A41,SIGAF!$K$2:$K$500)</f>
        <v>56988366</v>
      </c>
      <c r="L41" s="175">
        <f t="shared" si="6"/>
        <v>0.92909758332979964</v>
      </c>
      <c r="M41" s="13">
        <f>SUMIF(SIGAF!$B$2:$B$500,$A41,SIGAF!$L$2:$L$500)</f>
        <v>56988366</v>
      </c>
      <c r="N41" s="68">
        <f t="shared" si="3"/>
        <v>0.92909758332979964</v>
      </c>
      <c r="O41" s="90">
        <f ca="1">SUMIF(SIGAF!$B$2:$B$500,$A41,SIGAF!$M$2:$M$364)</f>
        <v>4348965</v>
      </c>
      <c r="P41" s="68">
        <f t="shared" ca="1" si="4"/>
        <v>7.0902416670200405E-2</v>
      </c>
      <c r="Q41" s="13">
        <f ca="1">SUMIF(SIGAF!$B$2:$B$500,$A41,SIGAF!$N$2:$N$364)</f>
        <v>4348965</v>
      </c>
      <c r="R41" s="68">
        <f t="shared" ca="1" si="5"/>
        <v>7.0902416670200405E-2</v>
      </c>
    </row>
    <row r="42" spans="1:18" x14ac:dyDescent="0.25">
      <c r="A42" s="11" t="s">
        <v>320</v>
      </c>
      <c r="B42" s="11" t="s">
        <v>444</v>
      </c>
      <c r="C42" s="13">
        <f>SUMIF(SIGAF!$B$2:$B$500,$A42,SIGAF!$F$2:$F$500)</f>
        <v>27164968</v>
      </c>
      <c r="D42" s="13">
        <f ca="1">SUMIF(SIGAF!$B$2:$B$500,$A42,SIGAF!$G$2:$G$364)</f>
        <v>27164968</v>
      </c>
      <c r="E42" s="13">
        <f>SUMIF(SIGAF!$B$2:$B$500,$A42,SIGAF!$H$2:$H$500)</f>
        <v>0</v>
      </c>
      <c r="F42" s="68">
        <f t="shared" si="1"/>
        <v>0</v>
      </c>
      <c r="G42" s="163">
        <f>SUMIF(SIGAF!$B$2:$B$500,$A42,SIGAF!$I$2:$I$500)</f>
        <v>0</v>
      </c>
      <c r="H42" s="68">
        <f t="shared" si="2"/>
        <v>0</v>
      </c>
      <c r="I42" s="13">
        <f>SUMIF(SIGAF!$B$2:$B$500,$A42,SIGAF!$J$2:$J$500)</f>
        <v>0</v>
      </c>
      <c r="J42" s="68">
        <f t="shared" si="2"/>
        <v>0</v>
      </c>
      <c r="K42" s="13">
        <f>SUMIF(SIGAF!$B$2:$B$500,$A42,SIGAF!$K$2:$K$500)</f>
        <v>25438724</v>
      </c>
      <c r="L42" s="175">
        <f t="shared" si="6"/>
        <v>0.93645330265067861</v>
      </c>
      <c r="M42" s="13">
        <f>SUMIF(SIGAF!$B$2:$B$500,$A42,SIGAF!$L$2:$L$500)</f>
        <v>25438724</v>
      </c>
      <c r="N42" s="68">
        <f t="shared" si="3"/>
        <v>0.93645330265067861</v>
      </c>
      <c r="O42" s="90">
        <f ca="1">SUMIF(SIGAF!$B$2:$B$500,$A42,SIGAF!$M$2:$M$364)</f>
        <v>1726244</v>
      </c>
      <c r="P42" s="68">
        <f t="shared" ca="1" si="4"/>
        <v>6.3546697349321377E-2</v>
      </c>
      <c r="Q42" s="13">
        <f ca="1">SUMIF(SIGAF!$B$2:$B$500,$A42,SIGAF!$N$2:$N$364)</f>
        <v>1726244</v>
      </c>
      <c r="R42" s="68">
        <f t="shared" ca="1" si="5"/>
        <v>6.3546697349321377E-2</v>
      </c>
    </row>
    <row r="43" spans="1:18" x14ac:dyDescent="0.25">
      <c r="A43" s="11" t="s">
        <v>335</v>
      </c>
      <c r="B43" s="11" t="s">
        <v>444</v>
      </c>
      <c r="C43" s="13">
        <f>SUMIF(SIGAF!$B$2:$B$500,$A43,SIGAF!$F$2:$F$500)</f>
        <v>306966000</v>
      </c>
      <c r="D43" s="13">
        <f ca="1">SUMIF(SIGAF!$B$2:$B$500,$A43,SIGAF!$G$2:$G$364)</f>
        <v>306966000</v>
      </c>
      <c r="E43" s="13">
        <f>SUMIF(SIGAF!$B$2:$B$500,$A43,SIGAF!$H$2:$H$500)</f>
        <v>0</v>
      </c>
      <c r="F43" s="68">
        <f t="shared" si="1"/>
        <v>0</v>
      </c>
      <c r="G43" s="163">
        <f>SUMIF(SIGAF!$B$2:$B$500,$A43,SIGAF!$I$2:$I$500)</f>
        <v>0</v>
      </c>
      <c r="H43" s="68">
        <f t="shared" si="2"/>
        <v>0</v>
      </c>
      <c r="I43" s="13">
        <f>SUMIF(SIGAF!$B$2:$B$500,$A43,SIGAF!$J$2:$J$500)</f>
        <v>0</v>
      </c>
      <c r="J43" s="68">
        <f t="shared" si="2"/>
        <v>0</v>
      </c>
      <c r="K43" s="13">
        <f>SUMIF(SIGAF!$B$2:$B$500,$A43,SIGAF!$K$2:$K$500)</f>
        <v>274688166</v>
      </c>
      <c r="L43" s="175">
        <f t="shared" si="6"/>
        <v>0.89484883016360117</v>
      </c>
      <c r="M43" s="13">
        <f>SUMIF(SIGAF!$B$2:$B$500,$A43,SIGAF!$L$2:$L$500)</f>
        <v>274688166</v>
      </c>
      <c r="N43" s="68">
        <f t="shared" si="3"/>
        <v>0.89484883016360117</v>
      </c>
      <c r="O43" s="90">
        <f ca="1">SUMIF(SIGAF!$B$2:$B$500,$A43,SIGAF!$M$2:$M$364)</f>
        <v>32277834</v>
      </c>
      <c r="P43" s="68">
        <f t="shared" ca="1" si="4"/>
        <v>0.10515116983639881</v>
      </c>
      <c r="Q43" s="13">
        <f ca="1">SUMIF(SIGAF!$B$2:$B$500,$A43,SIGAF!$N$2:$N$364)</f>
        <v>32277834</v>
      </c>
      <c r="R43" s="68">
        <f t="shared" ca="1" si="5"/>
        <v>0.10515116983639881</v>
      </c>
    </row>
    <row r="44" spans="1:18" x14ac:dyDescent="0.25">
      <c r="A44" s="11" t="s">
        <v>374</v>
      </c>
      <c r="B44" s="11" t="s">
        <v>444</v>
      </c>
      <c r="C44" s="13">
        <f>SUMIF(SIGAF!$B$2:$B$500,$A44,SIGAF!$F$2:$F$500)</f>
        <v>2245163874</v>
      </c>
      <c r="D44" s="13">
        <f ca="1">SUMIF(SIGAF!$B$2:$B$500,$A44,SIGAF!$G$2:$G$364)</f>
        <v>2245163874</v>
      </c>
      <c r="E44" s="13">
        <f>SUMIF(SIGAF!$B$2:$B$500,$A44,SIGAF!$H$2:$H$500)</f>
        <v>0</v>
      </c>
      <c r="F44" s="68">
        <f t="shared" si="1"/>
        <v>0</v>
      </c>
      <c r="G44" s="163">
        <f>SUMIF(SIGAF!$B$2:$B$500,$A44,SIGAF!$I$2:$I$500)</f>
        <v>0</v>
      </c>
      <c r="H44" s="68">
        <f t="shared" si="2"/>
        <v>0</v>
      </c>
      <c r="I44" s="13">
        <f>SUMIF(SIGAF!$B$2:$B$500,$A44,SIGAF!$J$2:$J$500)</f>
        <v>0</v>
      </c>
      <c r="J44" s="68">
        <f t="shared" si="2"/>
        <v>0</v>
      </c>
      <c r="K44" s="13">
        <f>SUMIF(SIGAF!$B$2:$B$500,$A44,SIGAF!$K$2:$K$500)</f>
        <v>2197886550</v>
      </c>
      <c r="L44" s="175">
        <f t="shared" si="6"/>
        <v>0.97894259543924944</v>
      </c>
      <c r="M44" s="13">
        <f>SUMIF(SIGAF!$B$2:$B$500,$A44,SIGAF!$L$2:$L$500)</f>
        <v>2197886550</v>
      </c>
      <c r="N44" s="68">
        <f t="shared" si="3"/>
        <v>0.97894259543924944</v>
      </c>
      <c r="O44" s="90">
        <f ca="1">SUMIF(SIGAF!$B$2:$B$500,$A44,SIGAF!$M$2:$M$364)</f>
        <v>47277324</v>
      </c>
      <c r="P44" s="68">
        <f t="shared" ca="1" si="4"/>
        <v>2.1057404560750562E-2</v>
      </c>
      <c r="Q44" s="13">
        <f ca="1">SUMIF(SIGAF!$B$2:$B$500,$A44,SIGAF!$N$2:$N$364)</f>
        <v>47277324</v>
      </c>
      <c r="R44" s="68">
        <f t="shared" ca="1" si="5"/>
        <v>2.1057404560750562E-2</v>
      </c>
    </row>
    <row r="45" spans="1:18" x14ac:dyDescent="0.25">
      <c r="A45" s="11" t="s">
        <v>407</v>
      </c>
      <c r="B45" s="11" t="s">
        <v>444</v>
      </c>
      <c r="C45" s="13">
        <f>SUMIF(SIGAF!$B$2:$B$500,$A45,SIGAF!$F$2:$F$500)</f>
        <v>496842813</v>
      </c>
      <c r="D45" s="13">
        <f ca="1">SUMIF(SIGAF!$B$2:$B$500,$A45,SIGAF!$G$2:$G$364)</f>
        <v>496842813</v>
      </c>
      <c r="E45" s="13">
        <f>SUMIF(SIGAF!$B$2:$B$500,$A45,SIGAF!$H$2:$H$500)</f>
        <v>0</v>
      </c>
      <c r="F45" s="68">
        <f t="shared" si="1"/>
        <v>0</v>
      </c>
      <c r="G45" s="163">
        <f>SUMIF(SIGAF!$B$2:$B$500,$A45,SIGAF!$I$2:$I$500)</f>
        <v>25222840.43</v>
      </c>
      <c r="H45" s="68">
        <f t="shared" si="2"/>
        <v>5.0766237872499925E-2</v>
      </c>
      <c r="I45" s="13">
        <f>SUMIF(SIGAF!$B$2:$B$500,$A45,SIGAF!$J$2:$J$500)</f>
        <v>0</v>
      </c>
      <c r="J45" s="68">
        <f t="shared" si="2"/>
        <v>0</v>
      </c>
      <c r="K45" s="13">
        <f>SUMIF(SIGAF!$B$2:$B$500,$A45,SIGAF!$K$2:$K$500)</f>
        <v>350430989</v>
      </c>
      <c r="L45" s="175">
        <f t="shared" si="6"/>
        <v>0.70531560451494346</v>
      </c>
      <c r="M45" s="13">
        <f>SUMIF(SIGAF!$B$2:$B$500,$A45,SIGAF!$L$2:$L$500)</f>
        <v>350430989</v>
      </c>
      <c r="N45" s="68">
        <f t="shared" si="3"/>
        <v>0.70531560451494346</v>
      </c>
      <c r="O45" s="90">
        <f ca="1">SUMIF(SIGAF!$B$2:$B$500,$A45,SIGAF!$M$2:$M$364)</f>
        <v>121188983.56999999</v>
      </c>
      <c r="P45" s="68">
        <f t="shared" ca="1" si="4"/>
        <v>0.24391815761255661</v>
      </c>
      <c r="Q45" s="13">
        <f ca="1">SUMIF(SIGAF!$B$2:$B$500,$A45,SIGAF!$N$2:$N$364)</f>
        <v>121188983.56999999</v>
      </c>
      <c r="R45" s="68">
        <f t="shared" ca="1" si="5"/>
        <v>0.24391815761255661</v>
      </c>
    </row>
    <row r="46" spans="1:18" x14ac:dyDescent="0.25">
      <c r="A46" s="11" t="s">
        <v>418</v>
      </c>
      <c r="B46" s="11" t="s">
        <v>445</v>
      </c>
      <c r="C46" s="13">
        <f>SUM(C47:C51)</f>
        <v>932995950</v>
      </c>
      <c r="D46" s="13">
        <f t="shared" ref="D46:G46" ca="1" si="16">SUM(D47:D51)</f>
        <v>932995950</v>
      </c>
      <c r="E46" s="13">
        <f t="shared" si="16"/>
        <v>0</v>
      </c>
      <c r="F46" s="68">
        <f t="shared" si="1"/>
        <v>0</v>
      </c>
      <c r="G46" s="163">
        <f t="shared" si="16"/>
        <v>5077559.54</v>
      </c>
      <c r="H46" s="68">
        <f t="shared" si="2"/>
        <v>5.442209625883156E-3</v>
      </c>
      <c r="I46" s="13">
        <f t="shared" ref="I46" si="17">SUM(I47:I51)</f>
        <v>0</v>
      </c>
      <c r="J46" s="68">
        <f t="shared" si="2"/>
        <v>0</v>
      </c>
      <c r="K46" s="13">
        <f t="shared" ref="K46:Q46" si="18">SUM(K47:K51)</f>
        <v>899115319</v>
      </c>
      <c r="L46" s="175">
        <f t="shared" si="6"/>
        <v>0.96368619713729731</v>
      </c>
      <c r="M46" s="13">
        <f t="shared" si="18"/>
        <v>899115319</v>
      </c>
      <c r="N46" s="68">
        <f t="shared" si="3"/>
        <v>0.96368619713729731</v>
      </c>
      <c r="O46" s="13">
        <f t="shared" ca="1" si="18"/>
        <v>28803071.460000001</v>
      </c>
      <c r="P46" s="68">
        <f t="shared" ca="1" si="4"/>
        <v>3.0871593236819518E-2</v>
      </c>
      <c r="Q46" s="13">
        <f t="shared" ca="1" si="18"/>
        <v>28803071.460000001</v>
      </c>
      <c r="R46" s="68">
        <f t="shared" ca="1" si="5"/>
        <v>3.0871593236819518E-2</v>
      </c>
    </row>
    <row r="47" spans="1:18" x14ac:dyDescent="0.25">
      <c r="A47" s="11" t="s">
        <v>132</v>
      </c>
      <c r="B47" s="11" t="s">
        <v>446</v>
      </c>
      <c r="C47" s="13">
        <f>SUMIF(SIGAF!$B$2:$B$500,$A47,SIGAF!$F$2:$F$500)</f>
        <v>18111704</v>
      </c>
      <c r="D47" s="13">
        <f ca="1">SUMIF(SIGAF!$B$2:$B$500,$A47,SIGAF!$G$2:$G$364)</f>
        <v>18111704</v>
      </c>
      <c r="E47" s="13">
        <f>SUMIF(SIGAF!$B$2:$B$500,$A47,SIGAF!$H$2:$H$500)</f>
        <v>0</v>
      </c>
      <c r="F47" s="68">
        <f t="shared" si="1"/>
        <v>0</v>
      </c>
      <c r="G47" s="163">
        <f>SUMIF(SIGAF!$B$2:$B$500,$A47,SIGAF!$I$2:$I$500)</f>
        <v>0</v>
      </c>
      <c r="H47" s="68">
        <f t="shared" si="2"/>
        <v>0</v>
      </c>
      <c r="I47" s="13">
        <f>SUMIF(SIGAF!$B$2:$B$500,$A47,SIGAF!$J$2:$J$500)</f>
        <v>0</v>
      </c>
      <c r="J47" s="68">
        <f t="shared" si="2"/>
        <v>0</v>
      </c>
      <c r="K47" s="13">
        <f>SUMIF(SIGAF!$B$2:$B$500,$A47,SIGAF!$K$2:$K$500)</f>
        <v>16812672</v>
      </c>
      <c r="L47" s="175">
        <f t="shared" si="6"/>
        <v>0.92827665469797871</v>
      </c>
      <c r="M47" s="13">
        <f>SUMIF(SIGAF!$B$2:$B$500,$A47,SIGAF!$L$2:$L$500)</f>
        <v>16812672</v>
      </c>
      <c r="N47" s="68">
        <f t="shared" si="3"/>
        <v>0.92827665469797871</v>
      </c>
      <c r="O47" s="90">
        <f ca="1">SUMIF(SIGAF!$B$2:$B$500,$A47,SIGAF!$M$2:$M$364)</f>
        <v>1299032</v>
      </c>
      <c r="P47" s="68">
        <f t="shared" ca="1" si="4"/>
        <v>7.1723345302021277E-2</v>
      </c>
      <c r="Q47" s="13">
        <f ca="1">SUMIF(SIGAF!$B$2:$B$500,$A47,SIGAF!$N$2:$N$364)</f>
        <v>1299032</v>
      </c>
      <c r="R47" s="68">
        <f t="shared" ca="1" si="5"/>
        <v>7.1723345302021277E-2</v>
      </c>
    </row>
    <row r="48" spans="1:18" x14ac:dyDescent="0.25">
      <c r="A48" s="11" t="s">
        <v>321</v>
      </c>
      <c r="B48" s="11" t="s">
        <v>446</v>
      </c>
      <c r="C48" s="13">
        <f>SUMIF(SIGAF!$B$2:$B$500,$A48,SIGAF!$F$2:$F$500)</f>
        <v>8021227</v>
      </c>
      <c r="D48" s="13">
        <f ca="1">SUMIF(SIGAF!$B$2:$B$500,$A48,SIGAF!$G$2:$G$364)</f>
        <v>8021227</v>
      </c>
      <c r="E48" s="13">
        <f>SUMIF(SIGAF!$B$2:$B$500,$A48,SIGAF!$H$2:$H$500)</f>
        <v>0</v>
      </c>
      <c r="F48" s="68">
        <f t="shared" si="1"/>
        <v>0</v>
      </c>
      <c r="G48" s="163">
        <f>SUMIF(SIGAF!$B$2:$B$500,$A48,SIGAF!$I$2:$I$500)</f>
        <v>0</v>
      </c>
      <c r="H48" s="68">
        <f t="shared" si="2"/>
        <v>0</v>
      </c>
      <c r="I48" s="13">
        <f>SUMIF(SIGAF!$B$2:$B$500,$A48,SIGAF!$J$2:$J$500)</f>
        <v>0</v>
      </c>
      <c r="J48" s="68">
        <f t="shared" si="2"/>
        <v>0</v>
      </c>
      <c r="K48" s="13">
        <f>SUMIF(SIGAF!$B$2:$B$500,$A48,SIGAF!$K$2:$K$500)</f>
        <v>7509423</v>
      </c>
      <c r="L48" s="175">
        <f t="shared" si="6"/>
        <v>0.93619380177122524</v>
      </c>
      <c r="M48" s="13">
        <f>SUMIF(SIGAF!$B$2:$B$500,$A48,SIGAF!$L$2:$L$500)</f>
        <v>7509423</v>
      </c>
      <c r="N48" s="68">
        <f t="shared" si="3"/>
        <v>0.93619380177122524</v>
      </c>
      <c r="O48" s="90">
        <f ca="1">SUMIF(SIGAF!$B$2:$B$500,$A48,SIGAF!$M$2:$M$364)</f>
        <v>511804</v>
      </c>
      <c r="P48" s="68">
        <f t="shared" ca="1" si="4"/>
        <v>6.380619822877473E-2</v>
      </c>
      <c r="Q48" s="13">
        <f ca="1">SUMIF(SIGAF!$B$2:$B$500,$A48,SIGAF!$N$2:$N$364)</f>
        <v>511804</v>
      </c>
      <c r="R48" s="68">
        <f t="shared" ca="1" si="5"/>
        <v>6.380619822877473E-2</v>
      </c>
    </row>
    <row r="49" spans="1:18" x14ac:dyDescent="0.25">
      <c r="A49" s="11" t="s">
        <v>336</v>
      </c>
      <c r="B49" s="11" t="s">
        <v>446</v>
      </c>
      <c r="C49" s="13">
        <f>SUMIF(SIGAF!$B$2:$B$500,$A49,SIGAF!$F$2:$F$500)</f>
        <v>90640000</v>
      </c>
      <c r="D49" s="13">
        <f ca="1">SUMIF(SIGAF!$B$2:$B$500,$A49,SIGAF!$G$2:$G$364)</f>
        <v>90640000</v>
      </c>
      <c r="E49" s="13">
        <f>SUMIF(SIGAF!$B$2:$B$500,$A49,SIGAF!$H$2:$H$500)</f>
        <v>0</v>
      </c>
      <c r="F49" s="68">
        <f t="shared" si="1"/>
        <v>0</v>
      </c>
      <c r="G49" s="163">
        <f>SUMIF(SIGAF!$B$2:$B$500,$A49,SIGAF!$I$2:$I$500)</f>
        <v>0</v>
      </c>
      <c r="H49" s="68">
        <f t="shared" si="2"/>
        <v>0</v>
      </c>
      <c r="I49" s="13">
        <f>SUMIF(SIGAF!$B$2:$B$500,$A49,SIGAF!$J$2:$J$500)</f>
        <v>0</v>
      </c>
      <c r="J49" s="68">
        <f t="shared" si="2"/>
        <v>0</v>
      </c>
      <c r="K49" s="13">
        <f>SUMIF(SIGAF!$B$2:$B$500,$A49,SIGAF!$K$2:$K$500)</f>
        <v>86345697</v>
      </c>
      <c r="L49" s="175">
        <f t="shared" si="6"/>
        <v>0.95262242939099739</v>
      </c>
      <c r="M49" s="13">
        <f>SUMIF(SIGAF!$B$2:$B$500,$A49,SIGAF!$L$2:$L$500)</f>
        <v>86345697</v>
      </c>
      <c r="N49" s="68">
        <f t="shared" si="3"/>
        <v>0.95262242939099739</v>
      </c>
      <c r="O49" s="90">
        <f ca="1">SUMIF(SIGAF!$B$2:$B$500,$A49,SIGAF!$M$2:$M$364)</f>
        <v>4294303</v>
      </c>
      <c r="P49" s="68">
        <f t="shared" ca="1" si="4"/>
        <v>4.7377570609002648E-2</v>
      </c>
      <c r="Q49" s="13">
        <f ca="1">SUMIF(SIGAF!$B$2:$B$500,$A49,SIGAF!$N$2:$N$364)</f>
        <v>4294303</v>
      </c>
      <c r="R49" s="68">
        <f t="shared" ca="1" si="5"/>
        <v>4.7377570609002648E-2</v>
      </c>
    </row>
    <row r="50" spans="1:18" x14ac:dyDescent="0.25">
      <c r="A50" s="11" t="s">
        <v>375</v>
      </c>
      <c r="B50" s="11" t="s">
        <v>446</v>
      </c>
      <c r="C50" s="13">
        <f>SUMIF(SIGAF!$B$2:$B$500,$A50,SIGAF!$F$2:$F$500)</f>
        <v>669516948</v>
      </c>
      <c r="D50" s="13">
        <f ca="1">SUMIF(SIGAF!$B$2:$B$500,$A50,SIGAF!$G$2:$G$364)</f>
        <v>669516948</v>
      </c>
      <c r="E50" s="13">
        <f>SUMIF(SIGAF!$B$2:$B$500,$A50,SIGAF!$H$2:$H$500)</f>
        <v>0</v>
      </c>
      <c r="F50" s="68">
        <f t="shared" si="1"/>
        <v>0</v>
      </c>
      <c r="G50" s="163">
        <f>SUMIF(SIGAF!$B$2:$B$500,$A50,SIGAF!$I$2:$I$500)</f>
        <v>0</v>
      </c>
      <c r="H50" s="68">
        <f t="shared" si="2"/>
        <v>0</v>
      </c>
      <c r="I50" s="13">
        <f>SUMIF(SIGAF!$B$2:$B$500,$A50,SIGAF!$J$2:$J$500)</f>
        <v>0</v>
      </c>
      <c r="J50" s="68">
        <f t="shared" si="2"/>
        <v>0</v>
      </c>
      <c r="K50" s="13">
        <f>SUMIF(SIGAF!$B$2:$B$500,$A50,SIGAF!$K$2:$K$500)</f>
        <v>650122849</v>
      </c>
      <c r="L50" s="175">
        <f t="shared" si="6"/>
        <v>0.97103269893624855</v>
      </c>
      <c r="M50" s="13">
        <f>SUMIF(SIGAF!$B$2:$B$500,$A50,SIGAF!$L$2:$L$500)</f>
        <v>650122849</v>
      </c>
      <c r="N50" s="68">
        <f t="shared" si="3"/>
        <v>0.97103269893624855</v>
      </c>
      <c r="O50" s="90">
        <f ca="1">SUMIF(SIGAF!$B$2:$B$500,$A50,SIGAF!$M$2:$M$364)</f>
        <v>19394099</v>
      </c>
      <c r="P50" s="68">
        <f t="shared" ca="1" si="4"/>
        <v>2.8967301063751415E-2</v>
      </c>
      <c r="Q50" s="13">
        <f ca="1">SUMIF(SIGAF!$B$2:$B$500,$A50,SIGAF!$N$2:$N$364)</f>
        <v>19394099</v>
      </c>
      <c r="R50" s="68">
        <f t="shared" ca="1" si="5"/>
        <v>2.8967301063751415E-2</v>
      </c>
    </row>
    <row r="51" spans="1:18" x14ac:dyDescent="0.25">
      <c r="A51" s="11" t="s">
        <v>408</v>
      </c>
      <c r="B51" s="11" t="s">
        <v>446</v>
      </c>
      <c r="C51" s="13">
        <f>SUMIF(SIGAF!$B$2:$B$500,$A51,SIGAF!$F$2:$F$500)</f>
        <v>146706071</v>
      </c>
      <c r="D51" s="13">
        <f ca="1">SUMIF(SIGAF!$B$2:$B$500,$A51,SIGAF!$G$2:$G$364)</f>
        <v>146706071</v>
      </c>
      <c r="E51" s="13">
        <f>SUMIF(SIGAF!$B$2:$B$500,$A51,SIGAF!$H$2:$H$500)</f>
        <v>0</v>
      </c>
      <c r="F51" s="68">
        <f t="shared" si="1"/>
        <v>0</v>
      </c>
      <c r="G51" s="163">
        <f>SUMIF(SIGAF!$B$2:$B$500,$A51,SIGAF!$I$2:$I$500)</f>
        <v>5077559.54</v>
      </c>
      <c r="H51" s="68">
        <f t="shared" si="2"/>
        <v>3.4610425494934018E-2</v>
      </c>
      <c r="I51" s="13">
        <f>SUMIF(SIGAF!$B$2:$B$500,$A51,SIGAF!$J$2:$J$500)</f>
        <v>0</v>
      </c>
      <c r="J51" s="68">
        <f t="shared" si="2"/>
        <v>0</v>
      </c>
      <c r="K51" s="13">
        <f>SUMIF(SIGAF!$B$2:$B$500,$A51,SIGAF!$K$2:$K$500)</f>
        <v>138324678</v>
      </c>
      <c r="L51" s="175">
        <f t="shared" si="6"/>
        <v>0.94286948765739897</v>
      </c>
      <c r="M51" s="13">
        <f>SUMIF(SIGAF!$B$2:$B$500,$A51,SIGAF!$L$2:$L$500)</f>
        <v>138324678</v>
      </c>
      <c r="N51" s="68">
        <f t="shared" si="3"/>
        <v>0.94286948765739897</v>
      </c>
      <c r="O51" s="90">
        <f ca="1">SUMIF(SIGAF!$B$2:$B$500,$A51,SIGAF!$M$2:$M$364)</f>
        <v>3303833.46</v>
      </c>
      <c r="P51" s="68">
        <f t="shared" ca="1" si="4"/>
        <v>2.2520086847666994E-2</v>
      </c>
      <c r="Q51" s="13">
        <f ca="1">SUMIF(SIGAF!$B$2:$B$500,$A51,SIGAF!$N$2:$N$364)</f>
        <v>3303833.46</v>
      </c>
      <c r="R51" s="68">
        <f t="shared" ca="1" si="5"/>
        <v>2.2520086847666994E-2</v>
      </c>
    </row>
    <row r="52" spans="1:18" x14ac:dyDescent="0.25">
      <c r="A52" s="11" t="s">
        <v>419</v>
      </c>
      <c r="B52" s="11" t="s">
        <v>447</v>
      </c>
      <c r="C52" s="13">
        <f>SUM(C53:C57)</f>
        <v>1865989899</v>
      </c>
      <c r="D52" s="13">
        <f t="shared" ref="D52:G52" ca="1" si="19">SUM(D53:D57)</f>
        <v>1865989899</v>
      </c>
      <c r="E52" s="13">
        <f t="shared" si="19"/>
        <v>0</v>
      </c>
      <c r="F52" s="68">
        <f t="shared" si="1"/>
        <v>0</v>
      </c>
      <c r="G52" s="163">
        <f t="shared" si="19"/>
        <v>10154033.09</v>
      </c>
      <c r="H52" s="68">
        <f t="shared" si="2"/>
        <v>5.4416334704928647E-3</v>
      </c>
      <c r="I52" s="13">
        <f t="shared" ref="I52" si="20">SUM(I53:I57)</f>
        <v>0</v>
      </c>
      <c r="J52" s="68">
        <f t="shared" si="2"/>
        <v>0</v>
      </c>
      <c r="K52" s="13">
        <f t="shared" ref="K52:Q52" si="21">SUM(K53:K57)</f>
        <v>1798341953</v>
      </c>
      <c r="L52" s="175">
        <f t="shared" si="6"/>
        <v>0.96374688521290863</v>
      </c>
      <c r="M52" s="13">
        <f t="shared" si="21"/>
        <v>1798341953</v>
      </c>
      <c r="N52" s="68">
        <f t="shared" si="3"/>
        <v>0.96374688521290863</v>
      </c>
      <c r="O52" s="13">
        <f t="shared" ca="1" si="21"/>
        <v>57493912.909999996</v>
      </c>
      <c r="P52" s="68">
        <f t="shared" ca="1" si="4"/>
        <v>3.0811481316598485E-2</v>
      </c>
      <c r="Q52" s="13">
        <f t="shared" ca="1" si="21"/>
        <v>57493912.909999996</v>
      </c>
      <c r="R52" s="68">
        <f t="shared" ca="1" si="5"/>
        <v>3.0811481316598485E-2</v>
      </c>
    </row>
    <row r="53" spans="1:18" x14ac:dyDescent="0.25">
      <c r="A53" s="11" t="s">
        <v>134</v>
      </c>
      <c r="B53" s="11" t="s">
        <v>448</v>
      </c>
      <c r="C53" s="13">
        <f>SUMIF(SIGAF!$B$2:$B$500,$A53,SIGAF!$F$2:$F$500)</f>
        <v>36223408</v>
      </c>
      <c r="D53" s="13">
        <f ca="1">SUMIF(SIGAF!$B$2:$B$500,$A53,SIGAF!$G$2:$G$364)</f>
        <v>36223408</v>
      </c>
      <c r="E53" s="13">
        <f>SUMIF(SIGAF!$B$2:$B$500,$A53,SIGAF!$H$2:$H$500)</f>
        <v>0</v>
      </c>
      <c r="F53" s="68">
        <f t="shared" si="1"/>
        <v>0</v>
      </c>
      <c r="G53" s="163">
        <f>SUMIF(SIGAF!$B$2:$B$500,$A53,SIGAF!$I$2:$I$500)</f>
        <v>0</v>
      </c>
      <c r="H53" s="68">
        <f t="shared" si="2"/>
        <v>0</v>
      </c>
      <c r="I53" s="13">
        <f>SUMIF(SIGAF!$B$2:$B$500,$A53,SIGAF!$J$2:$J$500)</f>
        <v>0</v>
      </c>
      <c r="J53" s="68">
        <f t="shared" si="2"/>
        <v>0</v>
      </c>
      <c r="K53" s="13">
        <f>SUMIF(SIGAF!$B$2:$B$500,$A53,SIGAF!$K$2:$K$500)</f>
        <v>33625286</v>
      </c>
      <c r="L53" s="175">
        <f t="shared" si="6"/>
        <v>0.92827505352340123</v>
      </c>
      <c r="M53" s="13">
        <f>SUMIF(SIGAF!$B$2:$B$500,$A53,SIGAF!$L$2:$L$500)</f>
        <v>33625286</v>
      </c>
      <c r="N53" s="68">
        <f t="shared" si="3"/>
        <v>0.92827505352340123</v>
      </c>
      <c r="O53" s="90">
        <f ca="1">SUMIF(SIGAF!$B$2:$B$500,$A53,SIGAF!$M$2:$M$364)</f>
        <v>2598122</v>
      </c>
      <c r="P53" s="68">
        <f t="shared" ca="1" si="4"/>
        <v>7.1724946476598772E-2</v>
      </c>
      <c r="Q53" s="13">
        <f ca="1">SUMIF(SIGAF!$B$2:$B$500,$A53,SIGAF!$N$2:$N$364)</f>
        <v>2598122</v>
      </c>
      <c r="R53" s="68">
        <f t="shared" ca="1" si="5"/>
        <v>7.1724946476598772E-2</v>
      </c>
    </row>
    <row r="54" spans="1:18" x14ac:dyDescent="0.25">
      <c r="A54" s="11" t="s">
        <v>322</v>
      </c>
      <c r="B54" s="11" t="s">
        <v>448</v>
      </c>
      <c r="C54" s="13">
        <f>SUMIF(SIGAF!$B$2:$B$500,$A54,SIGAF!$F$2:$F$500)</f>
        <v>16042453</v>
      </c>
      <c r="D54" s="13">
        <f ca="1">SUMIF(SIGAF!$B$2:$B$500,$A54,SIGAF!$G$2:$G$364)</f>
        <v>16042453</v>
      </c>
      <c r="E54" s="13">
        <f>SUMIF(SIGAF!$B$2:$B$500,$A54,SIGAF!$H$2:$H$500)</f>
        <v>0</v>
      </c>
      <c r="F54" s="68">
        <f t="shared" si="1"/>
        <v>0</v>
      </c>
      <c r="G54" s="163">
        <f>SUMIF(SIGAF!$B$2:$B$500,$A54,SIGAF!$I$2:$I$500)</f>
        <v>0</v>
      </c>
      <c r="H54" s="68">
        <f t="shared" si="2"/>
        <v>0</v>
      </c>
      <c r="I54" s="13">
        <f>SUMIF(SIGAF!$B$2:$B$500,$A54,SIGAF!$J$2:$J$500)</f>
        <v>0</v>
      </c>
      <c r="J54" s="68">
        <f t="shared" si="2"/>
        <v>0</v>
      </c>
      <c r="K54" s="13">
        <f>SUMIF(SIGAF!$B$2:$B$500,$A54,SIGAF!$K$2:$K$500)</f>
        <v>15018850</v>
      </c>
      <c r="L54" s="175">
        <f t="shared" si="6"/>
        <v>0.93619410946692505</v>
      </c>
      <c r="M54" s="13">
        <f>SUMIF(SIGAF!$B$2:$B$500,$A54,SIGAF!$L$2:$L$500)</f>
        <v>15018850</v>
      </c>
      <c r="N54" s="68">
        <f t="shared" si="3"/>
        <v>0.93619410946692505</v>
      </c>
      <c r="O54" s="90">
        <f ca="1">SUMIF(SIGAF!$B$2:$B$500,$A54,SIGAF!$M$2:$M$364)</f>
        <v>1023603</v>
      </c>
      <c r="P54" s="68">
        <f t="shared" ca="1" si="4"/>
        <v>6.3805890533074963E-2</v>
      </c>
      <c r="Q54" s="13">
        <f ca="1">SUMIF(SIGAF!$B$2:$B$500,$A54,SIGAF!$N$2:$N$364)</f>
        <v>1023603</v>
      </c>
      <c r="R54" s="68">
        <f t="shared" ca="1" si="5"/>
        <v>6.3805890533074963E-2</v>
      </c>
    </row>
    <row r="55" spans="1:18" x14ac:dyDescent="0.25">
      <c r="A55" s="11" t="s">
        <v>337</v>
      </c>
      <c r="B55" s="11" t="s">
        <v>448</v>
      </c>
      <c r="C55" s="13">
        <f>SUMIF(SIGAF!$B$2:$B$500,$A55,SIGAF!$F$2:$F$500)</f>
        <v>181279000</v>
      </c>
      <c r="D55" s="13">
        <f ca="1">SUMIF(SIGAF!$B$2:$B$500,$A55,SIGAF!$G$2:$G$364)</f>
        <v>181279000</v>
      </c>
      <c r="E55" s="13">
        <f>SUMIF(SIGAF!$B$2:$B$500,$A55,SIGAF!$H$2:$H$500)</f>
        <v>0</v>
      </c>
      <c r="F55" s="68">
        <f t="shared" si="1"/>
        <v>0</v>
      </c>
      <c r="G55" s="163">
        <f>SUMIF(SIGAF!$B$2:$B$500,$A55,SIGAF!$I$2:$I$500)</f>
        <v>0</v>
      </c>
      <c r="H55" s="68">
        <f t="shared" si="2"/>
        <v>0</v>
      </c>
      <c r="I55" s="13">
        <f>SUMIF(SIGAF!$B$2:$B$500,$A55,SIGAF!$J$2:$J$500)</f>
        <v>0</v>
      </c>
      <c r="J55" s="68">
        <f t="shared" si="2"/>
        <v>0</v>
      </c>
      <c r="K55" s="13">
        <f>SUMIF(SIGAF!$B$2:$B$500,$A55,SIGAF!$K$2:$K$500)</f>
        <v>172691394</v>
      </c>
      <c r="L55" s="175">
        <f t="shared" si="6"/>
        <v>0.95262768439808254</v>
      </c>
      <c r="M55" s="13">
        <f>SUMIF(SIGAF!$B$2:$B$500,$A55,SIGAF!$L$2:$L$500)</f>
        <v>172691394</v>
      </c>
      <c r="N55" s="68">
        <f t="shared" si="3"/>
        <v>0.95262768439808254</v>
      </c>
      <c r="O55" s="90">
        <f ca="1">SUMIF(SIGAF!$B$2:$B$500,$A55,SIGAF!$M$2:$M$364)</f>
        <v>8587606</v>
      </c>
      <c r="P55" s="68">
        <f t="shared" ca="1" si="4"/>
        <v>4.7372315601917486E-2</v>
      </c>
      <c r="Q55" s="13">
        <f ca="1">SUMIF(SIGAF!$B$2:$B$500,$A55,SIGAF!$N$2:$N$364)</f>
        <v>8587606</v>
      </c>
      <c r="R55" s="68">
        <f t="shared" ca="1" si="5"/>
        <v>4.7372315601917486E-2</v>
      </c>
    </row>
    <row r="56" spans="1:18" x14ac:dyDescent="0.25">
      <c r="A56" s="11" t="s">
        <v>376</v>
      </c>
      <c r="B56" s="11" t="s">
        <v>448</v>
      </c>
      <c r="C56" s="13">
        <f>SUMIF(SIGAF!$B$2:$B$500,$A56,SIGAF!$F$2:$F$500)</f>
        <v>1339033895</v>
      </c>
      <c r="D56" s="13">
        <f ca="1">SUMIF(SIGAF!$B$2:$B$500,$A56,SIGAF!$G$2:$G$364)</f>
        <v>1339033895</v>
      </c>
      <c r="E56" s="13">
        <f>SUMIF(SIGAF!$B$2:$B$500,$A56,SIGAF!$H$2:$H$500)</f>
        <v>0</v>
      </c>
      <c r="F56" s="68">
        <f t="shared" si="1"/>
        <v>0</v>
      </c>
      <c r="G56" s="163">
        <f>SUMIF(SIGAF!$B$2:$B$500,$A56,SIGAF!$I$2:$I$500)</f>
        <v>0</v>
      </c>
      <c r="H56" s="68">
        <f t="shared" si="2"/>
        <v>0</v>
      </c>
      <c r="I56" s="13">
        <f>SUMIF(SIGAF!$B$2:$B$500,$A56,SIGAF!$J$2:$J$500)</f>
        <v>0</v>
      </c>
      <c r="J56" s="68">
        <f t="shared" si="2"/>
        <v>0</v>
      </c>
      <c r="K56" s="13">
        <f>SUMIF(SIGAF!$B$2:$B$500,$A56,SIGAF!$K$2:$K$500)</f>
        <v>1300356984</v>
      </c>
      <c r="L56" s="175">
        <f t="shared" si="6"/>
        <v>0.97111580883469717</v>
      </c>
      <c r="M56" s="13">
        <f>SUMIF(SIGAF!$B$2:$B$500,$A56,SIGAF!$L$2:$L$500)</f>
        <v>1300356984</v>
      </c>
      <c r="N56" s="68">
        <f t="shared" si="3"/>
        <v>0.97111580883469717</v>
      </c>
      <c r="O56" s="90">
        <f ca="1">SUMIF(SIGAF!$B$2:$B$500,$A56,SIGAF!$M$2:$M$364)</f>
        <v>38676911</v>
      </c>
      <c r="P56" s="68">
        <f t="shared" ca="1" si="4"/>
        <v>2.8884191165302803E-2</v>
      </c>
      <c r="Q56" s="13">
        <f ca="1">SUMIF(SIGAF!$B$2:$B$500,$A56,SIGAF!$N$2:$N$364)</f>
        <v>38676911</v>
      </c>
      <c r="R56" s="68">
        <f t="shared" ca="1" si="5"/>
        <v>2.8884191165302803E-2</v>
      </c>
    </row>
    <row r="57" spans="1:18" x14ac:dyDescent="0.25">
      <c r="A57" s="11" t="s">
        <v>409</v>
      </c>
      <c r="B57" s="11" t="s">
        <v>448</v>
      </c>
      <c r="C57" s="13">
        <f>SUMIF(SIGAF!$B$2:$B$500,$A57,SIGAF!$F$2:$F$500)</f>
        <v>293411143</v>
      </c>
      <c r="D57" s="13">
        <f ca="1">SUMIF(SIGAF!$B$2:$B$500,$A57,SIGAF!$G$2:$G$364)</f>
        <v>293411143</v>
      </c>
      <c r="E57" s="13">
        <f>SUMIF(SIGAF!$B$2:$B$500,$A57,SIGAF!$H$2:$H$500)</f>
        <v>0</v>
      </c>
      <c r="F57" s="68">
        <f t="shared" si="1"/>
        <v>0</v>
      </c>
      <c r="G57" s="163">
        <f>SUMIF(SIGAF!$B$2:$B$500,$A57,SIGAF!$I$2:$I$500)</f>
        <v>10154033.09</v>
      </c>
      <c r="H57" s="68">
        <f t="shared" si="2"/>
        <v>3.4606842078932221E-2</v>
      </c>
      <c r="I57" s="13">
        <f>SUMIF(SIGAF!$B$2:$B$500,$A57,SIGAF!$J$2:$J$500)</f>
        <v>0</v>
      </c>
      <c r="J57" s="68">
        <f t="shared" si="2"/>
        <v>0</v>
      </c>
      <c r="K57" s="13">
        <f>SUMIF(SIGAF!$B$2:$B$500,$A57,SIGAF!$K$2:$K$500)</f>
        <v>276649439</v>
      </c>
      <c r="L57" s="175">
        <f t="shared" si="6"/>
        <v>0.94287298079882398</v>
      </c>
      <c r="M57" s="13">
        <f>SUMIF(SIGAF!$B$2:$B$500,$A57,SIGAF!$L$2:$L$500)</f>
        <v>276649439</v>
      </c>
      <c r="N57" s="68">
        <f t="shared" si="3"/>
        <v>0.94287298079882398</v>
      </c>
      <c r="O57" s="90">
        <f ca="1">SUMIF(SIGAF!$B$2:$B$500,$A57,SIGAF!$M$2:$M$364)</f>
        <v>6607670.9100000001</v>
      </c>
      <c r="P57" s="68">
        <f t="shared" ca="1" si="4"/>
        <v>2.2520177122243787E-2</v>
      </c>
      <c r="Q57" s="13">
        <f ca="1">SUMIF(SIGAF!$B$2:$B$500,$A57,SIGAF!$N$2:$N$364)</f>
        <v>6607670.9100000001</v>
      </c>
      <c r="R57" s="68">
        <f t="shared" ca="1" si="5"/>
        <v>2.2520177122243787E-2</v>
      </c>
    </row>
    <row r="58" spans="1:18" x14ac:dyDescent="0.25">
      <c r="A58" s="11" t="s">
        <v>420</v>
      </c>
      <c r="B58" s="11" t="s">
        <v>449</v>
      </c>
      <c r="C58" s="13">
        <f>+C59</f>
        <v>126515000</v>
      </c>
      <c r="D58" s="13">
        <f ca="1">+D59</f>
        <v>126515000</v>
      </c>
      <c r="E58" s="13">
        <f>+E59</f>
        <v>0</v>
      </c>
      <c r="F58" s="68">
        <f t="shared" si="1"/>
        <v>0</v>
      </c>
      <c r="G58" s="163">
        <f>+G59</f>
        <v>0</v>
      </c>
      <c r="H58" s="68">
        <f t="shared" si="2"/>
        <v>0</v>
      </c>
      <c r="I58" s="13">
        <f>+I59</f>
        <v>0</v>
      </c>
      <c r="J58" s="68">
        <f t="shared" si="2"/>
        <v>0</v>
      </c>
      <c r="K58" s="13">
        <f>+K59</f>
        <v>99776378.709999993</v>
      </c>
      <c r="L58" s="175">
        <f t="shared" si="6"/>
        <v>0.78865256064498279</v>
      </c>
      <c r="M58" s="13">
        <f>+M59</f>
        <v>99776378.709999993</v>
      </c>
      <c r="N58" s="68">
        <f t="shared" si="3"/>
        <v>0.78865256064498279</v>
      </c>
      <c r="O58" s="13">
        <f ca="1">+O59</f>
        <v>26738621.289999999</v>
      </c>
      <c r="P58" s="68">
        <f t="shared" ca="1" si="4"/>
        <v>0.21134743935501718</v>
      </c>
      <c r="Q58" s="13">
        <f ca="1">+Q59</f>
        <v>26738621.289999999</v>
      </c>
      <c r="R58" s="68">
        <f t="shared" ca="1" si="5"/>
        <v>0.21134743935501718</v>
      </c>
    </row>
    <row r="59" spans="1:18" x14ac:dyDescent="0.25">
      <c r="A59" s="11" t="s">
        <v>410</v>
      </c>
      <c r="B59" s="11" t="s">
        <v>450</v>
      </c>
      <c r="C59" s="13">
        <f>SUMIF(SIGAF!$B$2:$B$500,$A59,SIGAF!$F$2:$F$500)</f>
        <v>126515000</v>
      </c>
      <c r="D59" s="13">
        <f ca="1">SUMIF(SIGAF!$B$2:$B$500,$A59,SIGAF!$G$2:$G$364)</f>
        <v>126515000</v>
      </c>
      <c r="E59" s="13">
        <f>SUMIF(SIGAF!$B$2:$B$500,$A59,SIGAF!$H$2:$H$500)</f>
        <v>0</v>
      </c>
      <c r="F59" s="68">
        <f t="shared" si="1"/>
        <v>0</v>
      </c>
      <c r="G59" s="163">
        <f>SUMIF(SIGAF!$B$2:$B$500,$A59,SIGAF!$I$2:$I$500)</f>
        <v>0</v>
      </c>
      <c r="H59" s="68">
        <f t="shared" si="2"/>
        <v>0</v>
      </c>
      <c r="I59" s="13">
        <f>SUMIF(SIGAF!$B$2:$B$500,$A59,SIGAF!$J$2:$J$500)</f>
        <v>0</v>
      </c>
      <c r="J59" s="68">
        <f t="shared" si="2"/>
        <v>0</v>
      </c>
      <c r="K59" s="13">
        <f>SUMIF(SIGAF!$B$2:$B$500,$A59,SIGAF!$K$2:$K$500)</f>
        <v>99776378.709999993</v>
      </c>
      <c r="L59" s="175">
        <f t="shared" si="6"/>
        <v>0.78865256064498279</v>
      </c>
      <c r="M59" s="13">
        <f>SUMIF(SIGAF!$B$2:$B$500,$A59,SIGAF!$L$2:$L$500)</f>
        <v>99776378.709999993</v>
      </c>
      <c r="N59" s="68">
        <f t="shared" si="3"/>
        <v>0.78865256064498279</v>
      </c>
      <c r="O59" s="90">
        <f ca="1">SUMIF(SIGAF!$B$2:$B$500,$A59,SIGAF!$M$2:$M$364)</f>
        <v>26738621.289999999</v>
      </c>
      <c r="P59" s="68">
        <f t="shared" ca="1" si="4"/>
        <v>0.21134743935501718</v>
      </c>
      <c r="Q59" s="13">
        <f ca="1">SUMIF(SIGAF!$B$2:$B$500,$A59,SIGAF!$N$2:$N$364)</f>
        <v>26738621.289999999</v>
      </c>
      <c r="R59" s="68">
        <f t="shared" ca="1" si="5"/>
        <v>0.21134743935501718</v>
      </c>
    </row>
    <row r="60" spans="1:18" x14ac:dyDescent="0.25">
      <c r="A60" s="11" t="s">
        <v>377</v>
      </c>
      <c r="B60" s="11" t="s">
        <v>451</v>
      </c>
      <c r="C60" s="13">
        <f>SUMIF(SIGAF!$B$2:$B$500,$A60,SIGAF!$F$2:$F$500)</f>
        <v>300000</v>
      </c>
      <c r="D60" s="13">
        <f ca="1">SUMIF(SIGAF!$B$2:$B$500,$A60,SIGAF!$G$2:$G$364)</f>
        <v>300000</v>
      </c>
      <c r="E60" s="13">
        <f>SUMIF(SIGAF!$B$2:$B$500,$A60,SIGAF!$H$2:$H$500)</f>
        <v>0</v>
      </c>
      <c r="F60" s="68">
        <f t="shared" si="1"/>
        <v>0</v>
      </c>
      <c r="G60" s="163">
        <f>SUMIF(SIGAF!$B$2:$B$500,$A60,SIGAF!$I$2:$I$500)</f>
        <v>0</v>
      </c>
      <c r="H60" s="68">
        <f t="shared" si="2"/>
        <v>0</v>
      </c>
      <c r="I60" s="13">
        <f>SUMIF(SIGAF!$B$2:$B$500,$A60,SIGAF!$J$2:$J$500)</f>
        <v>0</v>
      </c>
      <c r="J60" s="68">
        <f t="shared" si="2"/>
        <v>0</v>
      </c>
      <c r="K60" s="13">
        <f>SUMIF(SIGAF!$B$2:$B$500,$A60,SIGAF!$K$2:$K$500)</f>
        <v>300000</v>
      </c>
      <c r="L60" s="175">
        <f t="shared" si="6"/>
        <v>1</v>
      </c>
      <c r="M60" s="13">
        <f>SUMIF(SIGAF!$B$2:$B$500,$A60,SIGAF!$L$2:$L$500)</f>
        <v>250000</v>
      </c>
      <c r="N60" s="68">
        <f t="shared" si="3"/>
        <v>0.83333333333333337</v>
      </c>
      <c r="O60" s="90">
        <f ca="1">SUMIF(SIGAF!$B$2:$B$500,$A60,SIGAF!$M$2:$M$364)</f>
        <v>0</v>
      </c>
      <c r="P60" s="68">
        <f t="shared" ca="1" si="4"/>
        <v>0</v>
      </c>
      <c r="Q60" s="13">
        <f ca="1">SUMIF(SIGAF!$B$2:$B$500,$A60,SIGAF!$N$2:$N$364)</f>
        <v>0</v>
      </c>
      <c r="R60" s="68">
        <f t="shared" ca="1" si="5"/>
        <v>0</v>
      </c>
    </row>
    <row r="61" spans="1:18" x14ac:dyDescent="0.25">
      <c r="A61" s="11" t="s">
        <v>379</v>
      </c>
      <c r="B61" s="11" t="s">
        <v>452</v>
      </c>
      <c r="C61" s="13">
        <f>SUMIF(SIGAF!$B$2:$B$500,$A61,SIGAF!$F$2:$F$500)</f>
        <v>300000</v>
      </c>
      <c r="D61" s="13">
        <f ca="1">SUMIF(SIGAF!$B$2:$B$500,$A61,SIGAF!$G$2:$G$364)</f>
        <v>300000</v>
      </c>
      <c r="E61" s="13">
        <f>SUMIF(SIGAF!$B$2:$B$500,$A61,SIGAF!$H$2:$H$500)</f>
        <v>0</v>
      </c>
      <c r="F61" s="68">
        <f t="shared" si="1"/>
        <v>0</v>
      </c>
      <c r="G61" s="163">
        <f>SUMIF(SIGAF!$B$2:$B$500,$A61,SIGAF!$I$2:$I$500)</f>
        <v>0</v>
      </c>
      <c r="H61" s="68">
        <f t="shared" si="2"/>
        <v>0</v>
      </c>
      <c r="I61" s="13">
        <f>SUMIF(SIGAF!$B$2:$B$500,$A61,SIGAF!$J$2:$J$500)</f>
        <v>0</v>
      </c>
      <c r="J61" s="68">
        <f t="shared" si="2"/>
        <v>0</v>
      </c>
      <c r="K61" s="13">
        <f>SUMIF(SIGAF!$B$2:$B$500,$A61,SIGAF!$K$2:$K$500)</f>
        <v>300000</v>
      </c>
      <c r="L61" s="175">
        <f t="shared" si="6"/>
        <v>1</v>
      </c>
      <c r="M61" s="13">
        <f>SUMIF(SIGAF!$B$2:$B$500,$A61,SIGAF!$L$2:$L$500)</f>
        <v>250000</v>
      </c>
      <c r="N61" s="68">
        <f t="shared" si="3"/>
        <v>0.83333333333333337</v>
      </c>
      <c r="O61" s="90">
        <f ca="1">SUMIF(SIGAF!$B$2:$B$500,$A61,SIGAF!$M$2:$M$364)</f>
        <v>0</v>
      </c>
      <c r="P61" s="68">
        <f t="shared" ca="1" si="4"/>
        <v>0</v>
      </c>
      <c r="Q61" s="13">
        <f ca="1">SUMIF(SIGAF!$B$2:$B$500,$A61,SIGAF!$N$2:$N$364)</f>
        <v>0</v>
      </c>
      <c r="R61" s="68">
        <f t="shared" ca="1" si="5"/>
        <v>0</v>
      </c>
    </row>
    <row r="62" spans="1:18" s="23" customFormat="1" x14ac:dyDescent="0.25">
      <c r="A62" s="21" t="s">
        <v>136</v>
      </c>
      <c r="B62" s="21" t="s">
        <v>137</v>
      </c>
      <c r="C62" s="35">
        <f>SUMIF(SIGAF!$B$2:$B$500,$A62,SIGAF!$F$2:$F$500)</f>
        <v>9118490598</v>
      </c>
      <c r="D62" s="35">
        <f ca="1">SUMIF(SIGAF!$B$2:$B$500,$A62,SIGAF!$G$2:$G$364)</f>
        <v>9118490575.4300003</v>
      </c>
      <c r="E62" s="35">
        <f>SUMIF(SIGAF!$B$2:$B$500,$A62,SIGAF!$H$2:$H$500)</f>
        <v>4362972</v>
      </c>
      <c r="F62" s="67">
        <f t="shared" si="1"/>
        <v>4.7847524248771509E-4</v>
      </c>
      <c r="G62" s="164">
        <f>SUMIF(SIGAF!$B$2:$B$500,$A62,SIGAF!$I$2:$I$500)</f>
        <v>1004512454.8499999</v>
      </c>
      <c r="H62" s="67">
        <f t="shared" si="2"/>
        <v>0.11016214186483059</v>
      </c>
      <c r="I62" s="35">
        <f>SUMIF(SIGAF!$B$2:$B$500,$A62,SIGAF!$J$2:$J$500)</f>
        <v>0</v>
      </c>
      <c r="J62" s="67">
        <f t="shared" si="2"/>
        <v>0</v>
      </c>
      <c r="K62" s="35">
        <f>SUMIF(SIGAF!$B$2:$B$500,$A62,SIGAF!$K$2:$K$500)</f>
        <v>7738830064.6400003</v>
      </c>
      <c r="L62" s="174">
        <f t="shared" si="6"/>
        <v>0.84869639130158159</v>
      </c>
      <c r="M62" s="35">
        <f>SUMIF(SIGAF!$B$2:$B$500,$A62,SIGAF!$L$2:$L$500)</f>
        <v>6798136265.2399998</v>
      </c>
      <c r="N62" s="67">
        <f t="shared" si="3"/>
        <v>0.74553306736216474</v>
      </c>
      <c r="O62" s="91">
        <f ca="1">SUMIF(SIGAF!$B$2:$B$500,$A62,SIGAF!$M$2:$M$364)</f>
        <v>370785106.50999999</v>
      </c>
      <c r="P62" s="67">
        <f t="shared" ca="1" si="4"/>
        <v>4.0662991591100171E-2</v>
      </c>
      <c r="Q62" s="35">
        <f ca="1">SUMIF(SIGAF!$B$2:$B$500,$A62,SIGAF!$N$2:$N$364)</f>
        <v>370785083.94</v>
      </c>
      <c r="R62" s="67">
        <f t="shared" ca="1" si="5"/>
        <v>4.066298911590982E-2</v>
      </c>
    </row>
    <row r="63" spans="1:18" x14ac:dyDescent="0.25">
      <c r="A63" s="11" t="s">
        <v>138</v>
      </c>
      <c r="B63" s="11" t="s">
        <v>139</v>
      </c>
      <c r="C63" s="13">
        <f>SUMIF(SIGAF!$B$2:$B$500,$A63,SIGAF!$F$2:$F$500)</f>
        <v>1593552462.5</v>
      </c>
      <c r="D63" s="13">
        <f ca="1">SUMIF(SIGAF!$B$2:$B$500,$A63,SIGAF!$G$2:$G$364)</f>
        <v>1593552462.1700001</v>
      </c>
      <c r="E63" s="13">
        <f>SUMIF(SIGAF!$B$2:$B$500,$A63,SIGAF!$H$2:$H$500)</f>
        <v>0</v>
      </c>
      <c r="F63" s="68">
        <f t="shared" si="1"/>
        <v>0</v>
      </c>
      <c r="G63" s="163">
        <f>SUMIF(SIGAF!$B$2:$B$500,$A63,SIGAF!$I$2:$I$500)</f>
        <v>68249062.25</v>
      </c>
      <c r="H63" s="68">
        <f t="shared" si="2"/>
        <v>4.2828249371174999E-2</v>
      </c>
      <c r="I63" s="13">
        <f>SUMIF(SIGAF!$B$2:$B$500,$A63,SIGAF!$J$2:$J$500)</f>
        <v>0</v>
      </c>
      <c r="J63" s="68">
        <f t="shared" si="2"/>
        <v>0</v>
      </c>
      <c r="K63" s="13">
        <f>SUMIF(SIGAF!$B$2:$B$500,$A63,SIGAF!$K$2:$K$500)</f>
        <v>1401797838.6100001</v>
      </c>
      <c r="L63" s="175">
        <f t="shared" si="6"/>
        <v>0.87966845874081168</v>
      </c>
      <c r="M63" s="13">
        <f>SUMIF(SIGAF!$B$2:$B$500,$A63,SIGAF!$L$2:$L$500)</f>
        <v>1190797751.8499999</v>
      </c>
      <c r="N63" s="68">
        <f t="shared" si="3"/>
        <v>0.74725983604069757</v>
      </c>
      <c r="O63" s="90">
        <f ca="1">SUMIF(SIGAF!$B$2:$B$500,$A63,SIGAF!$M$2:$M$364)</f>
        <v>123505561.64</v>
      </c>
      <c r="P63" s="68">
        <f t="shared" ca="1" si="4"/>
        <v>7.7503291888013387E-2</v>
      </c>
      <c r="Q63" s="13">
        <f ca="1">SUMIF(SIGAF!$B$2:$B$500,$A63,SIGAF!$N$2:$N$364)</f>
        <v>123505561.31</v>
      </c>
      <c r="R63" s="68">
        <f t="shared" ca="1" si="5"/>
        <v>7.7503291680928899E-2</v>
      </c>
    </row>
    <row r="64" spans="1:18" x14ac:dyDescent="0.25">
      <c r="A64" s="11" t="s">
        <v>323</v>
      </c>
      <c r="B64" s="11" t="s">
        <v>453</v>
      </c>
      <c r="C64" s="13">
        <f>SUMIF(SIGAF!$B$2:$B$500,$A64,SIGAF!$F$2:$F$500)</f>
        <v>602362154</v>
      </c>
      <c r="D64" s="13">
        <f ca="1">SUMIF(SIGAF!$B$2:$B$500,$A64,SIGAF!$G$2:$G$364)</f>
        <v>602362154</v>
      </c>
      <c r="E64" s="13">
        <f>SUMIF(SIGAF!$B$2:$B$500,$A64,SIGAF!$H$2:$H$500)</f>
        <v>0</v>
      </c>
      <c r="F64" s="68">
        <f t="shared" si="1"/>
        <v>0</v>
      </c>
      <c r="G64" s="163">
        <f>SUMIF(SIGAF!$B$2:$B$500,$A64,SIGAF!$I$2:$I$500)</f>
        <v>5540146.25</v>
      </c>
      <c r="H64" s="68">
        <f t="shared" si="2"/>
        <v>9.1973677516267067E-3</v>
      </c>
      <c r="I64" s="13">
        <f>SUMIF(SIGAF!$B$2:$B$500,$A64,SIGAF!$J$2:$J$500)</f>
        <v>0</v>
      </c>
      <c r="J64" s="68">
        <f t="shared" si="2"/>
        <v>0</v>
      </c>
      <c r="K64" s="13">
        <f>SUMIF(SIGAF!$B$2:$B$500,$A64,SIGAF!$K$2:$K$500)</f>
        <v>588915606.56999993</v>
      </c>
      <c r="L64" s="175">
        <f t="shared" si="6"/>
        <v>0.97767697166777834</v>
      </c>
      <c r="M64" s="13">
        <f>SUMIF(SIGAF!$B$2:$B$500,$A64,SIGAF!$L$2:$L$500)</f>
        <v>543593831</v>
      </c>
      <c r="N64" s="68">
        <f t="shared" si="3"/>
        <v>0.90243689347056821</v>
      </c>
      <c r="O64" s="90">
        <f ca="1">SUMIF(SIGAF!$B$2:$B$500,$A64,SIGAF!$M$2:$M$364)</f>
        <v>7906401.1800000006</v>
      </c>
      <c r="P64" s="68">
        <f t="shared" ca="1" si="4"/>
        <v>1.3125660580594844E-2</v>
      </c>
      <c r="Q64" s="13">
        <f ca="1">SUMIF(SIGAF!$B$2:$B$500,$A64,SIGAF!$N$2:$N$364)</f>
        <v>7906401.1800000006</v>
      </c>
      <c r="R64" s="68">
        <f t="shared" ca="1" si="5"/>
        <v>1.3125660580594844E-2</v>
      </c>
    </row>
    <row r="65" spans="1:18" x14ac:dyDescent="0.25">
      <c r="A65" s="11" t="s">
        <v>338</v>
      </c>
      <c r="B65" s="11" t="s">
        <v>454</v>
      </c>
      <c r="C65" s="13">
        <f>SUMIF(SIGAF!$B$2:$B$500,$A65,SIGAF!$F$2:$F$500)</f>
        <v>8776000</v>
      </c>
      <c r="D65" s="13">
        <f ca="1">SUMIF(SIGAF!$B$2:$B$500,$A65,SIGAF!$G$2:$G$364)</f>
        <v>8776000</v>
      </c>
      <c r="E65" s="13">
        <f>SUMIF(SIGAF!$B$2:$B$500,$A65,SIGAF!$H$2:$H$500)</f>
        <v>0</v>
      </c>
      <c r="F65" s="68">
        <f t="shared" si="1"/>
        <v>0</v>
      </c>
      <c r="G65" s="163">
        <f>SUMIF(SIGAF!$B$2:$B$500,$A65,SIGAF!$I$2:$I$500)</f>
        <v>0</v>
      </c>
      <c r="H65" s="68">
        <f t="shared" si="2"/>
        <v>0</v>
      </c>
      <c r="I65" s="13">
        <f>SUMIF(SIGAF!$B$2:$B$500,$A65,SIGAF!$J$2:$J$500)</f>
        <v>0</v>
      </c>
      <c r="J65" s="68">
        <f t="shared" si="2"/>
        <v>0</v>
      </c>
      <c r="K65" s="13">
        <f>SUMIF(SIGAF!$B$2:$B$500,$A65,SIGAF!$K$2:$K$500)</f>
        <v>6690239.1799999997</v>
      </c>
      <c r="L65" s="175">
        <f t="shared" si="6"/>
        <v>0.76233354375569728</v>
      </c>
      <c r="M65" s="13">
        <f>SUMIF(SIGAF!$B$2:$B$500,$A65,SIGAF!$L$2:$L$500)</f>
        <v>6122398.3099999996</v>
      </c>
      <c r="N65" s="68">
        <f t="shared" si="3"/>
        <v>0.69762970715587957</v>
      </c>
      <c r="O65" s="90">
        <f ca="1">SUMIF(SIGAF!$B$2:$B$500,$A65,SIGAF!$M$2:$M$364)</f>
        <v>2085760.82</v>
      </c>
      <c r="P65" s="68">
        <f t="shared" ca="1" si="4"/>
        <v>0.23766645624430266</v>
      </c>
      <c r="Q65" s="13">
        <f ca="1">SUMIF(SIGAF!$B$2:$B$500,$A65,SIGAF!$N$2:$N$364)</f>
        <v>2085760.82</v>
      </c>
      <c r="R65" s="68">
        <f t="shared" ca="1" si="5"/>
        <v>0.23766645624430266</v>
      </c>
    </row>
    <row r="66" spans="1:18" x14ac:dyDescent="0.25">
      <c r="A66" s="11" t="s">
        <v>140</v>
      </c>
      <c r="B66" s="11" t="s">
        <v>455</v>
      </c>
      <c r="C66" s="13">
        <f>SUMIF(SIGAF!$B$2:$B$500,$A66,SIGAF!$F$2:$F$500)</f>
        <v>947688283.5</v>
      </c>
      <c r="D66" s="13">
        <f ca="1">SUMIF(SIGAF!$B$2:$B$500,$A66,SIGAF!$G$2:$G$364)</f>
        <v>947688283.16999996</v>
      </c>
      <c r="E66" s="13">
        <f>SUMIF(SIGAF!$B$2:$B$500,$A66,SIGAF!$H$2:$H$500)</f>
        <v>0</v>
      </c>
      <c r="F66" s="68">
        <f t="shared" si="1"/>
        <v>0</v>
      </c>
      <c r="G66" s="163">
        <f>SUMIF(SIGAF!$B$2:$B$500,$A66,SIGAF!$I$2:$I$500)</f>
        <v>44840325.459999993</v>
      </c>
      <c r="H66" s="68">
        <f t="shared" si="2"/>
        <v>4.7315479404679159E-2</v>
      </c>
      <c r="I66" s="13">
        <f>SUMIF(SIGAF!$B$2:$B$500,$A66,SIGAF!$J$2:$J$500)</f>
        <v>0</v>
      </c>
      <c r="J66" s="68">
        <f t="shared" si="2"/>
        <v>0</v>
      </c>
      <c r="K66" s="13">
        <f>SUMIF(SIGAF!$B$2:$B$500,$A66,SIGAF!$K$2:$K$500)</f>
        <v>790948689.14999998</v>
      </c>
      <c r="L66" s="175">
        <f t="shared" si="6"/>
        <v>0.83460849197045073</v>
      </c>
      <c r="M66" s="13">
        <f>SUMIF(SIGAF!$B$2:$B$500,$A66,SIGAF!$L$2:$L$500)</f>
        <v>634319370.57999992</v>
      </c>
      <c r="N66" s="68">
        <f t="shared" si="3"/>
        <v>0.66933334686520884</v>
      </c>
      <c r="O66" s="90">
        <f ca="1">SUMIF(SIGAF!$B$2:$B$500,$A66,SIGAF!$M$2:$M$364)</f>
        <v>111899268.89</v>
      </c>
      <c r="P66" s="68">
        <f t="shared" ca="1" si="4"/>
        <v>0.11807602862487009</v>
      </c>
      <c r="Q66" s="13">
        <f ca="1">SUMIF(SIGAF!$B$2:$B$500,$A66,SIGAF!$N$2:$N$364)</f>
        <v>111899268.56</v>
      </c>
      <c r="R66" s="68">
        <f t="shared" ca="1" si="5"/>
        <v>0.11807602827665432</v>
      </c>
    </row>
    <row r="67" spans="1:18" x14ac:dyDescent="0.25">
      <c r="A67" s="11" t="s">
        <v>340</v>
      </c>
      <c r="B67" s="11" t="s">
        <v>456</v>
      </c>
      <c r="C67" s="13">
        <f>SUMIF(SIGAF!$B$2:$B$500,$A67,SIGAF!$F$2:$F$500)</f>
        <v>9422000</v>
      </c>
      <c r="D67" s="13">
        <f ca="1">SUMIF(SIGAF!$B$2:$B$500,$A67,SIGAF!$G$2:$G$364)</f>
        <v>9422000</v>
      </c>
      <c r="E67" s="13">
        <f>SUMIF(SIGAF!$B$2:$B$500,$A67,SIGAF!$H$2:$H$500)</f>
        <v>0</v>
      </c>
      <c r="F67" s="68">
        <f t="shared" si="1"/>
        <v>0</v>
      </c>
      <c r="G67" s="163">
        <f>SUMIF(SIGAF!$B$2:$B$500,$A67,SIGAF!$I$2:$I$500)</f>
        <v>2253550.54</v>
      </c>
      <c r="H67" s="68">
        <f t="shared" si="2"/>
        <v>0.23917963701974104</v>
      </c>
      <c r="I67" s="13">
        <f>SUMIF(SIGAF!$B$2:$B$500,$A67,SIGAF!$J$2:$J$500)</f>
        <v>0</v>
      </c>
      <c r="J67" s="68">
        <f t="shared" si="2"/>
        <v>0</v>
      </c>
      <c r="K67" s="13">
        <f>SUMIF(SIGAF!$B$2:$B$500,$A67,SIGAF!$K$2:$K$500)</f>
        <v>6945612.46</v>
      </c>
      <c r="L67" s="175">
        <f t="shared" si="6"/>
        <v>0.73716965187858208</v>
      </c>
      <c r="M67" s="13">
        <f>SUMIF(SIGAF!$B$2:$B$500,$A67,SIGAF!$L$2:$L$500)</f>
        <v>6694370.71</v>
      </c>
      <c r="N67" s="68">
        <f t="shared" si="3"/>
        <v>0.71050421460411806</v>
      </c>
      <c r="O67" s="90">
        <f ca="1">SUMIF(SIGAF!$B$2:$B$500,$A67,SIGAF!$M$2:$M$364)</f>
        <v>222837</v>
      </c>
      <c r="P67" s="68">
        <f t="shared" ca="1" si="4"/>
        <v>2.3650711101676925E-2</v>
      </c>
      <c r="Q67" s="13">
        <f ca="1">SUMIF(SIGAF!$B$2:$B$500,$A67,SIGAF!$N$2:$N$364)</f>
        <v>222837</v>
      </c>
      <c r="R67" s="68">
        <f t="shared" ca="1" si="5"/>
        <v>2.3650711101676925E-2</v>
      </c>
    </row>
    <row r="68" spans="1:18" x14ac:dyDescent="0.25">
      <c r="A68" s="11" t="s">
        <v>142</v>
      </c>
      <c r="B68" s="11" t="s">
        <v>143</v>
      </c>
      <c r="C68" s="13">
        <f>SUMIF(SIGAF!$B$2:$B$500,$A68,SIGAF!$F$2:$F$500)</f>
        <v>25304025</v>
      </c>
      <c r="D68" s="13">
        <f ca="1">SUMIF(SIGAF!$B$2:$B$500,$A68,SIGAF!$G$2:$G$364)</f>
        <v>25304025</v>
      </c>
      <c r="E68" s="13">
        <f>SUMIF(SIGAF!$B$2:$B$500,$A68,SIGAF!$H$2:$H$500)</f>
        <v>0</v>
      </c>
      <c r="F68" s="68">
        <f t="shared" si="1"/>
        <v>0</v>
      </c>
      <c r="G68" s="163">
        <f>SUMIF(SIGAF!$B$2:$B$500,$A68,SIGAF!$I$2:$I$500)</f>
        <v>15615040</v>
      </c>
      <c r="H68" s="68">
        <f t="shared" si="2"/>
        <v>0.61709708238116268</v>
      </c>
      <c r="I68" s="13">
        <f>SUMIF(SIGAF!$B$2:$B$500,$A68,SIGAF!$J$2:$J$500)</f>
        <v>0</v>
      </c>
      <c r="J68" s="68">
        <f t="shared" si="2"/>
        <v>0</v>
      </c>
      <c r="K68" s="13">
        <f>SUMIF(SIGAF!$B$2:$B$500,$A68,SIGAF!$K$2:$K$500)</f>
        <v>8297691.25</v>
      </c>
      <c r="L68" s="175">
        <f t="shared" si="6"/>
        <v>0.32791981710419588</v>
      </c>
      <c r="M68" s="13">
        <f>SUMIF(SIGAF!$B$2:$B$500,$A68,SIGAF!$L$2:$L$500)</f>
        <v>67781.25</v>
      </c>
      <c r="N68" s="68">
        <f t="shared" si="3"/>
        <v>2.6786746377305587E-3</v>
      </c>
      <c r="O68" s="90">
        <f ca="1">SUMIF(SIGAF!$B$2:$B$500,$A68,SIGAF!$M$2:$M$364)</f>
        <v>1391293.75</v>
      </c>
      <c r="P68" s="68">
        <f t="shared" ca="1" si="4"/>
        <v>5.4983100514641448E-2</v>
      </c>
      <c r="Q68" s="13">
        <f ca="1">SUMIF(SIGAF!$B$2:$B$500,$A68,SIGAF!$N$2:$N$364)</f>
        <v>1391293.75</v>
      </c>
      <c r="R68" s="68">
        <f t="shared" ca="1" si="5"/>
        <v>5.4983100514641448E-2</v>
      </c>
    </row>
    <row r="69" spans="1:18" x14ac:dyDescent="0.25">
      <c r="A69" s="11" t="s">
        <v>144</v>
      </c>
      <c r="B69" s="11" t="s">
        <v>457</v>
      </c>
      <c r="C69" s="13">
        <f>SUMIF(SIGAF!$B$2:$B$500,$A69,SIGAF!$F$2:$F$500)</f>
        <v>4724854060</v>
      </c>
      <c r="D69" s="13">
        <f ca="1">SUMIF(SIGAF!$B$2:$B$500,$A69,SIGAF!$G$2:$G$364)</f>
        <v>4724854059.3400002</v>
      </c>
      <c r="E69" s="13">
        <f>SUMIF(SIGAF!$B$2:$B$500,$A69,SIGAF!$H$2:$H$500)</f>
        <v>0</v>
      </c>
      <c r="F69" s="68">
        <f t="shared" si="1"/>
        <v>0</v>
      </c>
      <c r="G69" s="163">
        <f>SUMIF(SIGAF!$B$2:$B$500,$A69,SIGAF!$I$2:$I$500)</f>
        <v>704939646.16000009</v>
      </c>
      <c r="H69" s="68">
        <f t="shared" si="2"/>
        <v>0.14919818415724784</v>
      </c>
      <c r="I69" s="13">
        <f>SUMIF(SIGAF!$B$2:$B$500,$A69,SIGAF!$J$2:$J$500)</f>
        <v>0</v>
      </c>
      <c r="J69" s="68">
        <f t="shared" si="2"/>
        <v>0</v>
      </c>
      <c r="K69" s="13">
        <f>SUMIF(SIGAF!$B$2:$B$500,$A69,SIGAF!$K$2:$K$500)</f>
        <v>4000761286.2000003</v>
      </c>
      <c r="L69" s="175">
        <f t="shared" si="6"/>
        <v>0.84674811864982769</v>
      </c>
      <c r="M69" s="13">
        <f>SUMIF(SIGAF!$B$2:$B$500,$A69,SIGAF!$L$2:$L$500)</f>
        <v>3906173899.4400001</v>
      </c>
      <c r="N69" s="68">
        <f t="shared" si="3"/>
        <v>0.82672900577166186</v>
      </c>
      <c r="O69" s="90">
        <f ca="1">SUMIF(SIGAF!$B$2:$B$500,$A69,SIGAF!$M$2:$M$364)</f>
        <v>19153127.640000001</v>
      </c>
      <c r="P69" s="68">
        <f t="shared" ca="1" si="4"/>
        <v>4.053697192924516E-3</v>
      </c>
      <c r="Q69" s="13">
        <f ca="1">SUMIF(SIGAF!$B$2:$B$500,$A69,SIGAF!$N$2:$N$364)</f>
        <v>19153126.98</v>
      </c>
      <c r="R69" s="68">
        <f t="shared" ca="1" si="5"/>
        <v>4.053697053237661E-3</v>
      </c>
    </row>
    <row r="70" spans="1:18" x14ac:dyDescent="0.25">
      <c r="A70" s="11" t="s">
        <v>146</v>
      </c>
      <c r="B70" s="11" t="s">
        <v>458</v>
      </c>
      <c r="C70" s="13">
        <f>SUMIF(SIGAF!$B$2:$B$500,$A70,SIGAF!$F$2:$F$500)</f>
        <v>2588184331</v>
      </c>
      <c r="D70" s="13">
        <f ca="1">SUMIF(SIGAF!$B$2:$B$500,$A70,SIGAF!$G$2:$G$364)</f>
        <v>2588184330.6700001</v>
      </c>
      <c r="E70" s="13">
        <f>SUMIF(SIGAF!$B$2:$B$500,$A70,SIGAF!$H$2:$H$500)</f>
        <v>0</v>
      </c>
      <c r="F70" s="68">
        <f t="shared" si="1"/>
        <v>0</v>
      </c>
      <c r="G70" s="163">
        <f>SUMIF(SIGAF!$B$2:$B$500,$A70,SIGAF!$I$2:$I$500)</f>
        <v>443859920.17000002</v>
      </c>
      <c r="H70" s="68">
        <f t="shared" si="2"/>
        <v>0.17149470957445495</v>
      </c>
      <c r="I70" s="13">
        <f>SUMIF(SIGAF!$B$2:$B$500,$A70,SIGAF!$J$2:$J$500)</f>
        <v>0</v>
      </c>
      <c r="J70" s="68">
        <f t="shared" si="2"/>
        <v>0</v>
      </c>
      <c r="K70" s="13">
        <f>SUMIF(SIGAF!$B$2:$B$500,$A70,SIGAF!$K$2:$K$500)</f>
        <v>2143178463.5</v>
      </c>
      <c r="L70" s="175">
        <f t="shared" si="6"/>
        <v>0.82806252932994828</v>
      </c>
      <c r="M70" s="13">
        <f>SUMIF(SIGAF!$B$2:$B$500,$A70,SIGAF!$L$2:$L$500)</f>
        <v>2143178463.5</v>
      </c>
      <c r="N70" s="68">
        <f t="shared" si="3"/>
        <v>0.82806252932994828</v>
      </c>
      <c r="O70" s="90">
        <f ca="1">SUMIF(SIGAF!$B$2:$B$500,$A70,SIGAF!$M$2:$M$364)</f>
        <v>1145947.33</v>
      </c>
      <c r="P70" s="68">
        <f t="shared" ca="1" si="4"/>
        <v>4.4276109559678809E-4</v>
      </c>
      <c r="Q70" s="13">
        <f ca="1">SUMIF(SIGAF!$B$2:$B$500,$A70,SIGAF!$N$2:$N$364)</f>
        <v>1145947</v>
      </c>
      <c r="R70" s="68">
        <f t="shared" ca="1" si="5"/>
        <v>4.4276096809427754E-4</v>
      </c>
    </row>
    <row r="71" spans="1:18" x14ac:dyDescent="0.25">
      <c r="A71" s="11" t="s">
        <v>148</v>
      </c>
      <c r="B71" s="11" t="s">
        <v>459</v>
      </c>
      <c r="C71" s="13">
        <f>SUMIF(SIGAF!$B$2:$B$500,$A71,SIGAF!$F$2:$F$500)</f>
        <v>1360518097</v>
      </c>
      <c r="D71" s="13">
        <f ca="1">SUMIF(SIGAF!$B$2:$B$500,$A71,SIGAF!$G$2:$G$364)</f>
        <v>1360518097</v>
      </c>
      <c r="E71" s="13">
        <f>SUMIF(SIGAF!$B$2:$B$500,$A71,SIGAF!$H$2:$H$500)</f>
        <v>0</v>
      </c>
      <c r="F71" s="68">
        <f t="shared" si="1"/>
        <v>0</v>
      </c>
      <c r="G71" s="163">
        <f>SUMIF(SIGAF!$B$2:$B$500,$A71,SIGAF!$I$2:$I$500)</f>
        <v>159723101.83000001</v>
      </c>
      <c r="H71" s="68">
        <f t="shared" si="2"/>
        <v>0.11739873374870663</v>
      </c>
      <c r="I71" s="13">
        <f>SUMIF(SIGAF!$B$2:$B$500,$A71,SIGAF!$J$2:$J$500)</f>
        <v>0</v>
      </c>
      <c r="J71" s="68">
        <f t="shared" si="2"/>
        <v>0</v>
      </c>
      <c r="K71" s="13">
        <f>SUMIF(SIGAF!$B$2:$B$500,$A71,SIGAF!$K$2:$K$500)</f>
        <v>1200086495.1700001</v>
      </c>
      <c r="L71" s="175">
        <f t="shared" si="6"/>
        <v>0.88208050875342381</v>
      </c>
      <c r="M71" s="13">
        <f>SUMIF(SIGAF!$B$2:$B$500,$A71,SIGAF!$L$2:$L$500)</f>
        <v>1164902920.1700001</v>
      </c>
      <c r="N71" s="68">
        <f t="shared" si="3"/>
        <v>0.85622008464177013</v>
      </c>
      <c r="O71" s="90">
        <f ca="1">SUMIF(SIGAF!$B$2:$B$500,$A71,SIGAF!$M$2:$M$364)</f>
        <v>708500</v>
      </c>
      <c r="P71" s="68">
        <f t="shared" ca="1" si="4"/>
        <v>5.2075749786957809E-4</v>
      </c>
      <c r="Q71" s="13">
        <f ca="1">SUMIF(SIGAF!$B$2:$B$500,$A71,SIGAF!$N$2:$N$364)</f>
        <v>708500</v>
      </c>
      <c r="R71" s="68">
        <f t="shared" ca="1" si="5"/>
        <v>5.2075749786957809E-4</v>
      </c>
    </row>
    <row r="72" spans="1:18" x14ac:dyDescent="0.25">
      <c r="A72" s="11" t="s">
        <v>150</v>
      </c>
      <c r="B72" s="11" t="s">
        <v>151</v>
      </c>
      <c r="C72" s="13">
        <f>SUMIF(SIGAF!$B$2:$B$500,$A72,SIGAF!$F$2:$F$500)</f>
        <v>16865000</v>
      </c>
      <c r="D72" s="13">
        <f ca="1">SUMIF(SIGAF!$B$2:$B$500,$A72,SIGAF!$G$2:$G$364)</f>
        <v>16865000</v>
      </c>
      <c r="E72" s="13">
        <f>SUMIF(SIGAF!$B$2:$B$500,$A72,SIGAF!$H$2:$H$500)</f>
        <v>0</v>
      </c>
      <c r="F72" s="68">
        <f t="shared" si="1"/>
        <v>0</v>
      </c>
      <c r="G72" s="163">
        <f>SUMIF(SIGAF!$B$2:$B$500,$A72,SIGAF!$I$2:$I$500)</f>
        <v>2841790</v>
      </c>
      <c r="H72" s="68">
        <f t="shared" si="2"/>
        <v>0.16850222353987548</v>
      </c>
      <c r="I72" s="13">
        <f>SUMIF(SIGAF!$B$2:$B$500,$A72,SIGAF!$J$2:$J$500)</f>
        <v>0</v>
      </c>
      <c r="J72" s="68">
        <f t="shared" si="2"/>
        <v>0</v>
      </c>
      <c r="K72" s="13">
        <f>SUMIF(SIGAF!$B$2:$B$500,$A72,SIGAF!$K$2:$K$500)</f>
        <v>13995410</v>
      </c>
      <c r="L72" s="175">
        <f t="shared" si="6"/>
        <v>0.82984939223243404</v>
      </c>
      <c r="M72" s="13">
        <f>SUMIF(SIGAF!$B$2:$B$500,$A72,SIGAF!$L$2:$L$500)</f>
        <v>13058110</v>
      </c>
      <c r="N72" s="68">
        <f t="shared" si="3"/>
        <v>0.77427275422472575</v>
      </c>
      <c r="O72" s="90">
        <f ca="1">SUMIF(SIGAF!$B$2:$B$500,$A72,SIGAF!$M$2:$M$364)</f>
        <v>27800</v>
      </c>
      <c r="P72" s="68">
        <f t="shared" ca="1" si="4"/>
        <v>1.6483842276904834E-3</v>
      </c>
      <c r="Q72" s="13">
        <f ca="1">SUMIF(SIGAF!$B$2:$B$500,$A72,SIGAF!$N$2:$N$364)</f>
        <v>27800</v>
      </c>
      <c r="R72" s="68">
        <f t="shared" ca="1" si="5"/>
        <v>1.6483842276904834E-3</v>
      </c>
    </row>
    <row r="73" spans="1:18" x14ac:dyDescent="0.25">
      <c r="A73" s="11" t="s">
        <v>152</v>
      </c>
      <c r="B73" s="11" t="s">
        <v>460</v>
      </c>
      <c r="C73" s="13">
        <f>SUMIF(SIGAF!$B$2:$B$500,$A73,SIGAF!$F$2:$F$500)</f>
        <v>610623660</v>
      </c>
      <c r="D73" s="13">
        <f ca="1">SUMIF(SIGAF!$B$2:$B$500,$A73,SIGAF!$G$2:$G$364)</f>
        <v>610623660</v>
      </c>
      <c r="E73" s="13">
        <f>SUMIF(SIGAF!$B$2:$B$500,$A73,SIGAF!$H$2:$H$500)</f>
        <v>0</v>
      </c>
      <c r="F73" s="68">
        <f t="shared" si="1"/>
        <v>0</v>
      </c>
      <c r="G73" s="163">
        <f>SUMIF(SIGAF!$B$2:$B$500,$A73,SIGAF!$I$2:$I$500)</f>
        <v>69411190.090000004</v>
      </c>
      <c r="H73" s="68">
        <f t="shared" si="2"/>
        <v>0.11367261807379034</v>
      </c>
      <c r="I73" s="13">
        <f>SUMIF(SIGAF!$B$2:$B$500,$A73,SIGAF!$J$2:$J$500)</f>
        <v>0</v>
      </c>
      <c r="J73" s="68">
        <f t="shared" si="2"/>
        <v>0</v>
      </c>
      <c r="K73" s="13">
        <f>SUMIF(SIGAF!$B$2:$B$500,$A73,SIGAF!$K$2:$K$500)</f>
        <v>540105967.34000003</v>
      </c>
      <c r="L73" s="175">
        <f t="shared" si="6"/>
        <v>0.88451529595168332</v>
      </c>
      <c r="M73" s="13">
        <f>SUMIF(SIGAF!$B$2:$B$500,$A73,SIGAF!$L$2:$L$500)</f>
        <v>484432755.58000004</v>
      </c>
      <c r="N73" s="68">
        <f t="shared" si="3"/>
        <v>0.79334095174104458</v>
      </c>
      <c r="O73" s="90">
        <f ca="1">SUMIF(SIGAF!$B$2:$B$500,$A73,SIGAF!$M$2:$M$364)</f>
        <v>1106502.57</v>
      </c>
      <c r="P73" s="68">
        <f t="shared" ca="1" si="4"/>
        <v>1.8120859745264376E-3</v>
      </c>
      <c r="Q73" s="13">
        <f ca="1">SUMIF(SIGAF!$B$2:$B$500,$A73,SIGAF!$N$2:$N$364)</f>
        <v>1106502.57</v>
      </c>
      <c r="R73" s="68">
        <f t="shared" ca="1" si="5"/>
        <v>1.8120859745264376E-3</v>
      </c>
    </row>
    <row r="74" spans="1:18" x14ac:dyDescent="0.25">
      <c r="A74" s="11" t="s">
        <v>154</v>
      </c>
      <c r="B74" s="11" t="s">
        <v>461</v>
      </c>
      <c r="C74" s="13">
        <f>SUMIF(SIGAF!$B$2:$B$500,$A74,SIGAF!$F$2:$F$500)</f>
        <v>148662972</v>
      </c>
      <c r="D74" s="13">
        <f ca="1">SUMIF(SIGAF!$B$2:$B$500,$A74,SIGAF!$G$2:$G$364)</f>
        <v>148662971.66999999</v>
      </c>
      <c r="E74" s="13">
        <f>SUMIF(SIGAF!$B$2:$B$500,$A74,SIGAF!$H$2:$H$500)</f>
        <v>0</v>
      </c>
      <c r="F74" s="68">
        <f t="shared" si="1"/>
        <v>0</v>
      </c>
      <c r="G74" s="163">
        <f>SUMIF(SIGAF!$B$2:$B$500,$A74,SIGAF!$I$2:$I$500)</f>
        <v>29103644.07</v>
      </c>
      <c r="H74" s="68">
        <f t="shared" si="2"/>
        <v>0.19576928725735418</v>
      </c>
      <c r="I74" s="13">
        <f>SUMIF(SIGAF!$B$2:$B$500,$A74,SIGAF!$J$2:$J$500)</f>
        <v>0</v>
      </c>
      <c r="J74" s="68">
        <f t="shared" si="2"/>
        <v>0</v>
      </c>
      <c r="K74" s="13">
        <f>SUMIF(SIGAF!$B$2:$B$500,$A74,SIGAF!$K$2:$K$500)</f>
        <v>103394950.19000001</v>
      </c>
      <c r="L74" s="175">
        <f t="shared" si="6"/>
        <v>0.69549901228935485</v>
      </c>
      <c r="M74" s="13">
        <f>SUMIF(SIGAF!$B$2:$B$500,$A74,SIGAF!$L$2:$L$500)</f>
        <v>100601650.19000001</v>
      </c>
      <c r="N74" s="68">
        <f t="shared" si="3"/>
        <v>0.67670953187993588</v>
      </c>
      <c r="O74" s="90">
        <f ca="1">SUMIF(SIGAF!$B$2:$B$500,$A74,SIGAF!$M$2:$M$364)</f>
        <v>16164377.739999998</v>
      </c>
      <c r="P74" s="68">
        <f t="shared" ca="1" si="4"/>
        <v>0.10873170045329107</v>
      </c>
      <c r="Q74" s="13">
        <f ca="1">SUMIF(SIGAF!$B$2:$B$500,$A74,SIGAF!$N$2:$N$364)</f>
        <v>16164377.41</v>
      </c>
      <c r="R74" s="68">
        <f t="shared" ca="1" si="5"/>
        <v>0.10873169823350498</v>
      </c>
    </row>
    <row r="75" spans="1:18" x14ac:dyDescent="0.25">
      <c r="A75" s="11" t="s">
        <v>156</v>
      </c>
      <c r="B75" s="11" t="s">
        <v>462</v>
      </c>
      <c r="C75" s="13">
        <f>SUMIF(SIGAF!$B$2:$B$500,$A75,SIGAF!$F$2:$F$500)</f>
        <v>33414456</v>
      </c>
      <c r="D75" s="13">
        <f ca="1">SUMIF(SIGAF!$B$2:$B$500,$A75,SIGAF!$G$2:$G$364)</f>
        <v>33414456</v>
      </c>
      <c r="E75" s="13">
        <f>SUMIF(SIGAF!$B$2:$B$500,$A75,SIGAF!$H$2:$H$500)</f>
        <v>0</v>
      </c>
      <c r="F75" s="68">
        <f t="shared" ref="F75:F138" si="22">+IFERROR(+E75/$C75,0)</f>
        <v>0</v>
      </c>
      <c r="G75" s="163">
        <f>SUMIF(SIGAF!$B$2:$B$500,$A75,SIGAF!$I$2:$I$500)</f>
        <v>4583390.32</v>
      </c>
      <c r="H75" s="68">
        <f t="shared" ref="H75:J138" si="23">+IFERROR(+G75/$C75,0)</f>
        <v>0.13716788685711359</v>
      </c>
      <c r="I75" s="13">
        <f>SUMIF(SIGAF!$B$2:$B$500,$A75,SIGAF!$J$2:$J$500)</f>
        <v>0</v>
      </c>
      <c r="J75" s="68">
        <f t="shared" si="23"/>
        <v>0</v>
      </c>
      <c r="K75" s="13">
        <f>SUMIF(SIGAF!$B$2:$B$500,$A75,SIGAF!$K$2:$K$500)</f>
        <v>21374259.91</v>
      </c>
      <c r="L75" s="175">
        <f t="shared" si="6"/>
        <v>0.63967104267685815</v>
      </c>
      <c r="M75" s="13">
        <f>SUMIF(SIGAF!$B$2:$B$500,$A75,SIGAF!$L$2:$L$500)</f>
        <v>16253459.91</v>
      </c>
      <c r="N75" s="68">
        <f t="shared" ref="N75:N138" si="24">+IFERROR(+M75/$C75,0)</f>
        <v>0.48642000665819607</v>
      </c>
      <c r="O75" s="90">
        <f ca="1">SUMIF(SIGAF!$B$2:$B$500,$A75,SIGAF!$M$2:$M$364)</f>
        <v>7456805.7699999996</v>
      </c>
      <c r="P75" s="68">
        <f t="shared" ref="P75:P138" ca="1" si="25">+IFERROR(+O75/$C75,0)</f>
        <v>0.22316107046602823</v>
      </c>
      <c r="Q75" s="13">
        <f ca="1">SUMIF(SIGAF!$B$2:$B$500,$A75,SIGAF!$N$2:$N$364)</f>
        <v>7456805.7699999996</v>
      </c>
      <c r="R75" s="68">
        <f t="shared" ref="R75:R138" ca="1" si="26">+IFERROR(+Q75/$C75,0)</f>
        <v>0.22316107046602823</v>
      </c>
    </row>
    <row r="76" spans="1:18" x14ac:dyDescent="0.25">
      <c r="A76" s="11" t="s">
        <v>158</v>
      </c>
      <c r="B76" s="11" t="s">
        <v>463</v>
      </c>
      <c r="C76" s="13">
        <f>SUMIF(SIGAF!$B$2:$B$500,$A76,SIGAF!$F$2:$F$500)</f>
        <v>16080450</v>
      </c>
      <c r="D76" s="13">
        <f ca="1">SUMIF(SIGAF!$B$2:$B$500,$A76,SIGAF!$G$2:$G$364)</f>
        <v>16080450</v>
      </c>
      <c r="E76" s="13">
        <f>SUMIF(SIGAF!$B$2:$B$500,$A76,SIGAF!$H$2:$H$500)</f>
        <v>0</v>
      </c>
      <c r="F76" s="68">
        <f t="shared" si="22"/>
        <v>0</v>
      </c>
      <c r="G76" s="163">
        <f>SUMIF(SIGAF!$B$2:$B$500,$A76,SIGAF!$I$2:$I$500)</f>
        <v>2965461</v>
      </c>
      <c r="H76" s="68">
        <f t="shared" si="23"/>
        <v>0.18441405557680288</v>
      </c>
      <c r="I76" s="13">
        <f>SUMIF(SIGAF!$B$2:$B$500,$A76,SIGAF!$J$2:$J$500)</f>
        <v>0</v>
      </c>
      <c r="J76" s="68">
        <f t="shared" si="23"/>
        <v>0</v>
      </c>
      <c r="K76" s="13">
        <f>SUMIF(SIGAF!$B$2:$B$500,$A76,SIGAF!$K$2:$K$500)</f>
        <v>12048324</v>
      </c>
      <c r="L76" s="175">
        <f t="shared" si="6"/>
        <v>0.74925291269833871</v>
      </c>
      <c r="M76" s="13">
        <f>SUMIF(SIGAF!$B$2:$B$500,$A76,SIGAF!$L$2:$L$500)</f>
        <v>10979524</v>
      </c>
      <c r="N76" s="68">
        <f t="shared" si="24"/>
        <v>0.68278711105721546</v>
      </c>
      <c r="O76" s="90">
        <f ca="1">SUMIF(SIGAF!$B$2:$B$500,$A76,SIGAF!$M$2:$M$364)</f>
        <v>1066665</v>
      </c>
      <c r="P76" s="68">
        <f t="shared" ca="1" si="25"/>
        <v>6.6333031724858452E-2</v>
      </c>
      <c r="Q76" s="13">
        <f ca="1">SUMIF(SIGAF!$B$2:$B$500,$A76,SIGAF!$N$2:$N$364)</f>
        <v>1066665</v>
      </c>
      <c r="R76" s="68">
        <f t="shared" ca="1" si="26"/>
        <v>6.6333031724858452E-2</v>
      </c>
    </row>
    <row r="77" spans="1:18" x14ac:dyDescent="0.25">
      <c r="A77" s="11" t="s">
        <v>325</v>
      </c>
      <c r="B77" s="11" t="s">
        <v>556</v>
      </c>
      <c r="C77" s="13">
        <f>SUMIF(SIGAF!$B$2:$B$500,$A77,SIGAF!$F$2:$F$500)</f>
        <v>225000</v>
      </c>
      <c r="D77" s="13">
        <f ca="1">SUMIF(SIGAF!$B$2:$B$500,$A77,SIGAF!$G$2:$G$364)</f>
        <v>225000</v>
      </c>
      <c r="E77" s="13">
        <f>SUMIF(SIGAF!$B$2:$B$500,$A77,SIGAF!$H$2:$H$500)</f>
        <v>0</v>
      </c>
      <c r="F77" s="68">
        <f t="shared" si="22"/>
        <v>0</v>
      </c>
      <c r="G77" s="163">
        <f>SUMIF(SIGAF!$B$2:$B$500,$A77,SIGAF!$I$2:$I$500)</f>
        <v>0</v>
      </c>
      <c r="H77" s="68">
        <f t="shared" si="23"/>
        <v>0</v>
      </c>
      <c r="I77" s="13">
        <f>SUMIF(SIGAF!$B$2:$B$500,$A77,SIGAF!$J$2:$J$500)</f>
        <v>0</v>
      </c>
      <c r="J77" s="68">
        <f t="shared" si="23"/>
        <v>0</v>
      </c>
      <c r="K77" s="13">
        <f>SUMIF(SIGAF!$B$2:$B$500,$A77,SIGAF!$K$2:$K$500)</f>
        <v>150000</v>
      </c>
      <c r="L77" s="175">
        <f t="shared" ref="L77:L140" si="27">+IFERROR(+K77/$C77,0)</f>
        <v>0.66666666666666663</v>
      </c>
      <c r="M77" s="13">
        <f>SUMIF(SIGAF!$B$2:$B$500,$A77,SIGAF!$L$2:$L$500)</f>
        <v>150000</v>
      </c>
      <c r="N77" s="68">
        <f t="shared" si="24"/>
        <v>0.66666666666666663</v>
      </c>
      <c r="O77" s="90">
        <f ca="1">SUMIF(SIGAF!$B$2:$B$500,$A77,SIGAF!$M$2:$M$364)</f>
        <v>75000</v>
      </c>
      <c r="P77" s="68">
        <f t="shared" ca="1" si="25"/>
        <v>0.33333333333333331</v>
      </c>
      <c r="Q77" s="13">
        <f ca="1">SUMIF(SIGAF!$B$2:$B$500,$A77,SIGAF!$N$2:$N$364)</f>
        <v>75000</v>
      </c>
      <c r="R77" s="68">
        <f t="shared" ca="1" si="26"/>
        <v>0.33333333333333331</v>
      </c>
    </row>
    <row r="78" spans="1:18" x14ac:dyDescent="0.25">
      <c r="A78" s="11" t="s">
        <v>160</v>
      </c>
      <c r="B78" s="11" t="s">
        <v>464</v>
      </c>
      <c r="C78" s="13">
        <f>SUMIF(SIGAF!$B$2:$B$500,$A78,SIGAF!$F$2:$F$500)</f>
        <v>12770000</v>
      </c>
      <c r="D78" s="13">
        <f ca="1">SUMIF(SIGAF!$B$2:$B$500,$A78,SIGAF!$G$2:$G$364)</f>
        <v>12770000</v>
      </c>
      <c r="E78" s="13">
        <f>SUMIF(SIGAF!$B$2:$B$500,$A78,SIGAF!$H$2:$H$500)</f>
        <v>0</v>
      </c>
      <c r="F78" s="68">
        <f t="shared" si="22"/>
        <v>0</v>
      </c>
      <c r="G78" s="163">
        <f>SUMIF(SIGAF!$B$2:$B$500,$A78,SIGAF!$I$2:$I$500)</f>
        <v>1023081</v>
      </c>
      <c r="H78" s="68">
        <f t="shared" si="23"/>
        <v>8.0115974941268597E-2</v>
      </c>
      <c r="I78" s="13">
        <f>SUMIF(SIGAF!$B$2:$B$500,$A78,SIGAF!$J$2:$J$500)</f>
        <v>0</v>
      </c>
      <c r="J78" s="68">
        <f t="shared" si="23"/>
        <v>0</v>
      </c>
      <c r="K78" s="13">
        <f>SUMIF(SIGAF!$B$2:$B$500,$A78,SIGAF!$K$2:$K$500)</f>
        <v>8689587</v>
      </c>
      <c r="L78" s="175">
        <f t="shared" si="27"/>
        <v>0.68046883320281915</v>
      </c>
      <c r="M78" s="13">
        <f>SUMIF(SIGAF!$B$2:$B$500,$A78,SIGAF!$L$2:$L$500)</f>
        <v>4637587</v>
      </c>
      <c r="N78" s="68">
        <f t="shared" si="24"/>
        <v>0.3631626468285043</v>
      </c>
      <c r="O78" s="90">
        <f ca="1">SUMIF(SIGAF!$B$2:$B$500,$A78,SIGAF!$M$2:$M$364)</f>
        <v>3057332</v>
      </c>
      <c r="P78" s="68">
        <f t="shared" ca="1" si="25"/>
        <v>0.23941519185591228</v>
      </c>
      <c r="Q78" s="13">
        <f ca="1">SUMIF(SIGAF!$B$2:$B$500,$A78,SIGAF!$N$2:$N$364)</f>
        <v>3057332</v>
      </c>
      <c r="R78" s="68">
        <f t="shared" ca="1" si="26"/>
        <v>0.23941519185591228</v>
      </c>
    </row>
    <row r="79" spans="1:18" x14ac:dyDescent="0.25">
      <c r="A79" s="11" t="s">
        <v>342</v>
      </c>
      <c r="B79" s="11" t="s">
        <v>343</v>
      </c>
      <c r="C79" s="13">
        <f>SUMIF(SIGAF!$B$2:$B$500,$A79,SIGAF!$F$2:$F$500)</f>
        <v>1300000</v>
      </c>
      <c r="D79" s="13">
        <f ca="1">SUMIF(SIGAF!$B$2:$B$500,$A79,SIGAF!$G$2:$G$364)</f>
        <v>1300000</v>
      </c>
      <c r="E79" s="13">
        <f>SUMIF(SIGAF!$B$2:$B$500,$A79,SIGAF!$H$2:$H$500)</f>
        <v>0</v>
      </c>
      <c r="F79" s="68">
        <f t="shared" si="22"/>
        <v>0</v>
      </c>
      <c r="G79" s="163">
        <f>SUMIF(SIGAF!$B$2:$B$500,$A79,SIGAF!$I$2:$I$500)</f>
        <v>0</v>
      </c>
      <c r="H79" s="68">
        <f t="shared" si="23"/>
        <v>0</v>
      </c>
      <c r="I79" s="13">
        <f>SUMIF(SIGAF!$B$2:$B$500,$A79,SIGAF!$J$2:$J$500)</f>
        <v>0</v>
      </c>
      <c r="J79" s="68">
        <f t="shared" si="23"/>
        <v>0</v>
      </c>
      <c r="K79" s="13">
        <f>SUMIF(SIGAF!$B$2:$B$500,$A79,SIGAF!$K$2:$K$500)</f>
        <v>0</v>
      </c>
      <c r="L79" s="175">
        <f t="shared" si="27"/>
        <v>0</v>
      </c>
      <c r="M79" s="13">
        <f>SUMIF(SIGAF!$B$2:$B$500,$A79,SIGAF!$L$2:$L$500)</f>
        <v>0</v>
      </c>
      <c r="N79" s="68">
        <f t="shared" si="24"/>
        <v>0</v>
      </c>
      <c r="O79" s="90">
        <f ca="1">SUMIF(SIGAF!$B$2:$B$500,$A79,SIGAF!$M$2:$M$364)</f>
        <v>1300000</v>
      </c>
      <c r="P79" s="68">
        <f t="shared" ca="1" si="25"/>
        <v>1</v>
      </c>
      <c r="Q79" s="13">
        <f ca="1">SUMIF(SIGAF!$B$2:$B$500,$A79,SIGAF!$N$2:$N$364)</f>
        <v>1300000</v>
      </c>
      <c r="R79" s="68">
        <f t="shared" ca="1" si="26"/>
        <v>1</v>
      </c>
    </row>
    <row r="80" spans="1:18" x14ac:dyDescent="0.25">
      <c r="A80" s="11" t="s">
        <v>162</v>
      </c>
      <c r="B80" s="11" t="s">
        <v>465</v>
      </c>
      <c r="C80" s="13">
        <f>SUMIF(SIGAF!$B$2:$B$500,$A80,SIGAF!$F$2:$F$500)</f>
        <v>139006</v>
      </c>
      <c r="D80" s="13">
        <f ca="1">SUMIF(SIGAF!$B$2:$B$500,$A80,SIGAF!$G$2:$G$364)</f>
        <v>139006</v>
      </c>
      <c r="E80" s="13">
        <f>SUMIF(SIGAF!$B$2:$B$500,$A80,SIGAF!$H$2:$H$500)</f>
        <v>0</v>
      </c>
      <c r="F80" s="68">
        <f t="shared" si="22"/>
        <v>0</v>
      </c>
      <c r="G80" s="163">
        <f>SUMIF(SIGAF!$B$2:$B$500,$A80,SIGAF!$I$2:$I$500)</f>
        <v>0</v>
      </c>
      <c r="H80" s="68">
        <f t="shared" si="23"/>
        <v>0</v>
      </c>
      <c r="I80" s="13">
        <f>SUMIF(SIGAF!$B$2:$B$500,$A80,SIGAF!$J$2:$J$500)</f>
        <v>0</v>
      </c>
      <c r="J80" s="68">
        <f t="shared" si="23"/>
        <v>0</v>
      </c>
      <c r="K80" s="13">
        <f>SUMIF(SIGAF!$B$2:$B$500,$A80,SIGAF!$K$2:$K$500)</f>
        <v>16005.15</v>
      </c>
      <c r="L80" s="175">
        <f t="shared" si="27"/>
        <v>0.11513999395709537</v>
      </c>
      <c r="M80" s="13">
        <f>SUMIF(SIGAF!$B$2:$B$500,$A80,SIGAF!$L$2:$L$500)</f>
        <v>16005.15</v>
      </c>
      <c r="N80" s="68">
        <f t="shared" si="24"/>
        <v>0.11513999395709537</v>
      </c>
      <c r="O80" s="90">
        <f ca="1">SUMIF(SIGAF!$B$2:$B$500,$A80,SIGAF!$M$2:$M$364)</f>
        <v>123000.85</v>
      </c>
      <c r="P80" s="68">
        <f t="shared" ca="1" si="25"/>
        <v>0.88486000604290471</v>
      </c>
      <c r="Q80" s="13">
        <f ca="1">SUMIF(SIGAF!$B$2:$B$500,$A80,SIGAF!$N$2:$N$364)</f>
        <v>123000.85</v>
      </c>
      <c r="R80" s="68">
        <f t="shared" ca="1" si="26"/>
        <v>0.88486000604290471</v>
      </c>
    </row>
    <row r="81" spans="1:18" x14ac:dyDescent="0.25">
      <c r="A81" s="11" t="s">
        <v>344</v>
      </c>
      <c r="B81" s="11" t="s">
        <v>466</v>
      </c>
      <c r="C81" s="13">
        <f>SUMIF(SIGAF!$B$2:$B$500,$A81,SIGAF!$F$2:$F$500)</f>
        <v>2900000</v>
      </c>
      <c r="D81" s="13">
        <f ca="1">SUMIF(SIGAF!$B$2:$B$500,$A81,SIGAF!$G$2:$G$364)</f>
        <v>2900000</v>
      </c>
      <c r="E81" s="13">
        <f>SUMIF(SIGAF!$B$2:$B$500,$A81,SIGAF!$H$2:$H$500)</f>
        <v>0</v>
      </c>
      <c r="F81" s="68">
        <f t="shared" si="22"/>
        <v>0</v>
      </c>
      <c r="G81" s="163">
        <f>SUMIF(SIGAF!$B$2:$B$500,$A81,SIGAF!$I$2:$I$500)</f>
        <v>594848.31999999995</v>
      </c>
      <c r="H81" s="68">
        <f t="shared" si="23"/>
        <v>0.20512011034482758</v>
      </c>
      <c r="I81" s="13">
        <f>SUMIF(SIGAF!$B$2:$B$500,$A81,SIGAF!$J$2:$J$500)</f>
        <v>0</v>
      </c>
      <c r="J81" s="68">
        <f t="shared" si="23"/>
        <v>0</v>
      </c>
      <c r="K81" s="13">
        <f>SUMIF(SIGAF!$B$2:$B$500,$A81,SIGAF!$K$2:$K$500)</f>
        <v>470343.76</v>
      </c>
      <c r="L81" s="175">
        <f t="shared" si="27"/>
        <v>0.16218750344827587</v>
      </c>
      <c r="M81" s="13">
        <f>SUMIF(SIGAF!$B$2:$B$500,$A81,SIGAF!$L$2:$L$500)</f>
        <v>470343.76</v>
      </c>
      <c r="N81" s="68">
        <f t="shared" si="24"/>
        <v>0.16218750344827587</v>
      </c>
      <c r="O81" s="90">
        <f ca="1">SUMIF(SIGAF!$B$2:$B$500,$A81,SIGAF!$M$2:$M$364)</f>
        <v>1834807.92</v>
      </c>
      <c r="P81" s="68">
        <f t="shared" ca="1" si="25"/>
        <v>0.6326923862068965</v>
      </c>
      <c r="Q81" s="13">
        <f ca="1">SUMIF(SIGAF!$B$2:$B$500,$A81,SIGAF!$N$2:$N$364)</f>
        <v>1834807.92</v>
      </c>
      <c r="R81" s="68">
        <f t="shared" ca="1" si="26"/>
        <v>0.6326923862068965</v>
      </c>
    </row>
    <row r="82" spans="1:18" x14ac:dyDescent="0.25">
      <c r="A82" s="11" t="s">
        <v>164</v>
      </c>
      <c r="B82" s="11" t="s">
        <v>467</v>
      </c>
      <c r="C82" s="13">
        <f>SUMIF(SIGAF!$B$2:$B$500,$A82,SIGAF!$F$2:$F$500)</f>
        <v>592185205</v>
      </c>
      <c r="D82" s="13">
        <f ca="1">SUMIF(SIGAF!$B$2:$B$500,$A82,SIGAF!$G$2:$G$364)</f>
        <v>592185205</v>
      </c>
      <c r="E82" s="13">
        <f>SUMIF(SIGAF!$B$2:$B$500,$A82,SIGAF!$H$2:$H$500)</f>
        <v>0</v>
      </c>
      <c r="F82" s="68">
        <f t="shared" si="22"/>
        <v>0</v>
      </c>
      <c r="G82" s="163">
        <f>SUMIF(SIGAF!$B$2:$B$500,$A82,SIGAF!$I$2:$I$500)</f>
        <v>21395732.240000002</v>
      </c>
      <c r="H82" s="68">
        <f t="shared" si="23"/>
        <v>3.6130136415684348E-2</v>
      </c>
      <c r="I82" s="13">
        <f>SUMIF(SIGAF!$B$2:$B$500,$A82,SIGAF!$J$2:$J$500)</f>
        <v>0</v>
      </c>
      <c r="J82" s="68">
        <f t="shared" si="23"/>
        <v>0</v>
      </c>
      <c r="K82" s="13">
        <f>SUMIF(SIGAF!$B$2:$B$500,$A82,SIGAF!$K$2:$K$500)</f>
        <v>497431883.63999999</v>
      </c>
      <c r="L82" s="175">
        <f t="shared" si="27"/>
        <v>0.83999377127295838</v>
      </c>
      <c r="M82" s="13">
        <f>SUMIF(SIGAF!$B$2:$B$500,$A82,SIGAF!$L$2:$L$500)</f>
        <v>394289638.75</v>
      </c>
      <c r="N82" s="68">
        <f t="shared" si="24"/>
        <v>0.66582149540530988</v>
      </c>
      <c r="O82" s="90">
        <f ca="1">SUMIF(SIGAF!$B$2:$B$500,$A82,SIGAF!$M$2:$M$364)</f>
        <v>73357589.120000005</v>
      </c>
      <c r="P82" s="68">
        <f t="shared" ca="1" si="25"/>
        <v>0.12387609231135722</v>
      </c>
      <c r="Q82" s="13">
        <f ca="1">SUMIF(SIGAF!$B$2:$B$500,$A82,SIGAF!$N$2:$N$364)</f>
        <v>73357589.120000005</v>
      </c>
      <c r="R82" s="68">
        <f t="shared" ca="1" si="26"/>
        <v>0.12387609231135722</v>
      </c>
    </row>
    <row r="83" spans="1:18" x14ac:dyDescent="0.25">
      <c r="A83" s="11" t="s">
        <v>381</v>
      </c>
      <c r="B83" s="11" t="s">
        <v>468</v>
      </c>
      <c r="C83" s="13">
        <f>SUMIF(SIGAF!$B$2:$B$500,$A83,SIGAF!$F$2:$F$500)</f>
        <v>3900000</v>
      </c>
      <c r="D83" s="13">
        <f ca="1">SUMIF(SIGAF!$B$2:$B$500,$A83,SIGAF!$G$2:$G$364)</f>
        <v>3900000</v>
      </c>
      <c r="E83" s="13">
        <f>SUMIF(SIGAF!$B$2:$B$500,$A83,SIGAF!$H$2:$H$500)</f>
        <v>0</v>
      </c>
      <c r="F83" s="68">
        <f t="shared" si="22"/>
        <v>0</v>
      </c>
      <c r="G83" s="163">
        <f>SUMIF(SIGAF!$B$2:$B$500,$A83,SIGAF!$I$2:$I$500)</f>
        <v>1849000</v>
      </c>
      <c r="H83" s="68">
        <f t="shared" si="23"/>
        <v>0.47410256410256413</v>
      </c>
      <c r="I83" s="13">
        <f>SUMIF(SIGAF!$B$2:$B$500,$A83,SIGAF!$J$2:$J$500)</f>
        <v>0</v>
      </c>
      <c r="J83" s="68">
        <f t="shared" si="23"/>
        <v>0</v>
      </c>
      <c r="K83" s="13">
        <f>SUMIF(SIGAF!$B$2:$B$500,$A83,SIGAF!$K$2:$K$500)</f>
        <v>2050000</v>
      </c>
      <c r="L83" s="175">
        <f t="shared" si="27"/>
        <v>0.52564102564102566</v>
      </c>
      <c r="M83" s="13">
        <f>SUMIF(SIGAF!$B$2:$B$500,$A83,SIGAF!$L$2:$L$500)</f>
        <v>2050000</v>
      </c>
      <c r="N83" s="68">
        <f t="shared" si="24"/>
        <v>0.52564102564102566</v>
      </c>
      <c r="O83" s="90">
        <f ca="1">SUMIF(SIGAF!$B$2:$B$500,$A83,SIGAF!$M$2:$M$364)</f>
        <v>1000</v>
      </c>
      <c r="P83" s="68">
        <f t="shared" ca="1" si="25"/>
        <v>2.5641025641025641E-4</v>
      </c>
      <c r="Q83" s="13">
        <f ca="1">SUMIF(SIGAF!$B$2:$B$500,$A83,SIGAF!$N$2:$N$364)</f>
        <v>1000</v>
      </c>
      <c r="R83" s="68">
        <f t="shared" ca="1" si="26"/>
        <v>2.5641025641025641E-4</v>
      </c>
    </row>
    <row r="84" spans="1:18" x14ac:dyDescent="0.25">
      <c r="A84" s="11" t="s">
        <v>346</v>
      </c>
      <c r="B84" s="11" t="s">
        <v>557</v>
      </c>
      <c r="C84" s="13">
        <f>SUMIF(SIGAF!$B$2:$B$500,$A84,SIGAF!$F$2:$F$500)</f>
        <v>2000000</v>
      </c>
      <c r="D84" s="13">
        <f ca="1">SUMIF(SIGAF!$B$2:$B$500,$A84,SIGAF!$G$2:$G$364)</f>
        <v>2000000</v>
      </c>
      <c r="E84" s="13">
        <f>SUMIF(SIGAF!$B$2:$B$500,$A84,SIGAF!$H$2:$H$500)</f>
        <v>0</v>
      </c>
      <c r="F84" s="68">
        <f t="shared" si="22"/>
        <v>0</v>
      </c>
      <c r="G84" s="163">
        <f>SUMIF(SIGAF!$B$2:$B$500,$A84,SIGAF!$I$2:$I$500)</f>
        <v>0</v>
      </c>
      <c r="H84" s="68">
        <f t="shared" si="23"/>
        <v>0</v>
      </c>
      <c r="I84" s="13">
        <f>SUMIF(SIGAF!$B$2:$B$500,$A84,SIGAF!$J$2:$J$500)</f>
        <v>0</v>
      </c>
      <c r="J84" s="68">
        <f t="shared" si="23"/>
        <v>0</v>
      </c>
      <c r="K84" s="13">
        <f>SUMIF(SIGAF!$B$2:$B$500,$A84,SIGAF!$K$2:$K$500)</f>
        <v>0</v>
      </c>
      <c r="L84" s="175">
        <f t="shared" si="27"/>
        <v>0</v>
      </c>
      <c r="M84" s="13">
        <f>SUMIF(SIGAF!$B$2:$B$500,$A84,SIGAF!$L$2:$L$500)</f>
        <v>0</v>
      </c>
      <c r="N84" s="68">
        <f t="shared" si="24"/>
        <v>0</v>
      </c>
      <c r="O84" s="90">
        <f ca="1">SUMIF(SIGAF!$B$2:$B$500,$A84,SIGAF!$M$2:$M$364)</f>
        <v>2000000</v>
      </c>
      <c r="P84" s="68">
        <f t="shared" ca="1" si="25"/>
        <v>1</v>
      </c>
      <c r="Q84" s="13">
        <f ca="1">SUMIF(SIGAF!$B$2:$B$500,$A84,SIGAF!$N$2:$N$364)</f>
        <v>2000000</v>
      </c>
      <c r="R84" s="68">
        <f t="shared" ca="1" si="26"/>
        <v>1</v>
      </c>
    </row>
    <row r="85" spans="1:18" x14ac:dyDescent="0.25">
      <c r="A85" s="11" t="s">
        <v>348</v>
      </c>
      <c r="B85" s="11" t="s">
        <v>469</v>
      </c>
      <c r="C85" s="13">
        <f>SUMIF(SIGAF!$B$2:$B$500,$A85,SIGAF!$F$2:$F$500)</f>
        <v>69559145</v>
      </c>
      <c r="D85" s="13">
        <f ca="1">SUMIF(SIGAF!$B$2:$B$500,$A85,SIGAF!$G$2:$G$364)</f>
        <v>69559145</v>
      </c>
      <c r="E85" s="13">
        <f>SUMIF(SIGAF!$B$2:$B$500,$A85,SIGAF!$H$2:$H$500)</f>
        <v>0</v>
      </c>
      <c r="F85" s="68">
        <f t="shared" si="22"/>
        <v>0</v>
      </c>
      <c r="G85" s="163">
        <f>SUMIF(SIGAF!$B$2:$B$500,$A85,SIGAF!$I$2:$I$500)</f>
        <v>4592468.66</v>
      </c>
      <c r="H85" s="68">
        <f t="shared" si="23"/>
        <v>6.6022500132800657E-2</v>
      </c>
      <c r="I85" s="13">
        <f>SUMIF(SIGAF!$B$2:$B$500,$A85,SIGAF!$J$2:$J$500)</f>
        <v>0</v>
      </c>
      <c r="J85" s="68">
        <f t="shared" si="23"/>
        <v>0</v>
      </c>
      <c r="K85" s="13">
        <f>SUMIF(SIGAF!$B$2:$B$500,$A85,SIGAF!$K$2:$K$500)</f>
        <v>51273105.239999995</v>
      </c>
      <c r="L85" s="175">
        <f t="shared" si="27"/>
        <v>0.73711523107421739</v>
      </c>
      <c r="M85" s="13">
        <f>SUMIF(SIGAF!$B$2:$B$500,$A85,SIGAF!$L$2:$L$500)</f>
        <v>29390059.800000001</v>
      </c>
      <c r="N85" s="68">
        <f t="shared" si="24"/>
        <v>0.42251899157184869</v>
      </c>
      <c r="O85" s="90">
        <f ca="1">SUMIF(SIGAF!$B$2:$B$500,$A85,SIGAF!$M$2:$M$364)</f>
        <v>13693571.100000001</v>
      </c>
      <c r="P85" s="68">
        <f t="shared" ca="1" si="25"/>
        <v>0.19686226879298188</v>
      </c>
      <c r="Q85" s="13">
        <f ca="1">SUMIF(SIGAF!$B$2:$B$500,$A85,SIGAF!$N$2:$N$364)</f>
        <v>13693571.100000001</v>
      </c>
      <c r="R85" s="68">
        <f t="shared" ca="1" si="26"/>
        <v>0.19686226879298188</v>
      </c>
    </row>
    <row r="86" spans="1:18" x14ac:dyDescent="0.25">
      <c r="A86" s="11" t="s">
        <v>166</v>
      </c>
      <c r="B86" s="11" t="s">
        <v>470</v>
      </c>
      <c r="C86" s="13">
        <f>SUMIF(SIGAF!$B$2:$B$500,$A86,SIGAF!$F$2:$F$500)</f>
        <v>20200000</v>
      </c>
      <c r="D86" s="13">
        <f ca="1">SUMIF(SIGAF!$B$2:$B$500,$A86,SIGAF!$G$2:$G$364)</f>
        <v>20200000</v>
      </c>
      <c r="E86" s="13">
        <f>SUMIF(SIGAF!$B$2:$B$500,$A86,SIGAF!$H$2:$H$500)</f>
        <v>0</v>
      </c>
      <c r="F86" s="68">
        <f t="shared" si="22"/>
        <v>0</v>
      </c>
      <c r="G86" s="163">
        <f>SUMIF(SIGAF!$B$2:$B$500,$A86,SIGAF!$I$2:$I$500)</f>
        <v>0</v>
      </c>
      <c r="H86" s="68">
        <f t="shared" si="23"/>
        <v>0</v>
      </c>
      <c r="I86" s="13">
        <f>SUMIF(SIGAF!$B$2:$B$500,$A86,SIGAF!$J$2:$J$500)</f>
        <v>0</v>
      </c>
      <c r="J86" s="68">
        <f t="shared" si="23"/>
        <v>0</v>
      </c>
      <c r="K86" s="13">
        <f>SUMIF(SIGAF!$B$2:$B$500,$A86,SIGAF!$K$2:$K$500)</f>
        <v>20200000</v>
      </c>
      <c r="L86" s="175">
        <f t="shared" si="27"/>
        <v>1</v>
      </c>
      <c r="M86" s="13">
        <f>SUMIF(SIGAF!$B$2:$B$500,$A86,SIGAF!$L$2:$L$500)</f>
        <v>0</v>
      </c>
      <c r="N86" s="68">
        <f t="shared" si="24"/>
        <v>0</v>
      </c>
      <c r="O86" s="90">
        <f ca="1">SUMIF(SIGAF!$B$2:$B$500,$A86,SIGAF!$M$2:$M$364)</f>
        <v>0</v>
      </c>
      <c r="P86" s="68">
        <f t="shared" ca="1" si="25"/>
        <v>0</v>
      </c>
      <c r="Q86" s="13">
        <f ca="1">SUMIF(SIGAF!$B$2:$B$500,$A86,SIGAF!$N$2:$N$364)</f>
        <v>0</v>
      </c>
      <c r="R86" s="68">
        <f t="shared" ca="1" si="26"/>
        <v>0</v>
      </c>
    </row>
    <row r="87" spans="1:18" x14ac:dyDescent="0.25">
      <c r="A87" s="11" t="s">
        <v>350</v>
      </c>
      <c r="B87" s="11" t="s">
        <v>471</v>
      </c>
      <c r="C87" s="13">
        <f>SUMIF(SIGAF!$B$2:$B$500,$A87,SIGAF!$F$2:$F$500)</f>
        <v>40624000</v>
      </c>
      <c r="D87" s="13">
        <f ca="1">SUMIF(SIGAF!$B$2:$B$500,$A87,SIGAF!$G$2:$G$364)</f>
        <v>40624000</v>
      </c>
      <c r="E87" s="13">
        <f>SUMIF(SIGAF!$B$2:$B$500,$A87,SIGAF!$H$2:$H$500)</f>
        <v>0</v>
      </c>
      <c r="F87" s="68">
        <f t="shared" si="22"/>
        <v>0</v>
      </c>
      <c r="G87" s="163">
        <f>SUMIF(SIGAF!$B$2:$B$500,$A87,SIGAF!$I$2:$I$500)</f>
        <v>0</v>
      </c>
      <c r="H87" s="68">
        <f t="shared" si="23"/>
        <v>0</v>
      </c>
      <c r="I87" s="13">
        <f>SUMIF(SIGAF!$B$2:$B$500,$A87,SIGAF!$J$2:$J$500)</f>
        <v>0</v>
      </c>
      <c r="J87" s="68">
        <f t="shared" si="23"/>
        <v>0</v>
      </c>
      <c r="K87" s="13">
        <f>SUMIF(SIGAF!$B$2:$B$500,$A87,SIGAF!$K$2:$K$500)</f>
        <v>19432447</v>
      </c>
      <c r="L87" s="175">
        <f t="shared" si="27"/>
        <v>0.47834893166601022</v>
      </c>
      <c r="M87" s="13">
        <f>SUMIF(SIGAF!$B$2:$B$500,$A87,SIGAF!$L$2:$L$500)</f>
        <v>13592902.199999999</v>
      </c>
      <c r="N87" s="68">
        <f t="shared" si="24"/>
        <v>0.3346027520677432</v>
      </c>
      <c r="O87" s="90">
        <f ca="1">SUMIF(SIGAF!$B$2:$B$500,$A87,SIGAF!$M$2:$M$364)</f>
        <v>21191553</v>
      </c>
      <c r="P87" s="68">
        <f t="shared" ca="1" si="25"/>
        <v>0.52165106833398978</v>
      </c>
      <c r="Q87" s="13">
        <f ca="1">SUMIF(SIGAF!$B$2:$B$500,$A87,SIGAF!$N$2:$N$364)</f>
        <v>21191553</v>
      </c>
      <c r="R87" s="68">
        <f t="shared" ca="1" si="26"/>
        <v>0.52165106833398978</v>
      </c>
    </row>
    <row r="88" spans="1:18" x14ac:dyDescent="0.25">
      <c r="A88" s="11" t="s">
        <v>168</v>
      </c>
      <c r="B88" s="11" t="s">
        <v>169</v>
      </c>
      <c r="C88" s="13">
        <f>SUMIF(SIGAF!$B$2:$B$500,$A88,SIGAF!$F$2:$F$500)</f>
        <v>402625880</v>
      </c>
      <c r="D88" s="13">
        <f ca="1">SUMIF(SIGAF!$B$2:$B$500,$A88,SIGAF!$G$2:$G$364)</f>
        <v>402625880</v>
      </c>
      <c r="E88" s="13">
        <f>SUMIF(SIGAF!$B$2:$B$500,$A88,SIGAF!$H$2:$H$500)</f>
        <v>0</v>
      </c>
      <c r="F88" s="68">
        <f t="shared" si="22"/>
        <v>0</v>
      </c>
      <c r="G88" s="163">
        <f>SUMIF(SIGAF!$B$2:$B$500,$A88,SIGAF!$I$2:$I$500)</f>
        <v>14389767.58</v>
      </c>
      <c r="H88" s="68">
        <f t="shared" si="23"/>
        <v>3.5739797898734181E-2</v>
      </c>
      <c r="I88" s="13">
        <f>SUMIF(SIGAF!$B$2:$B$500,$A88,SIGAF!$J$2:$J$500)</f>
        <v>0</v>
      </c>
      <c r="J88" s="68">
        <f t="shared" si="23"/>
        <v>0</v>
      </c>
      <c r="K88" s="13">
        <f>SUMIF(SIGAF!$B$2:$B$500,$A88,SIGAF!$K$2:$K$500)</f>
        <v>363284466.79000002</v>
      </c>
      <c r="L88" s="175">
        <f t="shared" si="27"/>
        <v>0.90228791748309878</v>
      </c>
      <c r="M88" s="13">
        <f>SUMIF(SIGAF!$B$2:$B$500,$A88,SIGAF!$L$2:$L$500)</f>
        <v>308853124.63999999</v>
      </c>
      <c r="N88" s="68">
        <f t="shared" si="24"/>
        <v>0.76709704959850067</v>
      </c>
      <c r="O88" s="90">
        <f ca="1">SUMIF(SIGAF!$B$2:$B$500,$A88,SIGAF!$M$2:$M$364)</f>
        <v>24951645.630000003</v>
      </c>
      <c r="P88" s="68">
        <f t="shared" ca="1" si="25"/>
        <v>6.1972284618167124E-2</v>
      </c>
      <c r="Q88" s="13">
        <f ca="1">SUMIF(SIGAF!$B$2:$B$500,$A88,SIGAF!$N$2:$N$364)</f>
        <v>24951645.630000003</v>
      </c>
      <c r="R88" s="68">
        <f t="shared" ca="1" si="26"/>
        <v>6.1972284618167124E-2</v>
      </c>
    </row>
    <row r="89" spans="1:18" x14ac:dyDescent="0.25">
      <c r="A89" s="11" t="s">
        <v>170</v>
      </c>
      <c r="B89" s="11" t="s">
        <v>472</v>
      </c>
      <c r="C89" s="13">
        <f>SUMIF(SIGAF!$B$2:$B$500,$A89,SIGAF!$F$2:$F$500)</f>
        <v>53276180</v>
      </c>
      <c r="D89" s="13">
        <f ca="1">SUMIF(SIGAF!$B$2:$B$500,$A89,SIGAF!$G$2:$G$364)</f>
        <v>53276180</v>
      </c>
      <c r="E89" s="13">
        <f>SUMIF(SIGAF!$B$2:$B$500,$A89,SIGAF!$H$2:$H$500)</f>
        <v>0</v>
      </c>
      <c r="F89" s="68">
        <f t="shared" si="22"/>
        <v>0</v>
      </c>
      <c r="G89" s="163">
        <f>SUMIF(SIGAF!$B$2:$B$500,$A89,SIGAF!$I$2:$I$500)</f>
        <v>564496</v>
      </c>
      <c r="H89" s="68">
        <f t="shared" si="23"/>
        <v>1.0595654568326783E-2</v>
      </c>
      <c r="I89" s="13">
        <f>SUMIF(SIGAF!$B$2:$B$500,$A89,SIGAF!$J$2:$J$500)</f>
        <v>0</v>
      </c>
      <c r="J89" s="68">
        <f t="shared" si="23"/>
        <v>0</v>
      </c>
      <c r="K89" s="13">
        <f>SUMIF(SIGAF!$B$2:$B$500,$A89,SIGAF!$K$2:$K$500)</f>
        <v>41191864.609999999</v>
      </c>
      <c r="L89" s="175">
        <f t="shared" si="27"/>
        <v>0.77317601618584519</v>
      </c>
      <c r="M89" s="13">
        <f>SUMIF(SIGAF!$B$2:$B$500,$A89,SIGAF!$L$2:$L$500)</f>
        <v>40403552.109999999</v>
      </c>
      <c r="N89" s="68">
        <f t="shared" si="24"/>
        <v>0.75837930028016276</v>
      </c>
      <c r="O89" s="90">
        <f ca="1">SUMIF(SIGAF!$B$2:$B$500,$A89,SIGAF!$M$2:$M$364)</f>
        <v>11519819.390000001</v>
      </c>
      <c r="P89" s="68">
        <f t="shared" ca="1" si="25"/>
        <v>0.21622832924582808</v>
      </c>
      <c r="Q89" s="13">
        <f ca="1">SUMIF(SIGAF!$B$2:$B$500,$A89,SIGAF!$N$2:$N$364)</f>
        <v>11519819.390000001</v>
      </c>
      <c r="R89" s="68">
        <f t="shared" ca="1" si="26"/>
        <v>0.21622832924582808</v>
      </c>
    </row>
    <row r="90" spans="1:18" x14ac:dyDescent="0.25">
      <c r="A90" s="11" t="s">
        <v>172</v>
      </c>
      <c r="B90" s="11" t="s">
        <v>473</v>
      </c>
      <c r="C90" s="13">
        <f>SUMIF(SIGAF!$B$2:$B$500,$A90,SIGAF!$F$2:$F$500)</f>
        <v>230031914.63999999</v>
      </c>
      <c r="D90" s="13">
        <f ca="1">SUMIF(SIGAF!$B$2:$B$500,$A90,SIGAF!$G$2:$G$364)</f>
        <v>230031893.74000001</v>
      </c>
      <c r="E90" s="13">
        <f>SUMIF(SIGAF!$B$2:$B$500,$A90,SIGAF!$H$2:$H$500)</f>
        <v>32550</v>
      </c>
      <c r="F90" s="68">
        <f t="shared" si="22"/>
        <v>1.4150210439686493E-4</v>
      </c>
      <c r="G90" s="163">
        <f>SUMIF(SIGAF!$B$2:$B$500,$A90,SIGAF!$I$2:$I$500)</f>
        <v>34126970.25</v>
      </c>
      <c r="H90" s="68">
        <f t="shared" si="23"/>
        <v>0.14835754553192637</v>
      </c>
      <c r="I90" s="13">
        <f>SUMIF(SIGAF!$B$2:$B$500,$A90,SIGAF!$J$2:$J$500)</f>
        <v>0</v>
      </c>
      <c r="J90" s="68">
        <f t="shared" si="23"/>
        <v>0</v>
      </c>
      <c r="K90" s="13">
        <f>SUMIF(SIGAF!$B$2:$B$500,$A90,SIGAF!$K$2:$K$500)</f>
        <v>163576958.75</v>
      </c>
      <c r="L90" s="175">
        <f t="shared" si="27"/>
        <v>0.7111054959743216</v>
      </c>
      <c r="M90" s="13">
        <f>SUMIF(SIGAF!$B$2:$B$500,$A90,SIGAF!$L$2:$L$500)</f>
        <v>165478319.28</v>
      </c>
      <c r="N90" s="68">
        <f t="shared" si="24"/>
        <v>0.71937113395318919</v>
      </c>
      <c r="O90" s="90">
        <f ca="1">SUMIF(SIGAF!$B$2:$B$500,$A90,SIGAF!$M$2:$M$364)</f>
        <v>32295435.640000001</v>
      </c>
      <c r="P90" s="68">
        <f t="shared" ca="1" si="25"/>
        <v>0.14039545638935522</v>
      </c>
      <c r="Q90" s="13">
        <f ca="1">SUMIF(SIGAF!$B$2:$B$500,$A90,SIGAF!$N$2:$N$364)</f>
        <v>32295414.740000002</v>
      </c>
      <c r="R90" s="68">
        <f t="shared" ca="1" si="26"/>
        <v>0.14039536553239726</v>
      </c>
    </row>
    <row r="91" spans="1:18" x14ac:dyDescent="0.25">
      <c r="A91" s="11" t="s">
        <v>174</v>
      </c>
      <c r="B91" s="11" t="s">
        <v>474</v>
      </c>
      <c r="C91" s="13">
        <f>SUMIF(SIGAF!$B$2:$B$500,$A91,SIGAF!$F$2:$F$500)</f>
        <v>10627500</v>
      </c>
      <c r="D91" s="13">
        <f ca="1">SUMIF(SIGAF!$B$2:$B$500,$A91,SIGAF!$G$2:$G$364)</f>
        <v>10627499.199999999</v>
      </c>
      <c r="E91" s="13">
        <f>SUMIF(SIGAF!$B$2:$B$500,$A91,SIGAF!$H$2:$H$500)</f>
        <v>0</v>
      </c>
      <c r="F91" s="68">
        <f t="shared" si="22"/>
        <v>0</v>
      </c>
      <c r="G91" s="163">
        <f>SUMIF(SIGAF!$B$2:$B$500,$A91,SIGAF!$I$2:$I$500)</f>
        <v>1602209.2</v>
      </c>
      <c r="H91" s="68">
        <f t="shared" si="23"/>
        <v>0.15076068689720065</v>
      </c>
      <c r="I91" s="13">
        <f>SUMIF(SIGAF!$B$2:$B$500,$A91,SIGAF!$J$2:$J$500)</f>
        <v>0</v>
      </c>
      <c r="J91" s="68">
        <f t="shared" si="23"/>
        <v>0</v>
      </c>
      <c r="K91" s="13">
        <f>SUMIF(SIGAF!$B$2:$B$500,$A91,SIGAF!$K$2:$K$500)</f>
        <v>8584260</v>
      </c>
      <c r="L91" s="175">
        <f t="shared" si="27"/>
        <v>0.80774029640084688</v>
      </c>
      <c r="M91" s="13">
        <f>SUMIF(SIGAF!$B$2:$B$500,$A91,SIGAF!$L$2:$L$500)</f>
        <v>8627760</v>
      </c>
      <c r="N91" s="68">
        <f t="shared" si="24"/>
        <v>0.81183345095271697</v>
      </c>
      <c r="O91" s="90">
        <f ca="1">SUMIF(SIGAF!$B$2:$B$500,$A91,SIGAF!$M$2:$M$364)</f>
        <v>441030.8</v>
      </c>
      <c r="P91" s="68">
        <f t="shared" ca="1" si="25"/>
        <v>4.1499016701952482E-2</v>
      </c>
      <c r="Q91" s="13">
        <f ca="1">SUMIF(SIGAF!$B$2:$B$500,$A91,SIGAF!$N$2:$N$364)</f>
        <v>441030</v>
      </c>
      <c r="R91" s="68">
        <f t="shared" ca="1" si="26"/>
        <v>4.1498941425546929E-2</v>
      </c>
    </row>
    <row r="92" spans="1:18" x14ac:dyDescent="0.25">
      <c r="A92" s="11" t="s">
        <v>176</v>
      </c>
      <c r="B92" s="11" t="s">
        <v>475</v>
      </c>
      <c r="C92" s="13">
        <f>SUMIF(SIGAF!$B$2:$B$500,$A92,SIGAF!$F$2:$F$500)</f>
        <v>190400398</v>
      </c>
      <c r="D92" s="13">
        <f ca="1">SUMIF(SIGAF!$B$2:$B$500,$A92,SIGAF!$G$2:$G$364)</f>
        <v>190400377.90000001</v>
      </c>
      <c r="E92" s="13">
        <f>SUMIF(SIGAF!$B$2:$B$500,$A92,SIGAF!$H$2:$H$500)</f>
        <v>32550</v>
      </c>
      <c r="F92" s="68">
        <f t="shared" si="22"/>
        <v>1.7095552499842988E-4</v>
      </c>
      <c r="G92" s="163">
        <f>SUMIF(SIGAF!$B$2:$B$500,$A92,SIGAF!$I$2:$I$500)</f>
        <v>31925816.559999999</v>
      </c>
      <c r="H92" s="68">
        <f t="shared" si="23"/>
        <v>0.16767725748136303</v>
      </c>
      <c r="I92" s="13">
        <f>SUMIF(SIGAF!$B$2:$B$500,$A92,SIGAF!$J$2:$J$500)</f>
        <v>0</v>
      </c>
      <c r="J92" s="68">
        <f t="shared" si="23"/>
        <v>0</v>
      </c>
      <c r="K92" s="13">
        <f>SUMIF(SIGAF!$B$2:$B$500,$A92,SIGAF!$K$2:$K$500)</f>
        <v>134455625.49000001</v>
      </c>
      <c r="L92" s="175">
        <f t="shared" si="27"/>
        <v>0.70617302748495314</v>
      </c>
      <c r="M92" s="13">
        <f>SUMIF(SIGAF!$B$2:$B$500,$A92,SIGAF!$L$2:$L$500)</f>
        <v>137207275.49000001</v>
      </c>
      <c r="N92" s="68">
        <f t="shared" si="24"/>
        <v>0.72062494055290793</v>
      </c>
      <c r="O92" s="90">
        <f ca="1">SUMIF(SIGAF!$B$2:$B$500,$A92,SIGAF!$M$2:$M$364)</f>
        <v>23986405.949999999</v>
      </c>
      <c r="P92" s="68">
        <f t="shared" ca="1" si="25"/>
        <v>0.12597875950868548</v>
      </c>
      <c r="Q92" s="13">
        <f ca="1">SUMIF(SIGAF!$B$2:$B$500,$A92,SIGAF!$N$2:$N$364)</f>
        <v>23986385.850000001</v>
      </c>
      <c r="R92" s="68">
        <f t="shared" ca="1" si="26"/>
        <v>0.12597865394167926</v>
      </c>
    </row>
    <row r="93" spans="1:18" x14ac:dyDescent="0.25">
      <c r="A93" s="11" t="s">
        <v>178</v>
      </c>
      <c r="B93" s="11" t="s">
        <v>476</v>
      </c>
      <c r="C93" s="13">
        <f>SUMIF(SIGAF!$B$2:$B$500,$A93,SIGAF!$F$2:$F$500)</f>
        <v>12591174</v>
      </c>
      <c r="D93" s="13">
        <f ca="1">SUMIF(SIGAF!$B$2:$B$500,$A93,SIGAF!$G$2:$G$364)</f>
        <v>12591174</v>
      </c>
      <c r="E93" s="13">
        <f>SUMIF(SIGAF!$B$2:$B$500,$A93,SIGAF!$H$2:$H$500)</f>
        <v>0</v>
      </c>
      <c r="F93" s="68">
        <f t="shared" si="22"/>
        <v>0</v>
      </c>
      <c r="G93" s="163">
        <f>SUMIF(SIGAF!$B$2:$B$500,$A93,SIGAF!$I$2:$I$500)</f>
        <v>51150.23</v>
      </c>
      <c r="H93" s="68">
        <f t="shared" si="23"/>
        <v>4.0623876693309142E-3</v>
      </c>
      <c r="I93" s="13">
        <f>SUMIF(SIGAF!$B$2:$B$500,$A93,SIGAF!$J$2:$J$500)</f>
        <v>0</v>
      </c>
      <c r="J93" s="68">
        <f t="shared" si="23"/>
        <v>0</v>
      </c>
      <c r="K93" s="13">
        <f>SUMIF(SIGAF!$B$2:$B$500,$A93,SIGAF!$K$2:$K$500)</f>
        <v>9568521.6600000001</v>
      </c>
      <c r="L93" s="175">
        <f t="shared" si="27"/>
        <v>0.75993879998799163</v>
      </c>
      <c r="M93" s="13">
        <f>SUMIF(SIGAF!$B$2:$B$500,$A93,SIGAF!$L$2:$L$500)</f>
        <v>8674732.1900000013</v>
      </c>
      <c r="N93" s="68">
        <f t="shared" si="24"/>
        <v>0.68895340418613871</v>
      </c>
      <c r="O93" s="90">
        <f ca="1">SUMIF(SIGAF!$B$2:$B$500,$A93,SIGAF!$M$2:$M$364)</f>
        <v>2971502.11</v>
      </c>
      <c r="P93" s="68">
        <f t="shared" ca="1" si="25"/>
        <v>0.2359988123426775</v>
      </c>
      <c r="Q93" s="13">
        <f ca="1">SUMIF(SIGAF!$B$2:$B$500,$A93,SIGAF!$N$2:$N$364)</f>
        <v>2971502.11</v>
      </c>
      <c r="R93" s="68">
        <f t="shared" ca="1" si="26"/>
        <v>0.2359988123426775</v>
      </c>
    </row>
    <row r="94" spans="1:18" x14ac:dyDescent="0.25">
      <c r="A94" s="11" t="s">
        <v>180</v>
      </c>
      <c r="B94" s="11" t="s">
        <v>477</v>
      </c>
      <c r="C94" s="13">
        <f>SUMIF(SIGAF!$B$2:$B$500,$A94,SIGAF!$F$2:$F$500)</f>
        <v>16412842.640000001</v>
      </c>
      <c r="D94" s="13">
        <f ca="1">SUMIF(SIGAF!$B$2:$B$500,$A94,SIGAF!$G$2:$G$364)</f>
        <v>16412842.640000001</v>
      </c>
      <c r="E94" s="13">
        <f>SUMIF(SIGAF!$B$2:$B$500,$A94,SIGAF!$H$2:$H$500)</f>
        <v>0</v>
      </c>
      <c r="F94" s="68">
        <f t="shared" si="22"/>
        <v>0</v>
      </c>
      <c r="G94" s="163">
        <f>SUMIF(SIGAF!$B$2:$B$500,$A94,SIGAF!$I$2:$I$500)</f>
        <v>547794.26</v>
      </c>
      <c r="H94" s="68">
        <f t="shared" si="23"/>
        <v>3.3375952722836805E-2</v>
      </c>
      <c r="I94" s="13">
        <f>SUMIF(SIGAF!$B$2:$B$500,$A94,SIGAF!$J$2:$J$500)</f>
        <v>0</v>
      </c>
      <c r="J94" s="68">
        <f t="shared" si="23"/>
        <v>0</v>
      </c>
      <c r="K94" s="13">
        <f>SUMIF(SIGAF!$B$2:$B$500,$A94,SIGAF!$K$2:$K$500)</f>
        <v>10968551.6</v>
      </c>
      <c r="L94" s="175">
        <f t="shared" si="27"/>
        <v>0.66829079158221916</v>
      </c>
      <c r="M94" s="13">
        <f>SUMIF(SIGAF!$B$2:$B$500,$A94,SIGAF!$L$2:$L$500)</f>
        <v>10968551.6</v>
      </c>
      <c r="N94" s="68">
        <f t="shared" si="24"/>
        <v>0.66829079158221916</v>
      </c>
      <c r="O94" s="90">
        <f ca="1">SUMIF(SIGAF!$B$2:$B$500,$A94,SIGAF!$M$2:$M$364)</f>
        <v>4896496.78</v>
      </c>
      <c r="P94" s="68">
        <f t="shared" ca="1" si="25"/>
        <v>0.29833325569494401</v>
      </c>
      <c r="Q94" s="13">
        <f ca="1">SUMIF(SIGAF!$B$2:$B$500,$A94,SIGAF!$N$2:$N$364)</f>
        <v>4896496.78</v>
      </c>
      <c r="R94" s="68">
        <f t="shared" ca="1" si="26"/>
        <v>0.29833325569494401</v>
      </c>
    </row>
    <row r="95" spans="1:18" x14ac:dyDescent="0.25">
      <c r="A95" s="11" t="s">
        <v>182</v>
      </c>
      <c r="B95" s="11" t="s">
        <v>478</v>
      </c>
      <c r="C95" s="13">
        <f>SUMIF(SIGAF!$B$2:$B$500,$A95,SIGAF!$F$2:$F$500)</f>
        <v>1357675236</v>
      </c>
      <c r="D95" s="13">
        <f ca="1">SUMIF(SIGAF!$B$2:$B$500,$A95,SIGAF!$G$2:$G$364)</f>
        <v>1357675236</v>
      </c>
      <c r="E95" s="13">
        <f>SUMIF(SIGAF!$B$2:$B$500,$A95,SIGAF!$H$2:$H$500)</f>
        <v>0</v>
      </c>
      <c r="F95" s="68">
        <f t="shared" si="22"/>
        <v>0</v>
      </c>
      <c r="G95" s="163">
        <f>SUMIF(SIGAF!$B$2:$B$500,$A95,SIGAF!$I$2:$I$500)</f>
        <v>10931111</v>
      </c>
      <c r="H95" s="68">
        <f t="shared" si="23"/>
        <v>8.0513444674776401E-3</v>
      </c>
      <c r="I95" s="13">
        <f>SUMIF(SIGAF!$B$2:$B$500,$A95,SIGAF!$J$2:$J$500)</f>
        <v>0</v>
      </c>
      <c r="J95" s="68">
        <f t="shared" si="23"/>
        <v>0</v>
      </c>
      <c r="K95" s="13">
        <f>SUMIF(SIGAF!$B$2:$B$500,$A95,SIGAF!$K$2:$K$500)</f>
        <v>1310002148.99</v>
      </c>
      <c r="L95" s="175">
        <f t="shared" si="27"/>
        <v>0.96488623660069472</v>
      </c>
      <c r="M95" s="13">
        <f>SUMIF(SIGAF!$B$2:$B$500,$A95,SIGAF!$L$2:$L$500)</f>
        <v>857297550.99000001</v>
      </c>
      <c r="N95" s="68">
        <f t="shared" si="24"/>
        <v>0.63144522950553394</v>
      </c>
      <c r="O95" s="90">
        <f ca="1">SUMIF(SIGAF!$B$2:$B$500,$A95,SIGAF!$M$2:$M$364)</f>
        <v>36741976.009999998</v>
      </c>
      <c r="P95" s="68">
        <f t="shared" ca="1" si="25"/>
        <v>2.7062418931827668E-2</v>
      </c>
      <c r="Q95" s="13">
        <f ca="1">SUMIF(SIGAF!$B$2:$B$500,$A95,SIGAF!$N$2:$N$364)</f>
        <v>36741976.009999998</v>
      </c>
      <c r="R95" s="68">
        <f t="shared" ca="1" si="26"/>
        <v>2.7062418931827668E-2</v>
      </c>
    </row>
    <row r="96" spans="1:18" x14ac:dyDescent="0.25">
      <c r="A96" s="11" t="s">
        <v>184</v>
      </c>
      <c r="B96" s="11" t="s">
        <v>185</v>
      </c>
      <c r="C96" s="13">
        <f>SUMIF(SIGAF!$B$2:$B$500,$A96,SIGAF!$F$2:$F$500)</f>
        <v>1357675236</v>
      </c>
      <c r="D96" s="13">
        <f ca="1">SUMIF(SIGAF!$B$2:$B$500,$A96,SIGAF!$G$2:$G$364)</f>
        <v>1357675236</v>
      </c>
      <c r="E96" s="13">
        <f>SUMIF(SIGAF!$B$2:$B$500,$A96,SIGAF!$H$2:$H$500)</f>
        <v>0</v>
      </c>
      <c r="F96" s="68">
        <f t="shared" si="22"/>
        <v>0</v>
      </c>
      <c r="G96" s="163">
        <f>SUMIF(SIGAF!$B$2:$B$500,$A96,SIGAF!$I$2:$I$500)</f>
        <v>10931111</v>
      </c>
      <c r="H96" s="68">
        <f t="shared" si="23"/>
        <v>8.0513444674776401E-3</v>
      </c>
      <c r="I96" s="13">
        <f>SUMIF(SIGAF!$B$2:$B$500,$A96,SIGAF!$J$2:$J$500)</f>
        <v>0</v>
      </c>
      <c r="J96" s="68">
        <f t="shared" si="23"/>
        <v>0</v>
      </c>
      <c r="K96" s="13">
        <f>SUMIF(SIGAF!$B$2:$B$500,$A96,SIGAF!$K$2:$K$500)</f>
        <v>1310002148.99</v>
      </c>
      <c r="L96" s="175">
        <f t="shared" si="27"/>
        <v>0.96488623660069472</v>
      </c>
      <c r="M96" s="13">
        <f>SUMIF(SIGAF!$B$2:$B$500,$A96,SIGAF!$L$2:$L$500)</f>
        <v>857297550.99000001</v>
      </c>
      <c r="N96" s="68">
        <f t="shared" si="24"/>
        <v>0.63144522950553394</v>
      </c>
      <c r="O96" s="90">
        <f ca="1">SUMIF(SIGAF!$B$2:$B$500,$A96,SIGAF!$M$2:$M$364)</f>
        <v>36741976.009999998</v>
      </c>
      <c r="P96" s="68">
        <f t="shared" ca="1" si="25"/>
        <v>2.7062418931827668E-2</v>
      </c>
      <c r="Q96" s="13">
        <f ca="1">SUMIF(SIGAF!$B$2:$B$500,$A96,SIGAF!$N$2:$N$364)</f>
        <v>36741976.009999998</v>
      </c>
      <c r="R96" s="68">
        <f t="shared" ca="1" si="26"/>
        <v>2.7062418931827668E-2</v>
      </c>
    </row>
    <row r="97" spans="1:18" x14ac:dyDescent="0.25">
      <c r="A97" s="11" t="s">
        <v>186</v>
      </c>
      <c r="B97" s="11" t="s">
        <v>479</v>
      </c>
      <c r="C97" s="13">
        <f>SUMIF(SIGAF!$B$2:$B$500,$A97,SIGAF!$F$2:$F$500)</f>
        <v>16990373</v>
      </c>
      <c r="D97" s="13">
        <f ca="1">SUMIF(SIGAF!$B$2:$B$500,$A97,SIGAF!$G$2:$G$364)</f>
        <v>16990373</v>
      </c>
      <c r="E97" s="13">
        <f>SUMIF(SIGAF!$B$2:$B$500,$A97,SIGAF!$H$2:$H$500)</f>
        <v>0</v>
      </c>
      <c r="F97" s="68">
        <f t="shared" si="22"/>
        <v>0</v>
      </c>
      <c r="G97" s="163">
        <f>SUMIF(SIGAF!$B$2:$B$500,$A97,SIGAF!$I$2:$I$500)</f>
        <v>100000</v>
      </c>
      <c r="H97" s="68">
        <f t="shared" si="23"/>
        <v>5.8856859705198935E-3</v>
      </c>
      <c r="I97" s="13">
        <f>SUMIF(SIGAF!$B$2:$B$500,$A97,SIGAF!$J$2:$J$500)</f>
        <v>0</v>
      </c>
      <c r="J97" s="68">
        <f t="shared" si="23"/>
        <v>0</v>
      </c>
      <c r="K97" s="13">
        <f>SUMIF(SIGAF!$B$2:$B$500,$A97,SIGAF!$K$2:$K$500)</f>
        <v>15182192.84</v>
      </c>
      <c r="L97" s="175">
        <f t="shared" si="27"/>
        <v>0.89357619400115584</v>
      </c>
      <c r="M97" s="13">
        <f>SUMIF(SIGAF!$B$2:$B$500,$A97,SIGAF!$L$2:$L$500)</f>
        <v>10748762.6</v>
      </c>
      <c r="N97" s="68">
        <f t="shared" si="24"/>
        <v>0.63263841235268936</v>
      </c>
      <c r="O97" s="90">
        <f ca="1">SUMIF(SIGAF!$B$2:$B$500,$A97,SIGAF!$M$2:$M$364)</f>
        <v>1708180.1600000001</v>
      </c>
      <c r="P97" s="68">
        <f t="shared" ca="1" si="25"/>
        <v>0.10053812002832428</v>
      </c>
      <c r="Q97" s="13">
        <f ca="1">SUMIF(SIGAF!$B$2:$B$500,$A97,SIGAF!$N$2:$N$364)</f>
        <v>1708180.1600000001</v>
      </c>
      <c r="R97" s="68">
        <f t="shared" ca="1" si="26"/>
        <v>0.10053812002832428</v>
      </c>
    </row>
    <row r="98" spans="1:18" x14ac:dyDescent="0.25">
      <c r="A98" s="11" t="s">
        <v>327</v>
      </c>
      <c r="B98" s="11" t="s">
        <v>480</v>
      </c>
      <c r="C98" s="13">
        <f>SUMIF(SIGAF!$B$2:$B$500,$A98,SIGAF!$F$2:$F$500)</f>
        <v>13071740</v>
      </c>
      <c r="D98" s="13">
        <f ca="1">SUMIF(SIGAF!$B$2:$B$500,$A98,SIGAF!$G$2:$G$364)</f>
        <v>13071740</v>
      </c>
      <c r="E98" s="13">
        <f>SUMIF(SIGAF!$B$2:$B$500,$A98,SIGAF!$H$2:$H$500)</f>
        <v>0</v>
      </c>
      <c r="F98" s="68">
        <f t="shared" si="22"/>
        <v>0</v>
      </c>
      <c r="G98" s="163">
        <f>SUMIF(SIGAF!$B$2:$B$500,$A98,SIGAF!$I$2:$I$500)</f>
        <v>0</v>
      </c>
      <c r="H98" s="68">
        <f t="shared" si="23"/>
        <v>0</v>
      </c>
      <c r="I98" s="13">
        <f>SUMIF(SIGAF!$B$2:$B$500,$A98,SIGAF!$J$2:$J$500)</f>
        <v>0</v>
      </c>
      <c r="J98" s="68">
        <f t="shared" si="23"/>
        <v>0</v>
      </c>
      <c r="K98" s="13">
        <f>SUMIF(SIGAF!$B$2:$B$500,$A98,SIGAF!$K$2:$K$500)</f>
        <v>12736349</v>
      </c>
      <c r="L98" s="175">
        <f t="shared" si="27"/>
        <v>0.97434228342974993</v>
      </c>
      <c r="M98" s="13">
        <f>SUMIF(SIGAF!$B$2:$B$500,$A98,SIGAF!$L$2:$L$500)</f>
        <v>8477449</v>
      </c>
      <c r="N98" s="68">
        <f t="shared" si="24"/>
        <v>0.64853255955213307</v>
      </c>
      <c r="O98" s="90">
        <f ca="1">SUMIF(SIGAF!$B$2:$B$500,$A98,SIGAF!$M$2:$M$364)</f>
        <v>335391</v>
      </c>
      <c r="P98" s="68">
        <f t="shared" ca="1" si="25"/>
        <v>2.5657716570250021E-2</v>
      </c>
      <c r="Q98" s="13">
        <f ca="1">SUMIF(SIGAF!$B$2:$B$500,$A98,SIGAF!$N$2:$N$364)</f>
        <v>335391</v>
      </c>
      <c r="R98" s="68">
        <f t="shared" ca="1" si="26"/>
        <v>2.5657716570250021E-2</v>
      </c>
    </row>
    <row r="99" spans="1:18" x14ac:dyDescent="0.25">
      <c r="A99" s="11" t="s">
        <v>188</v>
      </c>
      <c r="B99" s="11" t="s">
        <v>481</v>
      </c>
      <c r="C99" s="13">
        <f>SUMIF(SIGAF!$B$2:$B$500,$A99,SIGAF!$F$2:$F$500)</f>
        <v>2918633</v>
      </c>
      <c r="D99" s="13">
        <f ca="1">SUMIF(SIGAF!$B$2:$B$500,$A99,SIGAF!$G$2:$G$364)</f>
        <v>2918633</v>
      </c>
      <c r="E99" s="13">
        <f>SUMIF(SIGAF!$B$2:$B$500,$A99,SIGAF!$H$2:$H$500)</f>
        <v>0</v>
      </c>
      <c r="F99" s="68">
        <f t="shared" si="22"/>
        <v>0</v>
      </c>
      <c r="G99" s="163">
        <f>SUMIF(SIGAF!$B$2:$B$500,$A99,SIGAF!$I$2:$I$500)</f>
        <v>0</v>
      </c>
      <c r="H99" s="68">
        <f t="shared" si="23"/>
        <v>0</v>
      </c>
      <c r="I99" s="13">
        <f>SUMIF(SIGAF!$B$2:$B$500,$A99,SIGAF!$J$2:$J$500)</f>
        <v>0</v>
      </c>
      <c r="J99" s="68">
        <f t="shared" si="23"/>
        <v>0</v>
      </c>
      <c r="K99" s="13">
        <f>SUMIF(SIGAF!$B$2:$B$500,$A99,SIGAF!$K$2:$K$500)</f>
        <v>2018632.64</v>
      </c>
      <c r="L99" s="175">
        <f t="shared" si="27"/>
        <v>0.69163633797054991</v>
      </c>
      <c r="M99" s="13">
        <f>SUMIF(SIGAF!$B$2:$B$500,$A99,SIGAF!$L$2:$L$500)</f>
        <v>1844102.4</v>
      </c>
      <c r="N99" s="68">
        <f t="shared" si="24"/>
        <v>0.63183771306635672</v>
      </c>
      <c r="O99" s="90">
        <f ca="1">SUMIF(SIGAF!$B$2:$B$500,$A99,SIGAF!$M$2:$M$364)</f>
        <v>900000.36</v>
      </c>
      <c r="P99" s="68">
        <f t="shared" ca="1" si="25"/>
        <v>0.30836366202945009</v>
      </c>
      <c r="Q99" s="13">
        <f ca="1">SUMIF(SIGAF!$B$2:$B$500,$A99,SIGAF!$N$2:$N$364)</f>
        <v>900000.36</v>
      </c>
      <c r="R99" s="68">
        <f t="shared" ca="1" si="26"/>
        <v>0.30836366202945009</v>
      </c>
    </row>
    <row r="100" spans="1:18" x14ac:dyDescent="0.25">
      <c r="A100" s="11" t="s">
        <v>190</v>
      </c>
      <c r="B100" s="11" t="s">
        <v>482</v>
      </c>
      <c r="C100" s="13">
        <f>SUMIF(SIGAF!$B$2:$B$500,$A100,SIGAF!$F$2:$F$500)</f>
        <v>1000000</v>
      </c>
      <c r="D100" s="13">
        <f ca="1">SUMIF(SIGAF!$B$2:$B$500,$A100,SIGAF!$G$2:$G$364)</f>
        <v>1000000</v>
      </c>
      <c r="E100" s="13">
        <f>SUMIF(SIGAF!$B$2:$B$500,$A100,SIGAF!$H$2:$H$500)</f>
        <v>0</v>
      </c>
      <c r="F100" s="68">
        <f t="shared" si="22"/>
        <v>0</v>
      </c>
      <c r="G100" s="163">
        <f>SUMIF(SIGAF!$B$2:$B$500,$A100,SIGAF!$I$2:$I$500)</f>
        <v>100000</v>
      </c>
      <c r="H100" s="68">
        <f t="shared" si="23"/>
        <v>0.1</v>
      </c>
      <c r="I100" s="13">
        <f>SUMIF(SIGAF!$B$2:$B$500,$A100,SIGAF!$J$2:$J$500)</f>
        <v>0</v>
      </c>
      <c r="J100" s="68">
        <f t="shared" si="23"/>
        <v>0</v>
      </c>
      <c r="K100" s="13">
        <f>SUMIF(SIGAF!$B$2:$B$500,$A100,SIGAF!$K$2:$K$500)</f>
        <v>427211.2</v>
      </c>
      <c r="L100" s="175">
        <f t="shared" si="27"/>
        <v>0.42721120000000001</v>
      </c>
      <c r="M100" s="13">
        <f>SUMIF(SIGAF!$B$2:$B$500,$A100,SIGAF!$L$2:$L$500)</f>
        <v>427211.2</v>
      </c>
      <c r="N100" s="68">
        <f t="shared" si="24"/>
        <v>0.42721120000000001</v>
      </c>
      <c r="O100" s="90">
        <f ca="1">SUMIF(SIGAF!$B$2:$B$500,$A100,SIGAF!$M$2:$M$364)</f>
        <v>472788.8</v>
      </c>
      <c r="P100" s="68">
        <f t="shared" ca="1" si="25"/>
        <v>0.47278880000000001</v>
      </c>
      <c r="Q100" s="13">
        <f ca="1">SUMIF(SIGAF!$B$2:$B$500,$A100,SIGAF!$N$2:$N$364)</f>
        <v>472788.8</v>
      </c>
      <c r="R100" s="68">
        <f t="shared" ca="1" si="26"/>
        <v>0.47278880000000001</v>
      </c>
    </row>
    <row r="101" spans="1:18" x14ac:dyDescent="0.25">
      <c r="A101" s="11" t="s">
        <v>192</v>
      </c>
      <c r="B101" s="11" t="s">
        <v>483</v>
      </c>
      <c r="C101" s="13">
        <f>SUMIF(SIGAF!$B$2:$B$500,$A101,SIGAF!$F$2:$F$500)</f>
        <v>523613241</v>
      </c>
      <c r="D101" s="13">
        <f ca="1">SUMIF(SIGAF!$B$2:$B$500,$A101,SIGAF!$G$2:$G$364)</f>
        <v>523613241</v>
      </c>
      <c r="E101" s="13">
        <f>SUMIF(SIGAF!$B$2:$B$500,$A101,SIGAF!$H$2:$H$500)</f>
        <v>4330422</v>
      </c>
      <c r="F101" s="68">
        <f t="shared" si="22"/>
        <v>8.2702683219578865E-3</v>
      </c>
      <c r="G101" s="13">
        <f>SUMIF(SIGAF!$B$2:$B$500,$A101,SIGAF!$I$2:$I$500)</f>
        <v>145272765.15000001</v>
      </c>
      <c r="H101" s="68">
        <f t="shared" si="23"/>
        <v>0.27744287916126248</v>
      </c>
      <c r="I101" s="13">
        <f>SUMIF(SIGAF!$B$2:$B$500,$A101,SIGAF!$J$2:$J$500)</f>
        <v>0</v>
      </c>
      <c r="J101" s="68">
        <f t="shared" si="23"/>
        <v>0</v>
      </c>
      <c r="K101" s="13">
        <f>SUMIF(SIGAF!$B$2:$B$500,$A101,SIGAF!$K$2:$K$500)</f>
        <v>309016835.77999997</v>
      </c>
      <c r="L101" s="175">
        <f t="shared" si="27"/>
        <v>0.59016237860952026</v>
      </c>
      <c r="M101" s="13">
        <f>SUMIF(SIGAF!$B$2:$B$500,$A101,SIGAF!$L$2:$L$500)</f>
        <v>247591152.5</v>
      </c>
      <c r="N101" s="68">
        <f t="shared" si="24"/>
        <v>0.47285120602975739</v>
      </c>
      <c r="O101" s="90">
        <f ca="1">SUMIF(SIGAF!$B$2:$B$500,$A101,SIGAF!$M$2:$M$364)</f>
        <v>64993218.07</v>
      </c>
      <c r="P101" s="68">
        <f t="shared" ca="1" si="25"/>
        <v>0.12412447390725935</v>
      </c>
      <c r="Q101" s="13">
        <f ca="1">SUMIF(SIGAF!$B$2:$B$500,$A101,SIGAF!$N$2:$N$364)</f>
        <v>64993218.07</v>
      </c>
      <c r="R101" s="68">
        <f t="shared" ca="1" si="26"/>
        <v>0.12412447390725935</v>
      </c>
    </row>
    <row r="102" spans="1:18" x14ac:dyDescent="0.25">
      <c r="A102" s="11" t="s">
        <v>194</v>
      </c>
      <c r="B102" s="11" t="s">
        <v>484</v>
      </c>
      <c r="C102" s="13">
        <f>SUMIF(SIGAF!$B$2:$B$500,$A102,SIGAF!$F$2:$F$500)</f>
        <v>68677250</v>
      </c>
      <c r="D102" s="13">
        <f ca="1">SUMIF(SIGAF!$B$2:$B$500,$A102,SIGAF!$G$2:$G$364)</f>
        <v>68677250</v>
      </c>
      <c r="E102" s="13">
        <f>SUMIF(SIGAF!$B$2:$B$500,$A102,SIGAF!$H$2:$H$500)</f>
        <v>4330422</v>
      </c>
      <c r="F102" s="68">
        <f t="shared" si="22"/>
        <v>6.3054679679224193E-2</v>
      </c>
      <c r="G102" s="13">
        <f>SUMIF(SIGAF!$B$2:$B$500,$A102,SIGAF!$I$2:$I$500)</f>
        <v>54463500</v>
      </c>
      <c r="H102" s="68">
        <f t="shared" si="23"/>
        <v>0.79303553942535554</v>
      </c>
      <c r="I102" s="13">
        <f>SUMIF(SIGAF!$B$2:$B$500,$A102,SIGAF!$J$2:$J$500)</f>
        <v>0</v>
      </c>
      <c r="J102" s="68">
        <f t="shared" si="23"/>
        <v>0</v>
      </c>
      <c r="K102" s="13">
        <f>SUMIF(SIGAF!$B$2:$B$500,$A102,SIGAF!$K$2:$K$500)</f>
        <v>4337000</v>
      </c>
      <c r="L102" s="175">
        <f t="shared" si="27"/>
        <v>6.3150461033311608E-2</v>
      </c>
      <c r="M102" s="13">
        <f>SUMIF(SIGAF!$B$2:$B$500,$A102,SIGAF!$L$2:$L$500)</f>
        <v>875000</v>
      </c>
      <c r="N102" s="68">
        <f t="shared" si="24"/>
        <v>1.274075476231212E-2</v>
      </c>
      <c r="O102" s="90">
        <f ca="1">SUMIF(SIGAF!$B$2:$B$500,$A102,SIGAF!$M$2:$M$364)</f>
        <v>5546328</v>
      </c>
      <c r="P102" s="68">
        <f t="shared" ca="1" si="25"/>
        <v>8.0759319862108631E-2</v>
      </c>
      <c r="Q102" s="13">
        <f ca="1">SUMIF(SIGAF!$B$2:$B$500,$A102,SIGAF!$N$2:$N$364)</f>
        <v>5546328</v>
      </c>
      <c r="R102" s="68">
        <f t="shared" ca="1" si="26"/>
        <v>8.0759319862108631E-2</v>
      </c>
    </row>
    <row r="103" spans="1:18" x14ac:dyDescent="0.25">
      <c r="A103" s="11" t="s">
        <v>352</v>
      </c>
      <c r="B103" s="11" t="s">
        <v>485</v>
      </c>
      <c r="C103" s="13">
        <f>SUMIF(SIGAF!$B$2:$B$500,$A103,SIGAF!$F$2:$F$500)</f>
        <v>163073543</v>
      </c>
      <c r="D103" s="13">
        <f ca="1">SUMIF(SIGAF!$B$2:$B$500,$A103,SIGAF!$G$2:$G$364)</f>
        <v>163073543</v>
      </c>
      <c r="E103" s="13">
        <f>SUMIF(SIGAF!$B$2:$B$500,$A103,SIGAF!$H$2:$H$500)</f>
        <v>0</v>
      </c>
      <c r="F103" s="68">
        <f t="shared" si="22"/>
        <v>0</v>
      </c>
      <c r="G103" s="13">
        <f>SUMIF(SIGAF!$B$2:$B$500,$A103,SIGAF!$I$2:$I$500)</f>
        <v>47628941.960000001</v>
      </c>
      <c r="H103" s="68">
        <f t="shared" si="23"/>
        <v>0.29207032044431636</v>
      </c>
      <c r="I103" s="13">
        <f>SUMIF(SIGAF!$B$2:$B$500,$A103,SIGAF!$J$2:$J$500)</f>
        <v>0</v>
      </c>
      <c r="J103" s="68">
        <f t="shared" si="23"/>
        <v>0</v>
      </c>
      <c r="K103" s="13">
        <f>SUMIF(SIGAF!$B$2:$B$500,$A103,SIGAF!$K$2:$K$500)</f>
        <v>105594788.38</v>
      </c>
      <c r="L103" s="175">
        <f t="shared" si="27"/>
        <v>0.64752863301682229</v>
      </c>
      <c r="M103" s="13">
        <f>SUMIF(SIGAF!$B$2:$B$500,$A103,SIGAF!$L$2:$L$500)</f>
        <v>85944646.849999994</v>
      </c>
      <c r="N103" s="68">
        <f t="shared" si="24"/>
        <v>0.52702998456346772</v>
      </c>
      <c r="O103" s="90">
        <f ca="1">SUMIF(SIGAF!$B$2:$B$500,$A103,SIGAF!$M$2:$M$364)</f>
        <v>9849812.6600000001</v>
      </c>
      <c r="P103" s="68">
        <f t="shared" ca="1" si="25"/>
        <v>6.0401046538861303E-2</v>
      </c>
      <c r="Q103" s="13">
        <f ca="1">SUMIF(SIGAF!$B$2:$B$500,$A103,SIGAF!$N$2:$N$364)</f>
        <v>9849812.6600000001</v>
      </c>
      <c r="R103" s="68">
        <f t="shared" ca="1" si="26"/>
        <v>6.0401046538861303E-2</v>
      </c>
    </row>
    <row r="104" spans="1:18" x14ac:dyDescent="0.25">
      <c r="A104" s="11" t="s">
        <v>196</v>
      </c>
      <c r="B104" s="11" t="s">
        <v>486</v>
      </c>
      <c r="C104" s="13">
        <f>SUMIF(SIGAF!$B$2:$B$500,$A104,SIGAF!$F$2:$F$500)</f>
        <v>81308530</v>
      </c>
      <c r="D104" s="13">
        <f ca="1">SUMIF(SIGAF!$B$2:$B$500,$A104,SIGAF!$G$2:$G$364)</f>
        <v>81308530</v>
      </c>
      <c r="E104" s="13">
        <f>SUMIF(SIGAF!$B$2:$B$500,$A104,SIGAF!$H$2:$H$500)</f>
        <v>0</v>
      </c>
      <c r="F104" s="68">
        <f t="shared" si="22"/>
        <v>0</v>
      </c>
      <c r="G104" s="13">
        <f>SUMIF(SIGAF!$B$2:$B$500,$A104,SIGAF!$I$2:$I$500)</f>
        <v>18015001.59</v>
      </c>
      <c r="H104" s="68">
        <f t="shared" si="23"/>
        <v>0.22156348897219025</v>
      </c>
      <c r="I104" s="13">
        <f>SUMIF(SIGAF!$B$2:$B$500,$A104,SIGAF!$J$2:$J$500)</f>
        <v>0</v>
      </c>
      <c r="J104" s="68">
        <f t="shared" si="23"/>
        <v>0</v>
      </c>
      <c r="K104" s="13">
        <f>SUMIF(SIGAF!$B$2:$B$500,$A104,SIGAF!$K$2:$K$500)</f>
        <v>59658287.43</v>
      </c>
      <c r="L104" s="175">
        <f t="shared" si="27"/>
        <v>0.73372729072829135</v>
      </c>
      <c r="M104" s="13">
        <f>SUMIF(SIGAF!$B$2:$B$500,$A104,SIGAF!$L$2:$L$500)</f>
        <v>43722664.849999994</v>
      </c>
      <c r="N104" s="68">
        <f t="shared" si="24"/>
        <v>0.53773773612682452</v>
      </c>
      <c r="O104" s="90">
        <f ca="1">SUMIF(SIGAF!$B$2:$B$500,$A104,SIGAF!$M$2:$M$364)</f>
        <v>3635240.98</v>
      </c>
      <c r="P104" s="68">
        <f t="shared" ca="1" si="25"/>
        <v>4.470922029951839E-2</v>
      </c>
      <c r="Q104" s="13">
        <f ca="1">SUMIF(SIGAF!$B$2:$B$500,$A104,SIGAF!$N$2:$N$364)</f>
        <v>3635240.98</v>
      </c>
      <c r="R104" s="68">
        <f t="shared" ca="1" si="26"/>
        <v>4.470922029951839E-2</v>
      </c>
    </row>
    <row r="105" spans="1:18" x14ac:dyDescent="0.25">
      <c r="A105" s="11" t="s">
        <v>198</v>
      </c>
      <c r="B105" s="11" t="s">
        <v>487</v>
      </c>
      <c r="C105" s="13">
        <f>SUMIF(SIGAF!$B$2:$B$500,$A105,SIGAF!$F$2:$F$500)</f>
        <v>9250000</v>
      </c>
      <c r="D105" s="13">
        <f ca="1">SUMIF(SIGAF!$B$2:$B$500,$A105,SIGAF!$G$2:$G$364)</f>
        <v>9250000</v>
      </c>
      <c r="E105" s="13">
        <f>SUMIF(SIGAF!$B$2:$B$500,$A105,SIGAF!$H$2:$H$500)</f>
        <v>0</v>
      </c>
      <c r="F105" s="68">
        <f t="shared" si="22"/>
        <v>0</v>
      </c>
      <c r="G105" s="13">
        <f>SUMIF(SIGAF!$B$2:$B$500,$A105,SIGAF!$I$2:$I$500)</f>
        <v>837136</v>
      </c>
      <c r="H105" s="68">
        <f t="shared" si="23"/>
        <v>9.0501189189189188E-2</v>
      </c>
      <c r="I105" s="13">
        <f>SUMIF(SIGAF!$B$2:$B$500,$A105,SIGAF!$J$2:$J$500)</f>
        <v>0</v>
      </c>
      <c r="J105" s="68">
        <f t="shared" si="23"/>
        <v>0</v>
      </c>
      <c r="K105" s="13">
        <f>SUMIF(SIGAF!$B$2:$B$500,$A105,SIGAF!$K$2:$K$500)</f>
        <v>5572410</v>
      </c>
      <c r="L105" s="175">
        <f t="shared" si="27"/>
        <v>0.60242270270270271</v>
      </c>
      <c r="M105" s="13">
        <f>SUMIF(SIGAF!$B$2:$B$500,$A105,SIGAF!$L$2:$L$500)</f>
        <v>3272046</v>
      </c>
      <c r="N105" s="68">
        <f t="shared" si="24"/>
        <v>0.35373470270270269</v>
      </c>
      <c r="O105" s="90">
        <f ca="1">SUMIF(SIGAF!$B$2:$B$500,$A105,SIGAF!$M$2:$M$364)</f>
        <v>2840454</v>
      </c>
      <c r="P105" s="68">
        <f t="shared" ca="1" si="25"/>
        <v>0.30707610810810809</v>
      </c>
      <c r="Q105" s="13">
        <f ca="1">SUMIF(SIGAF!$B$2:$B$500,$A105,SIGAF!$N$2:$N$364)</f>
        <v>2840454</v>
      </c>
      <c r="R105" s="68">
        <f t="shared" ca="1" si="26"/>
        <v>0.30707610810810809</v>
      </c>
    </row>
    <row r="106" spans="1:18" x14ac:dyDescent="0.25">
      <c r="A106" s="11" t="s">
        <v>200</v>
      </c>
      <c r="B106" s="11" t="s">
        <v>488</v>
      </c>
      <c r="C106" s="13">
        <f>SUMIF(SIGAF!$B$2:$B$500,$A106,SIGAF!$F$2:$F$500)</f>
        <v>23623203</v>
      </c>
      <c r="D106" s="13">
        <f ca="1">SUMIF(SIGAF!$B$2:$B$500,$A106,SIGAF!$G$2:$G$364)</f>
        <v>23623203</v>
      </c>
      <c r="E106" s="13">
        <f>SUMIF(SIGAF!$B$2:$B$500,$A106,SIGAF!$H$2:$H$500)</f>
        <v>0</v>
      </c>
      <c r="F106" s="68">
        <f t="shared" si="22"/>
        <v>0</v>
      </c>
      <c r="G106" s="13">
        <f>SUMIF(SIGAF!$B$2:$B$500,$A106,SIGAF!$I$2:$I$500)</f>
        <v>2682354</v>
      </c>
      <c r="H106" s="68">
        <f t="shared" si="23"/>
        <v>0.11354743046486965</v>
      </c>
      <c r="I106" s="13">
        <f>SUMIF(SIGAF!$B$2:$B$500,$A106,SIGAF!$J$2:$J$500)</f>
        <v>0</v>
      </c>
      <c r="J106" s="68">
        <f t="shared" si="23"/>
        <v>0</v>
      </c>
      <c r="K106" s="13">
        <f>SUMIF(SIGAF!$B$2:$B$500,$A106,SIGAF!$K$2:$K$500)</f>
        <v>15775356.960000001</v>
      </c>
      <c r="L106" s="175">
        <f t="shared" si="27"/>
        <v>0.66779077164091594</v>
      </c>
      <c r="M106" s="13">
        <f>SUMIF(SIGAF!$B$2:$B$500,$A106,SIGAF!$L$2:$L$500)</f>
        <v>14018644.859999999</v>
      </c>
      <c r="N106" s="68">
        <f t="shared" si="24"/>
        <v>0.59342693114054001</v>
      </c>
      <c r="O106" s="90">
        <f ca="1">SUMIF(SIGAF!$B$2:$B$500,$A106,SIGAF!$M$2:$M$364)</f>
        <v>5165492.04</v>
      </c>
      <c r="P106" s="68">
        <f t="shared" ca="1" si="25"/>
        <v>0.21866179789421444</v>
      </c>
      <c r="Q106" s="13">
        <f ca="1">SUMIF(SIGAF!$B$2:$B$500,$A106,SIGAF!$N$2:$N$364)</f>
        <v>5165492.04</v>
      </c>
      <c r="R106" s="68">
        <f t="shared" ca="1" si="26"/>
        <v>0.21866179789421444</v>
      </c>
    </row>
    <row r="107" spans="1:18" x14ac:dyDescent="0.25">
      <c r="A107" s="11" t="s">
        <v>202</v>
      </c>
      <c r="B107" s="11" t="s">
        <v>489</v>
      </c>
      <c r="C107" s="13">
        <f>SUMIF(SIGAF!$B$2:$B$500,$A107,SIGAF!$F$2:$F$500)</f>
        <v>95203143</v>
      </c>
      <c r="D107" s="13">
        <f ca="1">SUMIF(SIGAF!$B$2:$B$500,$A107,SIGAF!$G$2:$G$364)</f>
        <v>95203143</v>
      </c>
      <c r="E107" s="13">
        <f>SUMIF(SIGAF!$B$2:$B$500,$A107,SIGAF!$H$2:$H$500)</f>
        <v>0</v>
      </c>
      <c r="F107" s="68">
        <f t="shared" si="22"/>
        <v>0</v>
      </c>
      <c r="G107" s="13">
        <f>SUMIF(SIGAF!$B$2:$B$500,$A107,SIGAF!$I$2:$I$500)</f>
        <v>6346669.1200000001</v>
      </c>
      <c r="H107" s="68">
        <f t="shared" si="23"/>
        <v>6.6664491528394182E-2</v>
      </c>
      <c r="I107" s="13">
        <f>SUMIF(SIGAF!$B$2:$B$500,$A107,SIGAF!$J$2:$J$500)</f>
        <v>0</v>
      </c>
      <c r="J107" s="68">
        <f t="shared" si="23"/>
        <v>0</v>
      </c>
      <c r="K107" s="13">
        <f>SUMIF(SIGAF!$B$2:$B$500,$A107,SIGAF!$K$2:$K$500)</f>
        <v>77988105.930000007</v>
      </c>
      <c r="L107" s="175">
        <f t="shared" si="27"/>
        <v>0.8191757485359491</v>
      </c>
      <c r="M107" s="13">
        <f>SUMIF(SIGAF!$B$2:$B$500,$A107,SIGAF!$L$2:$L$500)</f>
        <v>71931180.929999992</v>
      </c>
      <c r="N107" s="68">
        <f t="shared" si="24"/>
        <v>0.75555468720187102</v>
      </c>
      <c r="O107" s="90">
        <f ca="1">SUMIF(SIGAF!$B$2:$B$500,$A107,SIGAF!$M$2:$M$364)</f>
        <v>10868367.949999999</v>
      </c>
      <c r="P107" s="68">
        <f t="shared" ca="1" si="25"/>
        <v>0.11415975993565673</v>
      </c>
      <c r="Q107" s="13">
        <f ca="1">SUMIF(SIGAF!$B$2:$B$500,$A107,SIGAF!$N$2:$N$364)</f>
        <v>10868367.949999999</v>
      </c>
      <c r="R107" s="68">
        <f t="shared" ca="1" si="26"/>
        <v>0.11415975993565673</v>
      </c>
    </row>
    <row r="108" spans="1:18" x14ac:dyDescent="0.25">
      <c r="A108" s="11" t="s">
        <v>204</v>
      </c>
      <c r="B108" s="11" t="s">
        <v>490</v>
      </c>
      <c r="C108" s="13">
        <f>SUMIF(SIGAF!$B$2:$B$500,$A108,SIGAF!$F$2:$F$500)</f>
        <v>82477572</v>
      </c>
      <c r="D108" s="13">
        <f ca="1">SUMIF(SIGAF!$B$2:$B$500,$A108,SIGAF!$G$2:$G$364)</f>
        <v>82477572</v>
      </c>
      <c r="E108" s="13">
        <f>SUMIF(SIGAF!$B$2:$B$500,$A108,SIGAF!$H$2:$H$500)</f>
        <v>0</v>
      </c>
      <c r="F108" s="68">
        <f t="shared" si="22"/>
        <v>0</v>
      </c>
      <c r="G108" s="13">
        <f>SUMIF(SIGAF!$B$2:$B$500,$A108,SIGAF!$I$2:$I$500)</f>
        <v>15299162.48</v>
      </c>
      <c r="H108" s="68">
        <f t="shared" si="23"/>
        <v>0.18549482130730038</v>
      </c>
      <c r="I108" s="13">
        <f>SUMIF(SIGAF!$B$2:$B$500,$A108,SIGAF!$J$2:$J$500)</f>
        <v>0</v>
      </c>
      <c r="J108" s="68">
        <f t="shared" si="23"/>
        <v>0</v>
      </c>
      <c r="K108" s="13">
        <f>SUMIF(SIGAF!$B$2:$B$500,$A108,SIGAF!$K$2:$K$500)</f>
        <v>40090887.079999998</v>
      </c>
      <c r="L108" s="175">
        <f t="shared" si="27"/>
        <v>0.48608229010427223</v>
      </c>
      <c r="M108" s="13">
        <f>SUMIF(SIGAF!$B$2:$B$500,$A108,SIGAF!$L$2:$L$500)</f>
        <v>27826969.010000002</v>
      </c>
      <c r="N108" s="68">
        <f t="shared" si="24"/>
        <v>0.33738831460751539</v>
      </c>
      <c r="O108" s="90">
        <f ca="1">SUMIF(SIGAF!$B$2:$B$500,$A108,SIGAF!$M$2:$M$364)</f>
        <v>27087522.440000001</v>
      </c>
      <c r="P108" s="68">
        <f t="shared" ca="1" si="25"/>
        <v>0.32842288858842744</v>
      </c>
      <c r="Q108" s="13">
        <f ca="1">SUMIF(SIGAF!$B$2:$B$500,$A108,SIGAF!$N$2:$N$364)</f>
        <v>27087522.440000001</v>
      </c>
      <c r="R108" s="68">
        <f t="shared" ca="1" si="26"/>
        <v>0.32842288858842744</v>
      </c>
    </row>
    <row r="109" spans="1:18" x14ac:dyDescent="0.25">
      <c r="A109" s="11" t="s">
        <v>206</v>
      </c>
      <c r="B109" s="11" t="s">
        <v>207</v>
      </c>
      <c r="C109" s="13">
        <f>SUMIF(SIGAF!$B$2:$B$500,$A109,SIGAF!$F$2:$F$500)</f>
        <v>19690000</v>
      </c>
      <c r="D109" s="13">
        <f ca="1">SUMIF(SIGAF!$B$2:$B$500,$A109,SIGAF!$G$2:$G$364)</f>
        <v>19690000</v>
      </c>
      <c r="E109" s="13">
        <f>SUMIF(SIGAF!$B$2:$B$500,$A109,SIGAF!$H$2:$H$500)</f>
        <v>0</v>
      </c>
      <c r="F109" s="68">
        <f t="shared" si="22"/>
        <v>0</v>
      </c>
      <c r="G109" s="13">
        <f>SUMIF(SIGAF!$B$2:$B$500,$A109,SIGAF!$I$2:$I$500)</f>
        <v>433320</v>
      </c>
      <c r="H109" s="68">
        <f t="shared" si="23"/>
        <v>2.2007110208227525E-2</v>
      </c>
      <c r="I109" s="13">
        <f>SUMIF(SIGAF!$B$2:$B$500,$A109,SIGAF!$J$2:$J$500)</f>
        <v>0</v>
      </c>
      <c r="J109" s="68">
        <f t="shared" si="23"/>
        <v>0</v>
      </c>
      <c r="K109" s="13">
        <f>SUMIF(SIGAF!$B$2:$B$500,$A109,SIGAF!$K$2:$K$500)</f>
        <v>14344547</v>
      </c>
      <c r="L109" s="175">
        <f t="shared" si="27"/>
        <v>0.72851940071102084</v>
      </c>
      <c r="M109" s="13">
        <f>SUMIF(SIGAF!$B$2:$B$500,$A109,SIGAF!$L$2:$L$500)</f>
        <v>4568617</v>
      </c>
      <c r="N109" s="68">
        <f t="shared" si="24"/>
        <v>0.23202727272727272</v>
      </c>
      <c r="O109" s="90">
        <f ca="1">SUMIF(SIGAF!$B$2:$B$500,$A109,SIGAF!$M$2:$M$364)</f>
        <v>4912133</v>
      </c>
      <c r="P109" s="68">
        <f t="shared" ca="1" si="25"/>
        <v>0.24947348908075165</v>
      </c>
      <c r="Q109" s="13">
        <f ca="1">SUMIF(SIGAF!$B$2:$B$500,$A109,SIGAF!$N$2:$N$364)</f>
        <v>4912133</v>
      </c>
      <c r="R109" s="68">
        <f t="shared" ca="1" si="26"/>
        <v>0.24947348908075165</v>
      </c>
    </row>
    <row r="110" spans="1:18" x14ac:dyDescent="0.25">
      <c r="A110" s="11" t="s">
        <v>208</v>
      </c>
      <c r="B110" s="11" t="s">
        <v>491</v>
      </c>
      <c r="C110" s="13">
        <f>SUMIF(SIGAF!$B$2:$B$500,$A110,SIGAF!$F$2:$F$500)</f>
        <v>19690000</v>
      </c>
      <c r="D110" s="13">
        <f ca="1">SUMIF(SIGAF!$B$2:$B$500,$A110,SIGAF!$G$2:$G$364)</f>
        <v>19690000</v>
      </c>
      <c r="E110" s="13">
        <f>SUMIF(SIGAF!$B$2:$B$500,$A110,SIGAF!$H$2:$H$500)</f>
        <v>0</v>
      </c>
      <c r="F110" s="68">
        <f t="shared" si="22"/>
        <v>0</v>
      </c>
      <c r="G110" s="13">
        <f>SUMIF(SIGAF!$B$2:$B$500,$A110,SIGAF!$I$2:$I$500)</f>
        <v>433320</v>
      </c>
      <c r="H110" s="68">
        <f t="shared" si="23"/>
        <v>2.2007110208227525E-2</v>
      </c>
      <c r="I110" s="13">
        <f>SUMIF(SIGAF!$B$2:$B$500,$A110,SIGAF!$J$2:$J$500)</f>
        <v>0</v>
      </c>
      <c r="J110" s="68">
        <f t="shared" si="23"/>
        <v>0</v>
      </c>
      <c r="K110" s="13">
        <f>SUMIF(SIGAF!$B$2:$B$500,$A110,SIGAF!$K$2:$K$500)</f>
        <v>14344547</v>
      </c>
      <c r="L110" s="175">
        <f t="shared" si="27"/>
        <v>0.72851940071102084</v>
      </c>
      <c r="M110" s="13">
        <f>SUMIF(SIGAF!$B$2:$B$500,$A110,SIGAF!$L$2:$L$500)</f>
        <v>4568617</v>
      </c>
      <c r="N110" s="68">
        <f t="shared" si="24"/>
        <v>0.23202727272727272</v>
      </c>
      <c r="O110" s="90">
        <f ca="1">SUMIF(SIGAF!$B$2:$B$500,$A110,SIGAF!$M$2:$M$364)</f>
        <v>4912133</v>
      </c>
      <c r="P110" s="68">
        <f t="shared" ca="1" si="25"/>
        <v>0.24947348908075165</v>
      </c>
      <c r="Q110" s="13">
        <f ca="1">SUMIF(SIGAF!$B$2:$B$500,$A110,SIGAF!$N$2:$N$364)</f>
        <v>4912133</v>
      </c>
      <c r="R110" s="68">
        <f t="shared" ca="1" si="26"/>
        <v>0.24947348908075165</v>
      </c>
    </row>
    <row r="111" spans="1:18" x14ac:dyDescent="0.25">
      <c r="A111" s="11" t="s">
        <v>210</v>
      </c>
      <c r="B111" s="11" t="s">
        <v>211</v>
      </c>
      <c r="C111" s="13">
        <f>SUMIF(SIGAF!$B$2:$B$500,$A111,SIGAF!$F$2:$F$500)</f>
        <v>26483649.859999999</v>
      </c>
      <c r="D111" s="13">
        <f ca="1">SUMIF(SIGAF!$B$2:$B$500,$A111,SIGAF!$G$2:$G$364)</f>
        <v>26483649.18</v>
      </c>
      <c r="E111" s="13">
        <f>SUMIF(SIGAF!$B$2:$B$500,$A111,SIGAF!$H$2:$H$500)</f>
        <v>0</v>
      </c>
      <c r="F111" s="68">
        <f t="shared" si="22"/>
        <v>0</v>
      </c>
      <c r="G111" s="13">
        <f>SUMIF(SIGAF!$B$2:$B$500,$A111,SIGAF!$I$2:$I$500)</f>
        <v>14480457.48</v>
      </c>
      <c r="H111" s="68">
        <f t="shared" si="23"/>
        <v>0.54676970721738727</v>
      </c>
      <c r="I111" s="13">
        <f>SUMIF(SIGAF!$B$2:$B$500,$A111,SIGAF!$J$2:$J$500)</f>
        <v>0</v>
      </c>
      <c r="J111" s="68">
        <f t="shared" si="23"/>
        <v>0</v>
      </c>
      <c r="K111" s="13">
        <f>SUMIF(SIGAF!$B$2:$B$500,$A111,SIGAF!$K$2:$K$500)</f>
        <v>5342112.92</v>
      </c>
      <c r="L111" s="175">
        <f t="shared" si="27"/>
        <v>0.20171362135656931</v>
      </c>
      <c r="M111" s="13">
        <f>SUMIF(SIGAF!$B$2:$B$500,$A111,SIGAF!$L$2:$L$500)</f>
        <v>4937112.92</v>
      </c>
      <c r="N111" s="68">
        <f t="shared" si="24"/>
        <v>0.18642116725220895</v>
      </c>
      <c r="O111" s="90">
        <f ca="1">SUMIF(SIGAF!$B$2:$B$500,$A111,SIGAF!$M$2:$M$364)</f>
        <v>6661079.46</v>
      </c>
      <c r="P111" s="68">
        <f t="shared" ca="1" si="25"/>
        <v>0.25151667142604339</v>
      </c>
      <c r="Q111" s="13">
        <f ca="1">SUMIF(SIGAF!$B$2:$B$500,$A111,SIGAF!$N$2:$N$364)</f>
        <v>6661078.7800000003</v>
      </c>
      <c r="R111" s="68">
        <f t="shared" ca="1" si="26"/>
        <v>0.25151664574982419</v>
      </c>
    </row>
    <row r="112" spans="1:18" x14ac:dyDescent="0.25">
      <c r="A112" s="11" t="s">
        <v>383</v>
      </c>
      <c r="B112" s="11" t="s">
        <v>492</v>
      </c>
      <c r="C112" s="13">
        <f>SUMIF(SIGAF!$B$2:$B$500,$A112,SIGAF!$F$2:$F$500)</f>
        <v>3000000</v>
      </c>
      <c r="D112" s="13">
        <f ca="1">SUMIF(SIGAF!$B$2:$B$500,$A112,SIGAF!$G$2:$G$364)</f>
        <v>2999999.32</v>
      </c>
      <c r="E112" s="13">
        <f>SUMIF(SIGAF!$B$2:$B$500,$A112,SIGAF!$H$2:$H$500)</f>
        <v>0</v>
      </c>
      <c r="F112" s="68">
        <f t="shared" si="22"/>
        <v>0</v>
      </c>
      <c r="G112" s="13">
        <f>SUMIF(SIGAF!$B$2:$B$500,$A112,SIGAF!$I$2:$I$500)</f>
        <v>2569500.48</v>
      </c>
      <c r="H112" s="68">
        <f t="shared" si="23"/>
        <v>0.85650015999999995</v>
      </c>
      <c r="I112" s="13">
        <f>SUMIF(SIGAF!$B$2:$B$500,$A112,SIGAF!$J$2:$J$500)</f>
        <v>0</v>
      </c>
      <c r="J112" s="68">
        <f t="shared" si="23"/>
        <v>0</v>
      </c>
      <c r="K112" s="13">
        <f>SUMIF(SIGAF!$B$2:$B$500,$A112,SIGAF!$K$2:$K$500)</f>
        <v>143499.84</v>
      </c>
      <c r="L112" s="175">
        <f t="shared" si="27"/>
        <v>4.7833279999999999E-2</v>
      </c>
      <c r="M112" s="13">
        <f>SUMIF(SIGAF!$B$2:$B$500,$A112,SIGAF!$L$2:$L$500)</f>
        <v>143499.84</v>
      </c>
      <c r="N112" s="68">
        <f t="shared" si="24"/>
        <v>4.7833279999999999E-2</v>
      </c>
      <c r="O112" s="90">
        <f ca="1">SUMIF(SIGAF!$B$2:$B$500,$A112,SIGAF!$M$2:$M$364)</f>
        <v>286999.67999999999</v>
      </c>
      <c r="P112" s="68">
        <f t="shared" ca="1" si="25"/>
        <v>9.5666559999999998E-2</v>
      </c>
      <c r="Q112" s="13">
        <f ca="1">SUMIF(SIGAF!$B$2:$B$500,$A112,SIGAF!$N$2:$N$364)</f>
        <v>286999</v>
      </c>
      <c r="R112" s="68">
        <f t="shared" ca="1" si="26"/>
        <v>9.5666333333333339E-2</v>
      </c>
    </row>
    <row r="113" spans="1:19" x14ac:dyDescent="0.25">
      <c r="A113" s="11" t="s">
        <v>354</v>
      </c>
      <c r="B113" s="11" t="s">
        <v>493</v>
      </c>
      <c r="C113" s="13">
        <f>SUMIF(SIGAF!$B$2:$B$500,$A113,SIGAF!$F$2:$F$500)</f>
        <v>6285649.8600000003</v>
      </c>
      <c r="D113" s="13">
        <f ca="1">SUMIF(SIGAF!$B$2:$B$500,$A113,SIGAF!$G$2:$G$364)</f>
        <v>6285649.8600000003</v>
      </c>
      <c r="E113" s="13">
        <f>SUMIF(SIGAF!$B$2:$B$500,$A113,SIGAF!$H$2:$H$500)</f>
        <v>0</v>
      </c>
      <c r="F113" s="68">
        <f t="shared" si="22"/>
        <v>0</v>
      </c>
      <c r="G113" s="13">
        <f>SUMIF(SIGAF!$B$2:$B$500,$A113,SIGAF!$I$2:$I$500)</f>
        <v>122527</v>
      </c>
      <c r="H113" s="68">
        <f t="shared" si="23"/>
        <v>1.9493131613920345E-2</v>
      </c>
      <c r="I113" s="13">
        <f>SUMIF(SIGAF!$B$2:$B$500,$A113,SIGAF!$J$2:$J$500)</f>
        <v>0</v>
      </c>
      <c r="J113" s="68">
        <f t="shared" si="23"/>
        <v>0</v>
      </c>
      <c r="K113" s="13">
        <f>SUMIF(SIGAF!$B$2:$B$500,$A113,SIGAF!$K$2:$K$500)</f>
        <v>1044231.08</v>
      </c>
      <c r="L113" s="175">
        <f t="shared" si="27"/>
        <v>0.16612937456875779</v>
      </c>
      <c r="M113" s="13">
        <f>SUMIF(SIGAF!$B$2:$B$500,$A113,SIGAF!$L$2:$L$500)</f>
        <v>1044231.08</v>
      </c>
      <c r="N113" s="68">
        <f t="shared" si="24"/>
        <v>0.16612937456875779</v>
      </c>
      <c r="O113" s="90">
        <f ca="1">SUMIF(SIGAF!$B$2:$B$500,$A113,SIGAF!$M$2:$M$364)</f>
        <v>5118891.78</v>
      </c>
      <c r="P113" s="68">
        <f t="shared" ca="1" si="25"/>
        <v>0.81437749381732183</v>
      </c>
      <c r="Q113" s="13">
        <f ca="1">SUMIF(SIGAF!$B$2:$B$500,$A113,SIGAF!$N$2:$N$364)</f>
        <v>5118891.78</v>
      </c>
      <c r="R113" s="68">
        <f t="shared" ca="1" si="26"/>
        <v>0.81437749381732183</v>
      </c>
    </row>
    <row r="114" spans="1:19" x14ac:dyDescent="0.25">
      <c r="A114" s="11" t="s">
        <v>212</v>
      </c>
      <c r="B114" s="11" t="s">
        <v>213</v>
      </c>
      <c r="C114" s="13">
        <f>SUMIF(SIGAF!$B$2:$B$500,$A114,SIGAF!$F$2:$F$500)</f>
        <v>17198000</v>
      </c>
      <c r="D114" s="13">
        <f ca="1">SUMIF(SIGAF!$B$2:$B$500,$A114,SIGAF!$G$2:$G$364)</f>
        <v>17198000</v>
      </c>
      <c r="E114" s="13">
        <f>SUMIF(SIGAF!$B$2:$B$500,$A114,SIGAF!$H$2:$H$500)</f>
        <v>0</v>
      </c>
      <c r="F114" s="68">
        <f t="shared" si="22"/>
        <v>0</v>
      </c>
      <c r="G114" s="13">
        <f>SUMIF(SIGAF!$B$2:$B$500,$A114,SIGAF!$I$2:$I$500)</f>
        <v>11788430</v>
      </c>
      <c r="H114" s="68">
        <f t="shared" si="23"/>
        <v>0.68545354110943135</v>
      </c>
      <c r="I114" s="13">
        <f>SUMIF(SIGAF!$B$2:$B$500,$A114,SIGAF!$J$2:$J$500)</f>
        <v>0</v>
      </c>
      <c r="J114" s="68">
        <f t="shared" si="23"/>
        <v>0</v>
      </c>
      <c r="K114" s="13">
        <f>SUMIF(SIGAF!$B$2:$B$500,$A114,SIGAF!$K$2:$K$500)</f>
        <v>4154382</v>
      </c>
      <c r="L114" s="175">
        <f t="shared" si="27"/>
        <v>0.24156192580532621</v>
      </c>
      <c r="M114" s="13">
        <f>SUMIF(SIGAF!$B$2:$B$500,$A114,SIGAF!$L$2:$L$500)</f>
        <v>3749382</v>
      </c>
      <c r="N114" s="68">
        <f t="shared" si="24"/>
        <v>0.21801267589254564</v>
      </c>
      <c r="O114" s="90">
        <f ca="1">SUMIF(SIGAF!$B$2:$B$500,$A114,SIGAF!$M$2:$M$364)</f>
        <v>1255188</v>
      </c>
      <c r="P114" s="68">
        <f t="shared" ca="1" si="25"/>
        <v>7.298453308524247E-2</v>
      </c>
      <c r="Q114" s="13">
        <f ca="1">SUMIF(SIGAF!$B$2:$B$500,$A114,SIGAF!$N$2:$N$364)</f>
        <v>1255188</v>
      </c>
      <c r="R114" s="68">
        <f t="shared" ca="1" si="26"/>
        <v>7.298453308524247E-2</v>
      </c>
    </row>
    <row r="115" spans="1:19" s="23" customFormat="1" x14ac:dyDescent="0.25">
      <c r="A115" s="21" t="s">
        <v>214</v>
      </c>
      <c r="B115" s="21" t="s">
        <v>494</v>
      </c>
      <c r="C115" s="35">
        <f>SUMIF(SIGAF!$B$2:$B$500,$A115,SIGAF!$F$2:$F$500)</f>
        <v>12969269517</v>
      </c>
      <c r="D115" s="35">
        <f ca="1">SUMIF(SIGAF!$B$2:$B$500,$A115,SIGAF!$G$2:$G$364)</f>
        <v>12969269510.41</v>
      </c>
      <c r="E115" s="35">
        <f>SUMIF(SIGAF!$B$2:$B$500,$A115,SIGAF!$H$2:$H$500)</f>
        <v>0</v>
      </c>
      <c r="F115" s="67">
        <f t="shared" si="22"/>
        <v>0</v>
      </c>
      <c r="G115" s="35">
        <f>SUMIF(SIGAF!$B$2:$B$500,$A115,SIGAF!$I$2:$I$500)</f>
        <v>1112309965.5900002</v>
      </c>
      <c r="H115" s="67">
        <f t="shared" si="23"/>
        <v>8.5765043600334961E-2</v>
      </c>
      <c r="I115" s="35">
        <f>SUMIF(SIGAF!$B$2:$B$500,$A115,SIGAF!$J$2:$J$500)</f>
        <v>0</v>
      </c>
      <c r="J115" s="67">
        <f t="shared" si="23"/>
        <v>0</v>
      </c>
      <c r="K115" s="35">
        <f>SUMIF(SIGAF!$B$2:$B$500,$A115,SIGAF!$K$2:$K$500)</f>
        <v>10890717174.57</v>
      </c>
      <c r="L115" s="174">
        <f t="shared" si="27"/>
        <v>0.83973250461751503</v>
      </c>
      <c r="M115" s="35">
        <f>SUMIF(SIGAF!$B$2:$B$500,$A115,SIGAF!$L$2:$L$500)</f>
        <v>10074703134.779999</v>
      </c>
      <c r="N115" s="67">
        <f t="shared" si="24"/>
        <v>0.77681346058651723</v>
      </c>
      <c r="O115" s="91">
        <f ca="1">SUMIF(SIGAF!$B$2:$B$500,$A115,SIGAF!$M$2:$M$364)</f>
        <v>966242376.84000003</v>
      </c>
      <c r="P115" s="67">
        <f t="shared" ca="1" si="25"/>
        <v>7.4502451782149981E-2</v>
      </c>
      <c r="Q115" s="35">
        <f ca="1">SUMIF(SIGAF!$B$2:$B$500,$A115,SIGAF!$N$2:$N$364)</f>
        <v>966242370.25</v>
      </c>
      <c r="R115" s="67">
        <f t="shared" ca="1" si="26"/>
        <v>7.4502451274025758E-2</v>
      </c>
      <c r="S115" s="156"/>
    </row>
    <row r="116" spans="1:19" x14ac:dyDescent="0.25">
      <c r="A116" s="11" t="s">
        <v>216</v>
      </c>
      <c r="B116" s="11" t="s">
        <v>495</v>
      </c>
      <c r="C116" s="13">
        <f>SUMIF(SIGAF!$B$2:$B$500,$A116,SIGAF!$F$2:$F$500)</f>
        <v>656809530</v>
      </c>
      <c r="D116" s="13">
        <f ca="1">SUMIF(SIGAF!$B$2:$B$500,$A116,SIGAF!$G$2:$G$364)</f>
        <v>656809529.85000002</v>
      </c>
      <c r="E116" s="13">
        <f>SUMIF(SIGAF!$B$2:$B$500,$A116,SIGAF!$H$2:$H$500)</f>
        <v>0</v>
      </c>
      <c r="F116" s="68">
        <f t="shared" si="22"/>
        <v>0</v>
      </c>
      <c r="G116" s="13">
        <f>SUMIF(SIGAF!$B$2:$B$500,$A116,SIGAF!$I$2:$I$500)</f>
        <v>42473595.5</v>
      </c>
      <c r="H116" s="68">
        <f t="shared" si="23"/>
        <v>6.4666533538269455E-2</v>
      </c>
      <c r="I116" s="13">
        <f>SUMIF(SIGAF!$B$2:$B$500,$A116,SIGAF!$J$2:$J$500)</f>
        <v>0</v>
      </c>
      <c r="J116" s="68">
        <f t="shared" si="23"/>
        <v>0</v>
      </c>
      <c r="K116" s="13">
        <f>SUMIF(SIGAF!$B$2:$B$500,$A116,SIGAF!$K$2:$K$500)</f>
        <v>592635717.36000001</v>
      </c>
      <c r="L116" s="175">
        <f t="shared" si="27"/>
        <v>0.90229463838626101</v>
      </c>
      <c r="M116" s="13">
        <f>SUMIF(SIGAF!$B$2:$B$500,$A116,SIGAF!$L$2:$L$500)</f>
        <v>478604100.64999998</v>
      </c>
      <c r="N116" s="68">
        <f t="shared" si="24"/>
        <v>0.72868020147332513</v>
      </c>
      <c r="O116" s="90">
        <f ca="1">SUMIF(SIGAF!$B$2:$B$500,$A116,SIGAF!$M$2:$M$364)</f>
        <v>21700217.140000001</v>
      </c>
      <c r="P116" s="68">
        <f t="shared" ca="1" si="25"/>
        <v>3.3038828075469609E-2</v>
      </c>
      <c r="Q116" s="13">
        <f ca="1">SUMIF(SIGAF!$B$2:$B$500,$A116,SIGAF!$N$2:$N$364)</f>
        <v>21700216.989999998</v>
      </c>
      <c r="R116" s="68">
        <f t="shared" ca="1" si="26"/>
        <v>3.3038827847092896E-2</v>
      </c>
      <c r="S116" s="157">
        <f ca="1">+S115/D10</f>
        <v>0</v>
      </c>
    </row>
    <row r="117" spans="1:19" x14ac:dyDescent="0.25">
      <c r="A117" s="11" t="s">
        <v>218</v>
      </c>
      <c r="B117" s="11" t="s">
        <v>496</v>
      </c>
      <c r="C117" s="13">
        <f>SUMIF(SIGAF!$B$2:$B$500,$A117,SIGAF!$F$2:$F$500)</f>
        <v>501418139</v>
      </c>
      <c r="D117" s="13">
        <f ca="1">SUMIF(SIGAF!$B$2:$B$500,$A117,SIGAF!$G$2:$G$364)</f>
        <v>501418138.85000002</v>
      </c>
      <c r="E117" s="13">
        <f>SUMIF(SIGAF!$B$2:$B$500,$A117,SIGAF!$H$2:$H$500)</f>
        <v>0</v>
      </c>
      <c r="F117" s="68">
        <f t="shared" si="22"/>
        <v>0</v>
      </c>
      <c r="G117" s="13">
        <f>SUMIF(SIGAF!$B$2:$B$500,$A117,SIGAF!$I$2:$I$500)</f>
        <v>41069517.380000003</v>
      </c>
      <c r="H117" s="68">
        <f t="shared" si="23"/>
        <v>8.190672451919416E-2</v>
      </c>
      <c r="I117" s="13">
        <f>SUMIF(SIGAF!$B$2:$B$500,$A117,SIGAF!$J$2:$J$500)</f>
        <v>0</v>
      </c>
      <c r="J117" s="68">
        <f t="shared" si="23"/>
        <v>0</v>
      </c>
      <c r="K117" s="13">
        <f>SUMIF(SIGAF!$B$2:$B$500,$A117,SIGAF!$K$2:$K$500)</f>
        <v>442091778.36000001</v>
      </c>
      <c r="L117" s="175">
        <f t="shared" si="27"/>
        <v>0.88168285902397325</v>
      </c>
      <c r="M117" s="13">
        <f>SUMIF(SIGAF!$B$2:$B$500,$A117,SIGAF!$L$2:$L$500)</f>
        <v>421351712.90000004</v>
      </c>
      <c r="N117" s="68">
        <f t="shared" si="24"/>
        <v>0.84032004454469889</v>
      </c>
      <c r="O117" s="90">
        <f ca="1">SUMIF(SIGAF!$B$2:$B$500,$A117,SIGAF!$M$2:$M$364)</f>
        <v>18256843.259999998</v>
      </c>
      <c r="P117" s="68">
        <f t="shared" ca="1" si="25"/>
        <v>3.6410416456832642E-2</v>
      </c>
      <c r="Q117" s="13">
        <f ca="1">SUMIF(SIGAF!$B$2:$B$500,$A117,SIGAF!$N$2:$N$364)</f>
        <v>18256843.109999999</v>
      </c>
      <c r="R117" s="68">
        <f t="shared" ca="1" si="26"/>
        <v>3.6410416157681126E-2</v>
      </c>
    </row>
    <row r="118" spans="1:19" x14ac:dyDescent="0.25">
      <c r="A118" s="11" t="s">
        <v>220</v>
      </c>
      <c r="B118" s="11" t="s">
        <v>497</v>
      </c>
      <c r="C118" s="13">
        <f>SUMIF(SIGAF!$B$2:$B$500,$A118,SIGAF!$F$2:$F$500)</f>
        <v>74120319</v>
      </c>
      <c r="D118" s="13">
        <f ca="1">SUMIF(SIGAF!$B$2:$B$500,$A118,SIGAF!$G$2:$G$364)</f>
        <v>74120319</v>
      </c>
      <c r="E118" s="13">
        <f>SUMIF(SIGAF!$B$2:$B$500,$A118,SIGAF!$H$2:$H$500)</f>
        <v>0</v>
      </c>
      <c r="F118" s="68">
        <f t="shared" si="22"/>
        <v>0</v>
      </c>
      <c r="G118" s="13">
        <f>SUMIF(SIGAF!$B$2:$B$500,$A118,SIGAF!$I$2:$I$500)</f>
        <v>0</v>
      </c>
      <c r="H118" s="68">
        <f t="shared" si="23"/>
        <v>0</v>
      </c>
      <c r="I118" s="13">
        <f>SUMIF(SIGAF!$B$2:$B$500,$A118,SIGAF!$J$2:$J$500)</f>
        <v>0</v>
      </c>
      <c r="J118" s="68">
        <f t="shared" si="23"/>
        <v>0</v>
      </c>
      <c r="K118" s="13">
        <f>SUMIF(SIGAF!$B$2:$B$500,$A118,SIGAF!$K$2:$K$500)</f>
        <v>73480605.120000005</v>
      </c>
      <c r="L118" s="175">
        <f t="shared" si="27"/>
        <v>0.99136925085279248</v>
      </c>
      <c r="M118" s="13">
        <f>SUMIF(SIGAF!$B$2:$B$500,$A118,SIGAF!$L$2:$L$500)</f>
        <v>31163605.120000001</v>
      </c>
      <c r="N118" s="68">
        <f t="shared" si="24"/>
        <v>0.42044618183577975</v>
      </c>
      <c r="O118" s="90">
        <f ca="1">SUMIF(SIGAF!$B$2:$B$500,$A118,SIGAF!$M$2:$M$364)</f>
        <v>639713.88</v>
      </c>
      <c r="P118" s="68">
        <f t="shared" ca="1" si="25"/>
        <v>8.6307491472075292E-3</v>
      </c>
      <c r="Q118" s="13">
        <f ca="1">SUMIF(SIGAF!$B$2:$B$500,$A118,SIGAF!$N$2:$N$364)</f>
        <v>639713.88</v>
      </c>
      <c r="R118" s="68">
        <f t="shared" ca="1" si="26"/>
        <v>8.6307491472075292E-3</v>
      </c>
    </row>
    <row r="119" spans="1:19" x14ac:dyDescent="0.25">
      <c r="A119" s="11" t="s">
        <v>385</v>
      </c>
      <c r="B119" s="11" t="s">
        <v>498</v>
      </c>
      <c r="C119" s="13">
        <f>SUMIF(SIGAF!$B$2:$B$500,$A119,SIGAF!$F$2:$F$500)</f>
        <v>1941000</v>
      </c>
      <c r="D119" s="13">
        <f ca="1">SUMIF(SIGAF!$B$2:$B$500,$A119,SIGAF!$G$2:$G$364)</f>
        <v>1941000</v>
      </c>
      <c r="E119" s="13">
        <f>SUMIF(SIGAF!$B$2:$B$500,$A119,SIGAF!$H$2:$H$500)</f>
        <v>0</v>
      </c>
      <c r="F119" s="68">
        <f t="shared" si="22"/>
        <v>0</v>
      </c>
      <c r="G119" s="13">
        <f>SUMIF(SIGAF!$B$2:$B$500,$A119,SIGAF!$I$2:$I$500)</f>
        <v>0</v>
      </c>
      <c r="H119" s="68">
        <f t="shared" si="23"/>
        <v>0</v>
      </c>
      <c r="I119" s="13">
        <f>SUMIF(SIGAF!$B$2:$B$500,$A119,SIGAF!$J$2:$J$500)</f>
        <v>0</v>
      </c>
      <c r="J119" s="68">
        <f t="shared" si="23"/>
        <v>0</v>
      </c>
      <c r="K119" s="13">
        <f>SUMIF(SIGAF!$B$2:$B$500,$A119,SIGAF!$K$2:$K$500)</f>
        <v>1746786.65</v>
      </c>
      <c r="L119" s="175">
        <f t="shared" si="27"/>
        <v>0.8999416022668727</v>
      </c>
      <c r="M119" s="13">
        <f>SUMIF(SIGAF!$B$2:$B$500,$A119,SIGAF!$L$2:$L$500)</f>
        <v>44935</v>
      </c>
      <c r="N119" s="68">
        <f t="shared" si="24"/>
        <v>2.3150437918598662E-2</v>
      </c>
      <c r="O119" s="90">
        <f ca="1">SUMIF(SIGAF!$B$2:$B$500,$A119,SIGAF!$M$2:$M$364)</f>
        <v>194213.35</v>
      </c>
      <c r="P119" s="68">
        <f t="shared" ca="1" si="25"/>
        <v>0.10005839773312726</v>
      </c>
      <c r="Q119" s="13">
        <f ca="1">SUMIF(SIGAF!$B$2:$B$500,$A119,SIGAF!$N$2:$N$364)</f>
        <v>194213.35</v>
      </c>
      <c r="R119" s="68">
        <f t="shared" ca="1" si="26"/>
        <v>0.10005839773312726</v>
      </c>
    </row>
    <row r="120" spans="1:19" x14ac:dyDescent="0.25">
      <c r="A120" s="11" t="s">
        <v>222</v>
      </c>
      <c r="B120" s="11" t="s">
        <v>499</v>
      </c>
      <c r="C120" s="13">
        <f>SUMIF(SIGAF!$B$2:$B$500,$A120,SIGAF!$F$2:$F$500)</f>
        <v>78709402</v>
      </c>
      <c r="D120" s="13">
        <f ca="1">SUMIF(SIGAF!$B$2:$B$500,$A120,SIGAF!$G$2:$G$364)</f>
        <v>78709402</v>
      </c>
      <c r="E120" s="13">
        <f>SUMIF(SIGAF!$B$2:$B$500,$A120,SIGAF!$H$2:$H$500)</f>
        <v>0</v>
      </c>
      <c r="F120" s="68">
        <f t="shared" si="22"/>
        <v>0</v>
      </c>
      <c r="G120" s="13">
        <f>SUMIF(SIGAF!$B$2:$B$500,$A120,SIGAF!$I$2:$I$500)</f>
        <v>1404078.1199999999</v>
      </c>
      <c r="H120" s="68">
        <f t="shared" si="23"/>
        <v>1.7838759847267037E-2</v>
      </c>
      <c r="I120" s="13">
        <f>SUMIF(SIGAF!$B$2:$B$500,$A120,SIGAF!$J$2:$J$500)</f>
        <v>0</v>
      </c>
      <c r="J120" s="68">
        <f t="shared" si="23"/>
        <v>0</v>
      </c>
      <c r="K120" s="13">
        <f>SUMIF(SIGAF!$B$2:$B$500,$A120,SIGAF!$K$2:$K$500)</f>
        <v>74718537.230000004</v>
      </c>
      <c r="L120" s="175">
        <f t="shared" si="27"/>
        <v>0.94929621279551846</v>
      </c>
      <c r="M120" s="13">
        <f>SUMIF(SIGAF!$B$2:$B$500,$A120,SIGAF!$L$2:$L$500)</f>
        <v>25445837.629999999</v>
      </c>
      <c r="N120" s="68">
        <f t="shared" si="24"/>
        <v>0.32328841260920771</v>
      </c>
      <c r="O120" s="90">
        <f ca="1">SUMIF(SIGAF!$B$2:$B$500,$A120,SIGAF!$M$2:$M$364)</f>
        <v>2586786.65</v>
      </c>
      <c r="P120" s="68">
        <f t="shared" ca="1" si="25"/>
        <v>3.2865027357214582E-2</v>
      </c>
      <c r="Q120" s="13">
        <f ca="1">SUMIF(SIGAF!$B$2:$B$500,$A120,SIGAF!$N$2:$N$364)</f>
        <v>2586786.65</v>
      </c>
      <c r="R120" s="68">
        <f t="shared" ca="1" si="26"/>
        <v>3.2865027357214582E-2</v>
      </c>
    </row>
    <row r="121" spans="1:19" x14ac:dyDescent="0.25">
      <c r="A121" s="11" t="s">
        <v>224</v>
      </c>
      <c r="B121" s="11" t="s">
        <v>500</v>
      </c>
      <c r="C121" s="13">
        <f>SUMIF(SIGAF!$B$2:$B$500,$A121,SIGAF!$F$2:$F$500)</f>
        <v>620670</v>
      </c>
      <c r="D121" s="13">
        <f ca="1">SUMIF(SIGAF!$B$2:$B$500,$A121,SIGAF!$G$2:$G$364)</f>
        <v>620670</v>
      </c>
      <c r="E121" s="13">
        <f>SUMIF(SIGAF!$B$2:$B$500,$A121,SIGAF!$H$2:$H$500)</f>
        <v>0</v>
      </c>
      <c r="F121" s="68">
        <f t="shared" si="22"/>
        <v>0</v>
      </c>
      <c r="G121" s="13">
        <f>SUMIF(SIGAF!$B$2:$B$500,$A121,SIGAF!$I$2:$I$500)</f>
        <v>0</v>
      </c>
      <c r="H121" s="68">
        <f t="shared" si="23"/>
        <v>0</v>
      </c>
      <c r="I121" s="13">
        <f>SUMIF(SIGAF!$B$2:$B$500,$A121,SIGAF!$J$2:$J$500)</f>
        <v>0</v>
      </c>
      <c r="J121" s="68">
        <f t="shared" si="23"/>
        <v>0</v>
      </c>
      <c r="K121" s="13">
        <f>SUMIF(SIGAF!$B$2:$B$500,$A121,SIGAF!$K$2:$K$500)</f>
        <v>598010</v>
      </c>
      <c r="L121" s="175">
        <f t="shared" si="27"/>
        <v>0.96349106610598223</v>
      </c>
      <c r="M121" s="13">
        <f>SUMIF(SIGAF!$B$2:$B$500,$A121,SIGAF!$L$2:$L$500)</f>
        <v>598010</v>
      </c>
      <c r="N121" s="68">
        <f t="shared" si="24"/>
        <v>0.96349106610598223</v>
      </c>
      <c r="O121" s="90">
        <f ca="1">SUMIF(SIGAF!$B$2:$B$500,$A121,SIGAF!$M$2:$M$364)</f>
        <v>22660</v>
      </c>
      <c r="P121" s="68">
        <f t="shared" ca="1" si="25"/>
        <v>3.6508933894017756E-2</v>
      </c>
      <c r="Q121" s="13">
        <f ca="1">SUMIF(SIGAF!$B$2:$B$500,$A121,SIGAF!$N$2:$N$364)</f>
        <v>22660</v>
      </c>
      <c r="R121" s="68">
        <f t="shared" ca="1" si="26"/>
        <v>3.6508933894017756E-2</v>
      </c>
    </row>
    <row r="122" spans="1:19" x14ac:dyDescent="0.25">
      <c r="A122" s="11" t="s">
        <v>226</v>
      </c>
      <c r="B122" s="11" t="s">
        <v>501</v>
      </c>
      <c r="C122" s="13">
        <f>SUMIF(SIGAF!$B$2:$B$500,$A122,SIGAF!$F$2:$F$500)</f>
        <v>10482991903</v>
      </c>
      <c r="D122" s="13">
        <f ca="1">SUMIF(SIGAF!$B$2:$B$500,$A122,SIGAF!$G$2:$G$364)</f>
        <v>10482991898.870001</v>
      </c>
      <c r="E122" s="13">
        <f>SUMIF(SIGAF!$B$2:$B$500,$A122,SIGAF!$H$2:$H$500)</f>
        <v>0</v>
      </c>
      <c r="F122" s="68">
        <f t="shared" si="22"/>
        <v>0</v>
      </c>
      <c r="G122" s="13">
        <f>SUMIF(SIGAF!$B$2:$B$500,$A122,SIGAF!$I$2:$I$500)</f>
        <v>1007682830.34</v>
      </c>
      <c r="H122" s="68">
        <f t="shared" si="23"/>
        <v>9.6125499252901606E-2</v>
      </c>
      <c r="I122" s="13">
        <f>SUMIF(SIGAF!$B$2:$B$500,$A122,SIGAF!$J$2:$J$500)</f>
        <v>0</v>
      </c>
      <c r="J122" s="68">
        <f t="shared" si="23"/>
        <v>0</v>
      </c>
      <c r="K122" s="13">
        <f>SUMIF(SIGAF!$B$2:$B$500,$A122,SIGAF!$K$2:$K$500)</f>
        <v>8642263848.6100006</v>
      </c>
      <c r="L122" s="175">
        <f t="shared" si="27"/>
        <v>0.82440813925810397</v>
      </c>
      <c r="M122" s="13">
        <f>SUMIF(SIGAF!$B$2:$B$500,$A122,SIGAF!$L$2:$L$500)</f>
        <v>8172842318.0100002</v>
      </c>
      <c r="N122" s="68">
        <f t="shared" si="24"/>
        <v>0.77962879239381211</v>
      </c>
      <c r="O122" s="90">
        <f ca="1">SUMIF(SIGAF!$B$2:$B$500,$A122,SIGAF!$M$2:$M$364)</f>
        <v>833045224.04999995</v>
      </c>
      <c r="P122" s="68">
        <f t="shared" ca="1" si="25"/>
        <v>7.9466361488994455E-2</v>
      </c>
      <c r="Q122" s="13">
        <f ca="1">SUMIF(SIGAF!$B$2:$B$500,$A122,SIGAF!$N$2:$N$364)</f>
        <v>833045219.91999996</v>
      </c>
      <c r="R122" s="68">
        <f t="shared" ca="1" si="26"/>
        <v>7.9466361095022961E-2</v>
      </c>
    </row>
    <row r="123" spans="1:19" x14ac:dyDescent="0.25">
      <c r="A123" s="11" t="s">
        <v>228</v>
      </c>
      <c r="B123" s="11" t="s">
        <v>229</v>
      </c>
      <c r="C123" s="13">
        <f>SUMIF(SIGAF!$B$2:$B$500,$A123,SIGAF!$F$2:$F$500)</f>
        <v>10474291903</v>
      </c>
      <c r="D123" s="13">
        <f ca="1">SUMIF(SIGAF!$B$2:$B$500,$A123,SIGAF!$G$2:$G$364)</f>
        <v>10474291898.870001</v>
      </c>
      <c r="E123" s="13">
        <f>SUMIF(SIGAF!$B$2:$B$500,$A123,SIGAF!$H$2:$H$500)</f>
        <v>0</v>
      </c>
      <c r="F123" s="68">
        <f t="shared" si="22"/>
        <v>0</v>
      </c>
      <c r="G123" s="13">
        <f>SUMIF(SIGAF!$B$2:$B$500,$A123,SIGAF!$I$2:$I$500)</f>
        <v>1007682830.34</v>
      </c>
      <c r="H123" s="68">
        <f t="shared" si="23"/>
        <v>9.6205341580310938E-2</v>
      </c>
      <c r="I123" s="13">
        <f>SUMIF(SIGAF!$B$2:$B$500,$A123,SIGAF!$J$2:$J$500)</f>
        <v>0</v>
      </c>
      <c r="J123" s="68">
        <f t="shared" si="23"/>
        <v>0</v>
      </c>
      <c r="K123" s="13">
        <f>SUMIF(SIGAF!$B$2:$B$500,$A123,SIGAF!$K$2:$K$500)</f>
        <v>8633565208.6100006</v>
      </c>
      <c r="L123" s="175">
        <f t="shared" si="27"/>
        <v>0.82426242160935126</v>
      </c>
      <c r="M123" s="13">
        <f>SUMIF(SIGAF!$B$2:$B$500,$A123,SIGAF!$L$2:$L$500)</f>
        <v>8164143678.0100002</v>
      </c>
      <c r="N123" s="68">
        <f t="shared" si="24"/>
        <v>0.77944588079234856</v>
      </c>
      <c r="O123" s="90">
        <f ca="1">SUMIF(SIGAF!$B$2:$B$500,$A123,SIGAF!$M$2:$M$364)</f>
        <v>833043864.04999995</v>
      </c>
      <c r="P123" s="68">
        <f t="shared" ca="1" si="25"/>
        <v>7.9532236810337817E-2</v>
      </c>
      <c r="Q123" s="13">
        <f ca="1">SUMIF(SIGAF!$B$2:$B$500,$A123,SIGAF!$N$2:$N$364)</f>
        <v>833043859.91999996</v>
      </c>
      <c r="R123" s="68">
        <f t="shared" ca="1" si="26"/>
        <v>7.9532236416039084E-2</v>
      </c>
    </row>
    <row r="124" spans="1:19" x14ac:dyDescent="0.25">
      <c r="A124" s="11" t="s">
        <v>387</v>
      </c>
      <c r="B124" s="11" t="s">
        <v>502</v>
      </c>
      <c r="C124" s="13">
        <f>SUMIF(SIGAF!$B$2:$B$500,$A124,SIGAF!$F$2:$F$500)</f>
        <v>8700000</v>
      </c>
      <c r="D124" s="13">
        <f ca="1">SUMIF(SIGAF!$B$2:$B$500,$A124,SIGAF!$G$2:$G$364)</f>
        <v>8700000</v>
      </c>
      <c r="E124" s="13">
        <f>SUMIF(SIGAF!$B$2:$B$500,$A124,SIGAF!$H$2:$H$500)</f>
        <v>0</v>
      </c>
      <c r="F124" s="68">
        <f t="shared" si="22"/>
        <v>0</v>
      </c>
      <c r="G124" s="13">
        <f>SUMIF(SIGAF!$B$2:$B$500,$A124,SIGAF!$I$2:$I$500)</f>
        <v>0</v>
      </c>
      <c r="H124" s="68">
        <f t="shared" si="23"/>
        <v>0</v>
      </c>
      <c r="I124" s="13">
        <f>SUMIF(SIGAF!$B$2:$B$500,$A124,SIGAF!$J$2:$J$500)</f>
        <v>0</v>
      </c>
      <c r="J124" s="68">
        <f t="shared" si="23"/>
        <v>0</v>
      </c>
      <c r="K124" s="13">
        <f>SUMIF(SIGAF!$B$2:$B$500,$A124,SIGAF!$K$2:$K$500)</f>
        <v>8698640</v>
      </c>
      <c r="L124" s="175">
        <f t="shared" si="27"/>
        <v>0.99984367816091957</v>
      </c>
      <c r="M124" s="13">
        <f>SUMIF(SIGAF!$B$2:$B$500,$A124,SIGAF!$L$2:$L$500)</f>
        <v>8698640</v>
      </c>
      <c r="N124" s="68">
        <f t="shared" si="24"/>
        <v>0.99984367816091957</v>
      </c>
      <c r="O124" s="90">
        <f ca="1">SUMIF(SIGAF!$B$2:$B$500,$A124,SIGAF!$M$2:$M$364)</f>
        <v>1360</v>
      </c>
      <c r="P124" s="68">
        <f t="shared" ca="1" si="25"/>
        <v>1.5632183908045977E-4</v>
      </c>
      <c r="Q124" s="13">
        <f ca="1">SUMIF(SIGAF!$B$2:$B$500,$A124,SIGAF!$N$2:$N$364)</f>
        <v>1360</v>
      </c>
      <c r="R124" s="68">
        <f t="shared" ca="1" si="26"/>
        <v>1.5632183908045977E-4</v>
      </c>
    </row>
    <row r="125" spans="1:19" x14ac:dyDescent="0.25">
      <c r="A125" s="11" t="s">
        <v>230</v>
      </c>
      <c r="B125" s="11" t="s">
        <v>503</v>
      </c>
      <c r="C125" s="13">
        <f>SUMIF(SIGAF!$B$2:$B$500,$A125,SIGAF!$F$2:$F$500)</f>
        <v>616500479</v>
      </c>
      <c r="D125" s="13">
        <f ca="1">SUMIF(SIGAF!$B$2:$B$500,$A125,SIGAF!$G$2:$G$364)</f>
        <v>616500477.71000004</v>
      </c>
      <c r="E125" s="13">
        <f>SUMIF(SIGAF!$B$2:$B$500,$A125,SIGAF!$H$2:$H$500)</f>
        <v>0</v>
      </c>
      <c r="F125" s="68">
        <f t="shared" si="22"/>
        <v>0</v>
      </c>
      <c r="G125" s="13">
        <f>SUMIF(SIGAF!$B$2:$B$500,$A125,SIGAF!$I$2:$I$500)</f>
        <v>28285697.350000001</v>
      </c>
      <c r="H125" s="68">
        <f t="shared" si="23"/>
        <v>4.5881063054291647E-2</v>
      </c>
      <c r="I125" s="13">
        <f>SUMIF(SIGAF!$B$2:$B$500,$A125,SIGAF!$J$2:$J$500)</f>
        <v>0</v>
      </c>
      <c r="J125" s="68">
        <f t="shared" si="23"/>
        <v>0</v>
      </c>
      <c r="K125" s="13">
        <f>SUMIF(SIGAF!$B$2:$B$500,$A125,SIGAF!$K$2:$K$500)</f>
        <v>524473983.13</v>
      </c>
      <c r="L125" s="175">
        <f t="shared" si="27"/>
        <v>0.85072761659606111</v>
      </c>
      <c r="M125" s="13">
        <f>SUMIF(SIGAF!$B$2:$B$500,$A125,SIGAF!$L$2:$L$500)</f>
        <v>409441647.43000001</v>
      </c>
      <c r="N125" s="68">
        <f t="shared" si="24"/>
        <v>0.6641384092582352</v>
      </c>
      <c r="O125" s="90">
        <f ca="1">SUMIF(SIGAF!$B$2:$B$500,$A125,SIGAF!$M$2:$M$364)</f>
        <v>63740798.519999996</v>
      </c>
      <c r="P125" s="68">
        <f t="shared" ca="1" si="25"/>
        <v>0.10339132034964728</v>
      </c>
      <c r="Q125" s="13">
        <f ca="1">SUMIF(SIGAF!$B$2:$B$500,$A125,SIGAF!$N$2:$N$364)</f>
        <v>63740797.229999997</v>
      </c>
      <c r="R125" s="68">
        <f t="shared" ca="1" si="26"/>
        <v>0.10339131825719149</v>
      </c>
    </row>
    <row r="126" spans="1:19" x14ac:dyDescent="0.25">
      <c r="A126" s="11" t="s">
        <v>232</v>
      </c>
      <c r="B126" s="11" t="s">
        <v>504</v>
      </c>
      <c r="C126" s="13">
        <f>SUMIF(SIGAF!$B$2:$B$500,$A126,SIGAF!$F$2:$F$500)</f>
        <v>146255815</v>
      </c>
      <c r="D126" s="13">
        <f ca="1">SUMIF(SIGAF!$B$2:$B$500,$A126,SIGAF!$G$2:$G$364)</f>
        <v>146255815</v>
      </c>
      <c r="E126" s="13">
        <f>SUMIF(SIGAF!$B$2:$B$500,$A126,SIGAF!$H$2:$H$500)</f>
        <v>0</v>
      </c>
      <c r="F126" s="68">
        <f t="shared" si="22"/>
        <v>0</v>
      </c>
      <c r="G126" s="13">
        <f>SUMIF(SIGAF!$B$2:$B$500,$A126,SIGAF!$I$2:$I$500)</f>
        <v>12921037.6</v>
      </c>
      <c r="H126" s="68">
        <f t="shared" si="23"/>
        <v>8.834546236674419E-2</v>
      </c>
      <c r="I126" s="13">
        <f>SUMIF(SIGAF!$B$2:$B$500,$A126,SIGAF!$J$2:$J$500)</f>
        <v>0</v>
      </c>
      <c r="J126" s="68">
        <f t="shared" si="23"/>
        <v>0</v>
      </c>
      <c r="K126" s="13">
        <f>SUMIF(SIGAF!$B$2:$B$500,$A126,SIGAF!$K$2:$K$500)</f>
        <v>131233944.66000001</v>
      </c>
      <c r="L126" s="175">
        <f t="shared" si="27"/>
        <v>0.8972904404518891</v>
      </c>
      <c r="M126" s="13">
        <f>SUMIF(SIGAF!$B$2:$B$500,$A126,SIGAF!$L$2:$L$500)</f>
        <v>131161406.96000001</v>
      </c>
      <c r="N126" s="68">
        <f t="shared" si="24"/>
        <v>0.89679447589827455</v>
      </c>
      <c r="O126" s="90">
        <f ca="1">SUMIF(SIGAF!$B$2:$B$500,$A126,SIGAF!$M$2:$M$364)</f>
        <v>2100832.7400000002</v>
      </c>
      <c r="P126" s="68">
        <f t="shared" ca="1" si="25"/>
        <v>1.4364097181366773E-2</v>
      </c>
      <c r="Q126" s="13">
        <f ca="1">SUMIF(SIGAF!$B$2:$B$500,$A126,SIGAF!$N$2:$N$364)</f>
        <v>2100832.7400000002</v>
      </c>
      <c r="R126" s="68">
        <f t="shared" ca="1" si="26"/>
        <v>1.4364097181366773E-2</v>
      </c>
    </row>
    <row r="127" spans="1:19" x14ac:dyDescent="0.25">
      <c r="A127" s="11" t="s">
        <v>356</v>
      </c>
      <c r="B127" s="11" t="s">
        <v>505</v>
      </c>
      <c r="C127" s="13">
        <f>SUMIF(SIGAF!$B$2:$B$500,$A127,SIGAF!$F$2:$F$500)</f>
        <v>150899313</v>
      </c>
      <c r="D127" s="13">
        <f ca="1">SUMIF(SIGAF!$B$2:$B$500,$A127,SIGAF!$G$2:$G$364)</f>
        <v>150899312.69</v>
      </c>
      <c r="E127" s="13">
        <f>SUMIF(SIGAF!$B$2:$B$500,$A127,SIGAF!$H$2:$H$500)</f>
        <v>0</v>
      </c>
      <c r="F127" s="68">
        <f t="shared" si="22"/>
        <v>0</v>
      </c>
      <c r="G127" s="13">
        <f>SUMIF(SIGAF!$B$2:$B$500,$A127,SIGAF!$I$2:$I$500)</f>
        <v>0</v>
      </c>
      <c r="H127" s="68">
        <f t="shared" si="23"/>
        <v>0</v>
      </c>
      <c r="I127" s="13">
        <f>SUMIF(SIGAF!$B$2:$B$500,$A127,SIGAF!$J$2:$J$500)</f>
        <v>0</v>
      </c>
      <c r="J127" s="68">
        <f t="shared" si="23"/>
        <v>0</v>
      </c>
      <c r="K127" s="13">
        <f>SUMIF(SIGAF!$B$2:$B$500,$A127,SIGAF!$K$2:$K$500)</f>
        <v>146646841.69</v>
      </c>
      <c r="L127" s="175">
        <f t="shared" si="27"/>
        <v>0.9718191473144745</v>
      </c>
      <c r="M127" s="13">
        <f>SUMIF(SIGAF!$B$2:$B$500,$A127,SIGAF!$L$2:$L$500)</f>
        <v>53145259.689999998</v>
      </c>
      <c r="N127" s="68">
        <f t="shared" si="24"/>
        <v>0.35219020307932081</v>
      </c>
      <c r="O127" s="90">
        <f ca="1">SUMIF(SIGAF!$B$2:$B$500,$A127,SIGAF!$M$2:$M$364)</f>
        <v>4252471.3099999996</v>
      </c>
      <c r="P127" s="68">
        <f t="shared" ca="1" si="25"/>
        <v>2.8180852685525476E-2</v>
      </c>
      <c r="Q127" s="13">
        <f ca="1">SUMIF(SIGAF!$B$2:$B$500,$A127,SIGAF!$N$2:$N$364)</f>
        <v>4252471</v>
      </c>
      <c r="R127" s="68">
        <f t="shared" ca="1" si="26"/>
        <v>2.8180850631175505E-2</v>
      </c>
    </row>
    <row r="128" spans="1:19" x14ac:dyDescent="0.25">
      <c r="A128" s="11" t="s">
        <v>358</v>
      </c>
      <c r="B128" s="11" t="s">
        <v>506</v>
      </c>
      <c r="C128" s="13">
        <f>SUMIF(SIGAF!$B$2:$B$500,$A128,SIGAF!$F$2:$F$500)</f>
        <v>31483102</v>
      </c>
      <c r="D128" s="13">
        <f ca="1">SUMIF(SIGAF!$B$2:$B$500,$A128,SIGAF!$G$2:$G$364)</f>
        <v>31483102</v>
      </c>
      <c r="E128" s="13">
        <f>SUMIF(SIGAF!$B$2:$B$500,$A128,SIGAF!$H$2:$H$500)</f>
        <v>0</v>
      </c>
      <c r="F128" s="68">
        <f t="shared" si="22"/>
        <v>0</v>
      </c>
      <c r="G128" s="13">
        <f>SUMIF(SIGAF!$B$2:$B$500,$A128,SIGAF!$I$2:$I$500)</f>
        <v>0</v>
      </c>
      <c r="H128" s="68">
        <f t="shared" si="23"/>
        <v>0</v>
      </c>
      <c r="I128" s="13">
        <f>SUMIF(SIGAF!$B$2:$B$500,$A128,SIGAF!$J$2:$J$500)</f>
        <v>0</v>
      </c>
      <c r="J128" s="68">
        <f t="shared" si="23"/>
        <v>0</v>
      </c>
      <c r="K128" s="13">
        <f>SUMIF(SIGAF!$B$2:$B$500,$A128,SIGAF!$K$2:$K$500)</f>
        <v>30875957.5</v>
      </c>
      <c r="L128" s="175">
        <f t="shared" si="27"/>
        <v>0.98071522621881413</v>
      </c>
      <c r="M128" s="13">
        <f>SUMIF(SIGAF!$B$2:$B$500,$A128,SIGAF!$L$2:$L$500)</f>
        <v>30875957.5</v>
      </c>
      <c r="N128" s="68">
        <f t="shared" si="24"/>
        <v>0.98071522621881413</v>
      </c>
      <c r="O128" s="90">
        <f ca="1">SUMIF(SIGAF!$B$2:$B$500,$A128,SIGAF!$M$2:$M$364)</f>
        <v>607144.5</v>
      </c>
      <c r="P128" s="68">
        <f t="shared" ca="1" si="25"/>
        <v>1.9284773781185857E-2</v>
      </c>
      <c r="Q128" s="13">
        <f ca="1">SUMIF(SIGAF!$B$2:$B$500,$A128,SIGAF!$N$2:$N$364)</f>
        <v>607144.5</v>
      </c>
      <c r="R128" s="68">
        <f t="shared" ca="1" si="26"/>
        <v>1.9284773781185857E-2</v>
      </c>
    </row>
    <row r="129" spans="1:18" x14ac:dyDescent="0.25">
      <c r="A129" s="11" t="s">
        <v>234</v>
      </c>
      <c r="B129" s="11" t="s">
        <v>507</v>
      </c>
      <c r="C129" s="13">
        <f>SUMIF(SIGAF!$B$2:$B$500,$A129,SIGAF!$F$2:$F$500)</f>
        <v>202680625</v>
      </c>
      <c r="D129" s="13">
        <f ca="1">SUMIF(SIGAF!$B$2:$B$500,$A129,SIGAF!$G$2:$G$364)</f>
        <v>202680624.02000001</v>
      </c>
      <c r="E129" s="13">
        <f>SUMIF(SIGAF!$B$2:$B$500,$A129,SIGAF!$H$2:$H$500)</f>
        <v>0</v>
      </c>
      <c r="F129" s="68">
        <f t="shared" si="22"/>
        <v>0</v>
      </c>
      <c r="G129" s="13">
        <f>SUMIF(SIGAF!$B$2:$B$500,$A129,SIGAF!$I$2:$I$500)</f>
        <v>4176903.4</v>
      </c>
      <c r="H129" s="68">
        <f t="shared" si="23"/>
        <v>2.0608301360823218E-2</v>
      </c>
      <c r="I129" s="13">
        <f>SUMIF(SIGAF!$B$2:$B$500,$A129,SIGAF!$J$2:$J$500)</f>
        <v>0</v>
      </c>
      <c r="J129" s="68">
        <f t="shared" si="23"/>
        <v>0</v>
      </c>
      <c r="K129" s="13">
        <f>SUMIF(SIGAF!$B$2:$B$500,$A129,SIGAF!$K$2:$K$500)</f>
        <v>176263022.27999997</v>
      </c>
      <c r="L129" s="175">
        <f t="shared" si="27"/>
        <v>0.8696589636034523</v>
      </c>
      <c r="M129" s="13">
        <f>SUMIF(SIGAF!$B$2:$B$500,$A129,SIGAF!$L$2:$L$500)</f>
        <v>154804806.27999997</v>
      </c>
      <c r="N129" s="68">
        <f t="shared" si="24"/>
        <v>0.7637869001045362</v>
      </c>
      <c r="O129" s="90">
        <f ca="1">SUMIF(SIGAF!$B$2:$B$500,$A129,SIGAF!$M$2:$M$364)</f>
        <v>22240699.32</v>
      </c>
      <c r="P129" s="68">
        <f t="shared" ca="1" si="25"/>
        <v>0.10973273503572431</v>
      </c>
      <c r="Q129" s="13">
        <f ca="1">SUMIF(SIGAF!$B$2:$B$500,$A129,SIGAF!$N$2:$N$364)</f>
        <v>22240698.34</v>
      </c>
      <c r="R129" s="68">
        <f t="shared" ca="1" si="26"/>
        <v>0.10973273020053101</v>
      </c>
    </row>
    <row r="130" spans="1:18" x14ac:dyDescent="0.25">
      <c r="A130" s="11" t="s">
        <v>236</v>
      </c>
      <c r="B130" s="11" t="s">
        <v>508</v>
      </c>
      <c r="C130" s="13">
        <f>SUMIF(SIGAF!$B$2:$B$500,$A130,SIGAF!$F$2:$F$500)</f>
        <v>3050000</v>
      </c>
      <c r="D130" s="13">
        <f ca="1">SUMIF(SIGAF!$B$2:$B$500,$A130,SIGAF!$G$2:$G$364)</f>
        <v>3050000</v>
      </c>
      <c r="E130" s="13">
        <f>SUMIF(SIGAF!$B$2:$B$500,$A130,SIGAF!$H$2:$H$500)</f>
        <v>0</v>
      </c>
      <c r="F130" s="68">
        <f t="shared" si="22"/>
        <v>0</v>
      </c>
      <c r="G130" s="13">
        <f>SUMIF(SIGAF!$B$2:$B$500,$A130,SIGAF!$I$2:$I$500)</f>
        <v>0</v>
      </c>
      <c r="H130" s="68">
        <f t="shared" si="23"/>
        <v>0</v>
      </c>
      <c r="I130" s="13">
        <f>SUMIF(SIGAF!$B$2:$B$500,$A130,SIGAF!$J$2:$J$500)</f>
        <v>0</v>
      </c>
      <c r="J130" s="68">
        <f t="shared" si="23"/>
        <v>0</v>
      </c>
      <c r="K130" s="13">
        <f>SUMIF(SIGAF!$B$2:$B$500,$A130,SIGAF!$K$2:$K$500)</f>
        <v>2754168</v>
      </c>
      <c r="L130" s="175">
        <f t="shared" si="27"/>
        <v>0.90300590163934424</v>
      </c>
      <c r="M130" s="13">
        <f>SUMIF(SIGAF!$B$2:$B$500,$A130,SIGAF!$L$2:$L$500)</f>
        <v>2754168</v>
      </c>
      <c r="N130" s="68">
        <f t="shared" si="24"/>
        <v>0.90300590163934424</v>
      </c>
      <c r="O130" s="90">
        <f ca="1">SUMIF(SIGAF!$B$2:$B$500,$A130,SIGAF!$M$2:$M$364)</f>
        <v>295832</v>
      </c>
      <c r="P130" s="68">
        <f t="shared" ca="1" si="25"/>
        <v>9.6994098360655742E-2</v>
      </c>
      <c r="Q130" s="13">
        <f ca="1">SUMIF(SIGAF!$B$2:$B$500,$A130,SIGAF!$N$2:$N$364)</f>
        <v>295832</v>
      </c>
      <c r="R130" s="68">
        <f t="shared" ca="1" si="26"/>
        <v>9.6994098360655742E-2</v>
      </c>
    </row>
    <row r="131" spans="1:18" x14ac:dyDescent="0.25">
      <c r="A131" s="11" t="s">
        <v>238</v>
      </c>
      <c r="B131" s="11" t="s">
        <v>509</v>
      </c>
      <c r="C131" s="13">
        <f>SUMIF(SIGAF!$B$2:$B$500,$A131,SIGAF!$F$2:$F$500)</f>
        <v>40275485</v>
      </c>
      <c r="D131" s="13">
        <f ca="1">SUMIF(SIGAF!$B$2:$B$500,$A131,SIGAF!$G$2:$G$364)</f>
        <v>40275485</v>
      </c>
      <c r="E131" s="13">
        <f>SUMIF(SIGAF!$B$2:$B$500,$A131,SIGAF!$H$2:$H$500)</f>
        <v>0</v>
      </c>
      <c r="F131" s="68">
        <f t="shared" si="22"/>
        <v>0</v>
      </c>
      <c r="G131" s="13">
        <f>SUMIF(SIGAF!$B$2:$B$500,$A131,SIGAF!$I$2:$I$500)</f>
        <v>7968629.3499999996</v>
      </c>
      <c r="H131" s="68">
        <f t="shared" si="23"/>
        <v>0.19785309475478693</v>
      </c>
      <c r="I131" s="13">
        <f>SUMIF(SIGAF!$B$2:$B$500,$A131,SIGAF!$J$2:$J$500)</f>
        <v>0</v>
      </c>
      <c r="J131" s="68">
        <f t="shared" si="23"/>
        <v>0</v>
      </c>
      <c r="K131" s="13">
        <f>SUMIF(SIGAF!$B$2:$B$500,$A131,SIGAF!$K$2:$K$500)</f>
        <v>15273018.449999999</v>
      </c>
      <c r="L131" s="175">
        <f t="shared" si="27"/>
        <v>0.37921376862376704</v>
      </c>
      <c r="M131" s="13">
        <f>SUMIF(SIGAF!$B$2:$B$500,$A131,SIGAF!$L$2:$L$500)</f>
        <v>15273018.449999999</v>
      </c>
      <c r="N131" s="68">
        <f t="shared" si="24"/>
        <v>0.37921376862376704</v>
      </c>
      <c r="O131" s="90">
        <f ca="1">SUMIF(SIGAF!$B$2:$B$500,$A131,SIGAF!$M$2:$M$364)</f>
        <v>17033837.199999999</v>
      </c>
      <c r="P131" s="68">
        <f t="shared" ca="1" si="25"/>
        <v>0.42293313662144599</v>
      </c>
      <c r="Q131" s="13">
        <f ca="1">SUMIF(SIGAF!$B$2:$B$500,$A131,SIGAF!$N$2:$N$364)</f>
        <v>17033837.199999999</v>
      </c>
      <c r="R131" s="68">
        <f t="shared" ca="1" si="26"/>
        <v>0.42293313662144599</v>
      </c>
    </row>
    <row r="132" spans="1:18" x14ac:dyDescent="0.25">
      <c r="A132" s="11" t="s">
        <v>240</v>
      </c>
      <c r="B132" s="11" t="s">
        <v>510</v>
      </c>
      <c r="C132" s="13">
        <f>SUMIF(SIGAF!$B$2:$B$500,$A132,SIGAF!$F$2:$F$500)</f>
        <v>41856139</v>
      </c>
      <c r="D132" s="13">
        <f ca="1">SUMIF(SIGAF!$B$2:$B$500,$A132,SIGAF!$G$2:$G$364)</f>
        <v>41856139</v>
      </c>
      <c r="E132" s="13">
        <f>SUMIF(SIGAF!$B$2:$B$500,$A132,SIGAF!$H$2:$H$500)</f>
        <v>0</v>
      </c>
      <c r="F132" s="68">
        <f t="shared" si="22"/>
        <v>0</v>
      </c>
      <c r="G132" s="13">
        <f>SUMIF(SIGAF!$B$2:$B$500,$A132,SIGAF!$I$2:$I$500)</f>
        <v>3219127</v>
      </c>
      <c r="H132" s="68">
        <f t="shared" si="23"/>
        <v>7.6909315500887462E-2</v>
      </c>
      <c r="I132" s="13">
        <f>SUMIF(SIGAF!$B$2:$B$500,$A132,SIGAF!$J$2:$J$500)</f>
        <v>0</v>
      </c>
      <c r="J132" s="68">
        <f t="shared" si="23"/>
        <v>0</v>
      </c>
      <c r="K132" s="13">
        <f>SUMIF(SIGAF!$B$2:$B$500,$A132,SIGAF!$K$2:$K$500)</f>
        <v>21427030.550000001</v>
      </c>
      <c r="L132" s="175">
        <f t="shared" si="27"/>
        <v>0.51192085705755142</v>
      </c>
      <c r="M132" s="13">
        <f>SUMIF(SIGAF!$B$2:$B$500,$A132,SIGAF!$L$2:$L$500)</f>
        <v>21427030.550000001</v>
      </c>
      <c r="N132" s="68">
        <f t="shared" si="24"/>
        <v>0.51192085705755142</v>
      </c>
      <c r="O132" s="90">
        <f ca="1">SUMIF(SIGAF!$B$2:$B$500,$A132,SIGAF!$M$2:$M$364)</f>
        <v>17209981.449999999</v>
      </c>
      <c r="P132" s="68">
        <f t="shared" ca="1" si="25"/>
        <v>0.41116982744156116</v>
      </c>
      <c r="Q132" s="13">
        <f ca="1">SUMIF(SIGAF!$B$2:$B$500,$A132,SIGAF!$N$2:$N$364)</f>
        <v>17209981.449999999</v>
      </c>
      <c r="R132" s="68">
        <f t="shared" ca="1" si="26"/>
        <v>0.41116982744156116</v>
      </c>
    </row>
    <row r="133" spans="1:18" x14ac:dyDescent="0.25">
      <c r="A133" s="11" t="s">
        <v>242</v>
      </c>
      <c r="B133" s="11" t="s">
        <v>511</v>
      </c>
      <c r="C133" s="13">
        <f>SUMIF(SIGAF!$B$2:$B$500,$A133,SIGAF!$F$2:$F$500)</f>
        <v>241224577</v>
      </c>
      <c r="D133" s="13">
        <f ca="1">SUMIF(SIGAF!$B$2:$B$500,$A133,SIGAF!$G$2:$G$364)</f>
        <v>241224576.47</v>
      </c>
      <c r="E133" s="13">
        <f>SUMIF(SIGAF!$B$2:$B$500,$A133,SIGAF!$H$2:$H$500)</f>
        <v>0</v>
      </c>
      <c r="F133" s="68">
        <f t="shared" si="22"/>
        <v>0</v>
      </c>
      <c r="G133" s="13">
        <f>SUMIF(SIGAF!$B$2:$B$500,$A133,SIGAF!$I$2:$I$500)</f>
        <v>7068422.04</v>
      </c>
      <c r="H133" s="68">
        <f t="shared" si="23"/>
        <v>2.9302246594881582E-2</v>
      </c>
      <c r="I133" s="13">
        <f>SUMIF(SIGAF!$B$2:$B$500,$A133,SIGAF!$J$2:$J$500)</f>
        <v>0</v>
      </c>
      <c r="J133" s="68">
        <f t="shared" si="23"/>
        <v>0</v>
      </c>
      <c r="K133" s="13">
        <f>SUMIF(SIGAF!$B$2:$B$500,$A133,SIGAF!$K$2:$K$500)</f>
        <v>214032808.08999997</v>
      </c>
      <c r="L133" s="175">
        <f t="shared" si="27"/>
        <v>0.88727612564121094</v>
      </c>
      <c r="M133" s="13">
        <f>SUMIF(SIGAF!$B$2:$B$500,$A133,SIGAF!$L$2:$L$500)</f>
        <v>183971998.59999999</v>
      </c>
      <c r="N133" s="68">
        <f t="shared" si="24"/>
        <v>0.76265860173940736</v>
      </c>
      <c r="O133" s="90">
        <f ca="1">SUMIF(SIGAF!$B$2:$B$500,$A133,SIGAF!$M$2:$M$364)</f>
        <v>20123346.869999997</v>
      </c>
      <c r="P133" s="68">
        <f t="shared" ca="1" si="25"/>
        <v>8.3421627763907311E-2</v>
      </c>
      <c r="Q133" s="13">
        <f ca="1">SUMIF(SIGAF!$B$2:$B$500,$A133,SIGAF!$N$2:$N$364)</f>
        <v>20123346.340000004</v>
      </c>
      <c r="R133" s="68">
        <f t="shared" ca="1" si="26"/>
        <v>8.3421625566784618E-2</v>
      </c>
    </row>
    <row r="134" spans="1:18" x14ac:dyDescent="0.25">
      <c r="A134" s="11" t="s">
        <v>244</v>
      </c>
      <c r="B134" s="11" t="s">
        <v>512</v>
      </c>
      <c r="C134" s="13">
        <f>SUMIF(SIGAF!$B$2:$B$500,$A134,SIGAF!$F$2:$F$500)</f>
        <v>72898412</v>
      </c>
      <c r="D134" s="13">
        <f ca="1">SUMIF(SIGAF!$B$2:$B$500,$A134,SIGAF!$G$2:$G$364)</f>
        <v>72898411.590000004</v>
      </c>
      <c r="E134" s="13">
        <f>SUMIF(SIGAF!$B$2:$B$500,$A134,SIGAF!$H$2:$H$500)</f>
        <v>0</v>
      </c>
      <c r="F134" s="68">
        <f t="shared" si="22"/>
        <v>0</v>
      </c>
      <c r="G134" s="13">
        <f>SUMIF(SIGAF!$B$2:$B$500,$A134,SIGAF!$I$2:$I$500)</f>
        <v>2191792</v>
      </c>
      <c r="H134" s="68">
        <f t="shared" si="23"/>
        <v>3.0066388826137942E-2</v>
      </c>
      <c r="I134" s="13">
        <f>SUMIF(SIGAF!$B$2:$B$500,$A134,SIGAF!$J$2:$J$500)</f>
        <v>0</v>
      </c>
      <c r="J134" s="68">
        <f t="shared" si="23"/>
        <v>0</v>
      </c>
      <c r="K134" s="13">
        <f>SUMIF(SIGAF!$B$2:$B$500,$A134,SIGAF!$K$2:$K$500)</f>
        <v>62077479.509999998</v>
      </c>
      <c r="L134" s="175">
        <f t="shared" si="27"/>
        <v>0.85156147859572029</v>
      </c>
      <c r="M134" s="13">
        <f>SUMIF(SIGAF!$B$2:$B$500,$A134,SIGAF!$L$2:$L$500)</f>
        <v>61420991.450000003</v>
      </c>
      <c r="N134" s="68">
        <f t="shared" si="24"/>
        <v>0.84255595924366644</v>
      </c>
      <c r="O134" s="90">
        <f ca="1">SUMIF(SIGAF!$B$2:$B$500,$A134,SIGAF!$M$2:$M$364)</f>
        <v>8629140.4900000002</v>
      </c>
      <c r="P134" s="68">
        <f t="shared" ca="1" si="25"/>
        <v>0.11837213257814176</v>
      </c>
      <c r="Q134" s="13">
        <f ca="1">SUMIF(SIGAF!$B$2:$B$500,$A134,SIGAF!$N$2:$N$364)</f>
        <v>8629140.0800000001</v>
      </c>
      <c r="R134" s="68">
        <f t="shared" ca="1" si="26"/>
        <v>0.11837212695387658</v>
      </c>
    </row>
    <row r="135" spans="1:18" x14ac:dyDescent="0.25">
      <c r="A135" s="11" t="s">
        <v>246</v>
      </c>
      <c r="B135" s="11" t="s">
        <v>513</v>
      </c>
      <c r="C135" s="13">
        <f>SUMIF(SIGAF!$B$2:$B$500,$A135,SIGAF!$F$2:$F$500)</f>
        <v>168326165</v>
      </c>
      <c r="D135" s="13">
        <f ca="1">SUMIF(SIGAF!$B$2:$B$500,$A135,SIGAF!$G$2:$G$364)</f>
        <v>168326164.88</v>
      </c>
      <c r="E135" s="13">
        <f>SUMIF(SIGAF!$B$2:$B$500,$A135,SIGAF!$H$2:$H$500)</f>
        <v>0</v>
      </c>
      <c r="F135" s="68">
        <f t="shared" si="22"/>
        <v>0</v>
      </c>
      <c r="G135" s="13">
        <f>SUMIF(SIGAF!$B$2:$B$500,$A135,SIGAF!$I$2:$I$500)</f>
        <v>4876630.04</v>
      </c>
      <c r="H135" s="68">
        <f t="shared" si="23"/>
        <v>2.8971313164533868E-2</v>
      </c>
      <c r="I135" s="13">
        <f>SUMIF(SIGAF!$B$2:$B$500,$A135,SIGAF!$J$2:$J$500)</f>
        <v>0</v>
      </c>
      <c r="J135" s="68">
        <f t="shared" si="23"/>
        <v>0</v>
      </c>
      <c r="K135" s="13">
        <f>SUMIF(SIGAF!$B$2:$B$500,$A135,SIGAF!$K$2:$K$500)</f>
        <v>151955328.58000001</v>
      </c>
      <c r="L135" s="175">
        <f t="shared" si="27"/>
        <v>0.90274336482388229</v>
      </c>
      <c r="M135" s="13">
        <f>SUMIF(SIGAF!$B$2:$B$500,$A135,SIGAF!$L$2:$L$500)</f>
        <v>122551007.14999999</v>
      </c>
      <c r="N135" s="68">
        <f t="shared" si="24"/>
        <v>0.72805678873513213</v>
      </c>
      <c r="O135" s="90">
        <f ca="1">SUMIF(SIGAF!$B$2:$B$500,$A135,SIGAF!$M$2:$M$364)</f>
        <v>11494206.379999999</v>
      </c>
      <c r="P135" s="68">
        <f t="shared" ca="1" si="25"/>
        <v>6.8285322011583868E-2</v>
      </c>
      <c r="Q135" s="13">
        <f ca="1">SUMIF(SIGAF!$B$2:$B$500,$A135,SIGAF!$N$2:$N$364)</f>
        <v>11494206.26</v>
      </c>
      <c r="R135" s="68">
        <f t="shared" ca="1" si="26"/>
        <v>6.8285321298682228E-2</v>
      </c>
    </row>
    <row r="136" spans="1:18" x14ac:dyDescent="0.25">
      <c r="A136" s="11" t="s">
        <v>248</v>
      </c>
      <c r="B136" s="11" t="s">
        <v>514</v>
      </c>
      <c r="C136" s="13">
        <f>SUMIF(SIGAF!$B$2:$B$500,$A136,SIGAF!$F$2:$F$500)</f>
        <v>971743028</v>
      </c>
      <c r="D136" s="13">
        <f ca="1">SUMIF(SIGAF!$B$2:$B$500,$A136,SIGAF!$G$2:$G$364)</f>
        <v>971743027.50999999</v>
      </c>
      <c r="E136" s="13">
        <f>SUMIF(SIGAF!$B$2:$B$500,$A136,SIGAF!$H$2:$H$500)</f>
        <v>0</v>
      </c>
      <c r="F136" s="68">
        <f t="shared" si="22"/>
        <v>0</v>
      </c>
      <c r="G136" s="13">
        <f>SUMIF(SIGAF!$B$2:$B$500,$A136,SIGAF!$I$2:$I$500)</f>
        <v>26799420.359999999</v>
      </c>
      <c r="H136" s="68">
        <f t="shared" si="23"/>
        <v>2.7578711231051919E-2</v>
      </c>
      <c r="I136" s="13">
        <f>SUMIF(SIGAF!$B$2:$B$500,$A136,SIGAF!$J$2:$J$500)</f>
        <v>0</v>
      </c>
      <c r="J136" s="68">
        <f t="shared" si="23"/>
        <v>0</v>
      </c>
      <c r="K136" s="13">
        <f>SUMIF(SIGAF!$B$2:$B$500,$A136,SIGAF!$K$2:$K$500)</f>
        <v>917310817.38</v>
      </c>
      <c r="L136" s="175">
        <f t="shared" si="27"/>
        <v>0.94398497436917039</v>
      </c>
      <c r="M136" s="13">
        <f>SUMIF(SIGAF!$B$2:$B$500,$A136,SIGAF!$L$2:$L$500)</f>
        <v>829843070.08999991</v>
      </c>
      <c r="N136" s="68">
        <f t="shared" si="24"/>
        <v>0.85397378337557772</v>
      </c>
      <c r="O136" s="90">
        <f ca="1">SUMIF(SIGAF!$B$2:$B$500,$A136,SIGAF!$M$2:$M$364)</f>
        <v>27632790.260000002</v>
      </c>
      <c r="P136" s="68">
        <f t="shared" ca="1" si="25"/>
        <v>2.8436314399777719E-2</v>
      </c>
      <c r="Q136" s="13">
        <f ca="1">SUMIF(SIGAF!$B$2:$B$500,$A136,SIGAF!$N$2:$N$364)</f>
        <v>27632789.77</v>
      </c>
      <c r="R136" s="68">
        <f t="shared" ca="1" si="26"/>
        <v>2.843631389552918E-2</v>
      </c>
    </row>
    <row r="137" spans="1:18" x14ac:dyDescent="0.25">
      <c r="A137" s="11" t="s">
        <v>250</v>
      </c>
      <c r="B137" s="11" t="s">
        <v>515</v>
      </c>
      <c r="C137" s="13">
        <f>SUMIF(SIGAF!$B$2:$B$500,$A137,SIGAF!$F$2:$F$500)</f>
        <v>16946576</v>
      </c>
      <c r="D137" s="13">
        <f ca="1">SUMIF(SIGAF!$B$2:$B$500,$A137,SIGAF!$G$2:$G$364)</f>
        <v>16946576</v>
      </c>
      <c r="E137" s="13">
        <f>SUMIF(SIGAF!$B$2:$B$500,$A137,SIGAF!$H$2:$H$500)</f>
        <v>0</v>
      </c>
      <c r="F137" s="68">
        <f t="shared" si="22"/>
        <v>0</v>
      </c>
      <c r="G137" s="13">
        <f>SUMIF(SIGAF!$B$2:$B$500,$A137,SIGAF!$I$2:$I$500)</f>
        <v>364100.12</v>
      </c>
      <c r="H137" s="68">
        <f t="shared" si="23"/>
        <v>2.1485173170084623E-2</v>
      </c>
      <c r="I137" s="13">
        <f>SUMIF(SIGAF!$B$2:$B$500,$A137,SIGAF!$J$2:$J$500)</f>
        <v>0</v>
      </c>
      <c r="J137" s="68">
        <f t="shared" si="23"/>
        <v>0</v>
      </c>
      <c r="K137" s="13">
        <f>SUMIF(SIGAF!$B$2:$B$500,$A137,SIGAF!$K$2:$K$500)</f>
        <v>16228378.01</v>
      </c>
      <c r="L137" s="175">
        <f t="shared" si="27"/>
        <v>0.95761987613309019</v>
      </c>
      <c r="M137" s="13">
        <f>SUMIF(SIGAF!$B$2:$B$500,$A137,SIGAF!$L$2:$L$500)</f>
        <v>14737573.550000001</v>
      </c>
      <c r="N137" s="68">
        <f t="shared" si="24"/>
        <v>0.86964904001846755</v>
      </c>
      <c r="O137" s="90">
        <f ca="1">SUMIF(SIGAF!$B$2:$B$500,$A137,SIGAF!$M$2:$M$364)</f>
        <v>354097.87</v>
      </c>
      <c r="P137" s="68">
        <f t="shared" ca="1" si="25"/>
        <v>2.0894950696825128E-2</v>
      </c>
      <c r="Q137" s="13">
        <f ca="1">SUMIF(SIGAF!$B$2:$B$500,$A137,SIGAF!$N$2:$N$364)</f>
        <v>354097.87</v>
      </c>
      <c r="R137" s="68">
        <f t="shared" ca="1" si="26"/>
        <v>2.0894950696825128E-2</v>
      </c>
    </row>
    <row r="138" spans="1:18" x14ac:dyDescent="0.25">
      <c r="A138" s="11" t="s">
        <v>252</v>
      </c>
      <c r="B138" s="11" t="s">
        <v>516</v>
      </c>
      <c r="C138" s="13">
        <f>SUMIF(SIGAF!$B$2:$B$500,$A138,SIGAF!$F$2:$F$500)</f>
        <v>12382557</v>
      </c>
      <c r="D138" s="13">
        <f ca="1">SUMIF(SIGAF!$B$2:$B$500,$A138,SIGAF!$G$2:$G$364)</f>
        <v>12382557</v>
      </c>
      <c r="E138" s="13">
        <f>SUMIF(SIGAF!$B$2:$B$500,$A138,SIGAF!$H$2:$H$500)</f>
        <v>0</v>
      </c>
      <c r="F138" s="68">
        <f t="shared" si="22"/>
        <v>0</v>
      </c>
      <c r="G138" s="13">
        <f>SUMIF(SIGAF!$B$2:$B$500,$A138,SIGAF!$I$2:$I$500)</f>
        <v>0</v>
      </c>
      <c r="H138" s="68">
        <f t="shared" si="23"/>
        <v>0</v>
      </c>
      <c r="I138" s="13">
        <f>SUMIF(SIGAF!$B$2:$B$500,$A138,SIGAF!$J$2:$J$500)</f>
        <v>0</v>
      </c>
      <c r="J138" s="68">
        <f t="shared" si="23"/>
        <v>0</v>
      </c>
      <c r="K138" s="13">
        <f>SUMIF(SIGAF!$B$2:$B$500,$A138,SIGAF!$K$2:$K$500)</f>
        <v>11599938.440000001</v>
      </c>
      <c r="L138" s="175">
        <f t="shared" si="27"/>
        <v>0.93679669231484264</v>
      </c>
      <c r="M138" s="13">
        <f>SUMIF(SIGAF!$B$2:$B$500,$A138,SIGAF!$L$2:$L$500)</f>
        <v>7864938.4400000004</v>
      </c>
      <c r="N138" s="68">
        <f t="shared" si="24"/>
        <v>0.63516270831622257</v>
      </c>
      <c r="O138" s="90">
        <f ca="1">SUMIF(SIGAF!$B$2:$B$500,$A138,SIGAF!$M$2:$M$364)</f>
        <v>782618.56</v>
      </c>
      <c r="P138" s="68">
        <f t="shared" ca="1" si="25"/>
        <v>6.3203307685157445E-2</v>
      </c>
      <c r="Q138" s="13">
        <f ca="1">SUMIF(SIGAF!$B$2:$B$500,$A138,SIGAF!$N$2:$N$364)</f>
        <v>782618.56</v>
      </c>
      <c r="R138" s="68">
        <f t="shared" ca="1" si="26"/>
        <v>6.3203307685157445E-2</v>
      </c>
    </row>
    <row r="139" spans="1:18" x14ac:dyDescent="0.25">
      <c r="A139" s="11" t="s">
        <v>254</v>
      </c>
      <c r="B139" s="11" t="s">
        <v>517</v>
      </c>
      <c r="C139" s="13">
        <f>SUMIF(SIGAF!$B$2:$B$500,$A139,SIGAF!$F$2:$F$500)</f>
        <v>127285472</v>
      </c>
      <c r="D139" s="13">
        <f ca="1">SUMIF(SIGAF!$B$2:$B$500,$A139,SIGAF!$G$2:$G$364)</f>
        <v>127285471.97</v>
      </c>
      <c r="E139" s="13">
        <f>SUMIF(SIGAF!$B$2:$B$500,$A139,SIGAF!$H$2:$H$500)</f>
        <v>0</v>
      </c>
      <c r="F139" s="68">
        <f t="shared" ref="F139:F196" si="28">+IFERROR(+E139/$C139,0)</f>
        <v>0</v>
      </c>
      <c r="G139" s="13">
        <f>SUMIF(SIGAF!$B$2:$B$500,$A139,SIGAF!$I$2:$I$500)</f>
        <v>1481857.07</v>
      </c>
      <c r="H139" s="68">
        <f t="shared" ref="H139:J196" si="29">+IFERROR(+G139/$C139,0)</f>
        <v>1.1641996896550771E-2</v>
      </c>
      <c r="I139" s="13">
        <f>SUMIF(SIGAF!$B$2:$B$500,$A139,SIGAF!$J$2:$J$500)</f>
        <v>0</v>
      </c>
      <c r="J139" s="68">
        <f t="shared" si="29"/>
        <v>0</v>
      </c>
      <c r="K139" s="13">
        <f>SUMIF(SIGAF!$B$2:$B$500,$A139,SIGAF!$K$2:$K$500)</f>
        <v>124728282.06</v>
      </c>
      <c r="L139" s="175">
        <f t="shared" si="27"/>
        <v>0.97990980510328785</v>
      </c>
      <c r="M139" s="13">
        <f>SUMIF(SIGAF!$B$2:$B$500,$A139,SIGAF!$L$2:$L$500)</f>
        <v>101260975.19</v>
      </c>
      <c r="N139" s="68">
        <f t="shared" ref="N139:N196" si="30">+IFERROR(+M139/$C139,0)</f>
        <v>0.79554228459002763</v>
      </c>
      <c r="O139" s="90">
        <f ca="1">SUMIF(SIGAF!$B$2:$B$500,$A139,SIGAF!$M$2:$M$364)</f>
        <v>1075332.8700000001</v>
      </c>
      <c r="P139" s="68">
        <f t="shared" ref="P139:P196" ca="1" si="31">+IFERROR(+O139/$C139,0)</f>
        <v>8.4481980001614027E-3</v>
      </c>
      <c r="Q139" s="13">
        <f ca="1">SUMIF(SIGAF!$B$2:$B$500,$A139,SIGAF!$N$2:$N$364)</f>
        <v>1075332.8400000001</v>
      </c>
      <c r="R139" s="68">
        <f t="shared" ref="R139:R196" ca="1" si="32">+IFERROR(+Q139/$C139,0)</f>
        <v>8.4481977644707169E-3</v>
      </c>
    </row>
    <row r="140" spans="1:18" x14ac:dyDescent="0.25">
      <c r="A140" s="11" t="s">
        <v>256</v>
      </c>
      <c r="B140" s="11" t="s">
        <v>257</v>
      </c>
      <c r="C140" s="13">
        <f>SUMIF(SIGAF!$B$2:$B$500,$A140,SIGAF!$F$2:$F$500)</f>
        <v>120712418</v>
      </c>
      <c r="D140" s="13">
        <f ca="1">SUMIF(SIGAF!$B$2:$B$500,$A140,SIGAF!$G$2:$G$364)</f>
        <v>120712418</v>
      </c>
      <c r="E140" s="13">
        <f>SUMIF(SIGAF!$B$2:$B$500,$A140,SIGAF!$H$2:$H$500)</f>
        <v>0</v>
      </c>
      <c r="F140" s="68">
        <f t="shared" si="28"/>
        <v>0</v>
      </c>
      <c r="G140" s="13">
        <f>SUMIF(SIGAF!$B$2:$B$500,$A140,SIGAF!$I$2:$I$500)</f>
        <v>6727122</v>
      </c>
      <c r="H140" s="68">
        <f t="shared" si="29"/>
        <v>5.5728500111728356E-2</v>
      </c>
      <c r="I140" s="13">
        <f>SUMIF(SIGAF!$B$2:$B$500,$A140,SIGAF!$J$2:$J$500)</f>
        <v>0</v>
      </c>
      <c r="J140" s="68">
        <f t="shared" si="29"/>
        <v>0</v>
      </c>
      <c r="K140" s="13">
        <f>SUMIF(SIGAF!$B$2:$B$500,$A140,SIGAF!$K$2:$K$500)</f>
        <v>108202592.17999999</v>
      </c>
      <c r="L140" s="175">
        <f t="shared" si="27"/>
        <v>0.89636670338257984</v>
      </c>
      <c r="M140" s="13">
        <f>SUMIF(SIGAF!$B$2:$B$500,$A140,SIGAF!$L$2:$L$500)</f>
        <v>96747780.179999992</v>
      </c>
      <c r="N140" s="68">
        <f t="shared" si="30"/>
        <v>0.80147330144608642</v>
      </c>
      <c r="O140" s="90">
        <f ca="1">SUMIF(SIGAF!$B$2:$B$500,$A140,SIGAF!$M$2:$M$364)</f>
        <v>5782703.8199999994</v>
      </c>
      <c r="P140" s="68">
        <f t="shared" ca="1" si="31"/>
        <v>4.7904796505691731E-2</v>
      </c>
      <c r="Q140" s="13">
        <f ca="1">SUMIF(SIGAF!$B$2:$B$500,$A140,SIGAF!$N$2:$N$364)</f>
        <v>5782703.8199999994</v>
      </c>
      <c r="R140" s="68">
        <f t="shared" ca="1" si="32"/>
        <v>4.7904796505691731E-2</v>
      </c>
    </row>
    <row r="141" spans="1:18" x14ac:dyDescent="0.25">
      <c r="A141" s="11" t="s">
        <v>258</v>
      </c>
      <c r="B141" s="11" t="s">
        <v>518</v>
      </c>
      <c r="C141" s="13">
        <f>SUMIF(SIGAF!$B$2:$B$500,$A141,SIGAF!$F$2:$F$500)</f>
        <v>139001245</v>
      </c>
      <c r="D141" s="13">
        <f ca="1">SUMIF(SIGAF!$B$2:$B$500,$A141,SIGAF!$G$2:$G$364)</f>
        <v>139001244.72</v>
      </c>
      <c r="E141" s="13">
        <f>SUMIF(SIGAF!$B$2:$B$500,$A141,SIGAF!$H$2:$H$500)</f>
        <v>0</v>
      </c>
      <c r="F141" s="68">
        <f t="shared" si="28"/>
        <v>0</v>
      </c>
      <c r="G141" s="13">
        <f>SUMIF(SIGAF!$B$2:$B$500,$A141,SIGAF!$I$2:$I$500)</f>
        <v>3189406.45</v>
      </c>
      <c r="H141" s="68">
        <f t="shared" si="29"/>
        <v>2.2945164627842005E-2</v>
      </c>
      <c r="I141" s="13">
        <f>SUMIF(SIGAF!$B$2:$B$500,$A141,SIGAF!$J$2:$J$500)</f>
        <v>0</v>
      </c>
      <c r="J141" s="68">
        <f t="shared" si="29"/>
        <v>0</v>
      </c>
      <c r="K141" s="13">
        <f>SUMIF(SIGAF!$B$2:$B$500,$A141,SIGAF!$K$2:$K$500)</f>
        <v>128295013.77</v>
      </c>
      <c r="L141" s="175">
        <f t="shared" ref="L141:L196" si="33">+IFERROR(+K141/$C141,0)</f>
        <v>0.9229774436192999</v>
      </c>
      <c r="M141" s="13">
        <f>SUMIF(SIGAF!$B$2:$B$500,$A141,SIGAF!$L$2:$L$500)</f>
        <v>114888010.95</v>
      </c>
      <c r="N141" s="68">
        <f t="shared" si="30"/>
        <v>0.82652504982958963</v>
      </c>
      <c r="O141" s="90">
        <f ca="1">SUMIF(SIGAF!$B$2:$B$500,$A141,SIGAF!$M$2:$M$364)</f>
        <v>7516824.7799999993</v>
      </c>
      <c r="P141" s="68">
        <f t="shared" ca="1" si="31"/>
        <v>5.4077391752858035E-2</v>
      </c>
      <c r="Q141" s="13">
        <f ca="1">SUMIF(SIGAF!$B$2:$B$500,$A141,SIGAF!$N$2:$N$364)</f>
        <v>7516824.5</v>
      </c>
      <c r="R141" s="68">
        <f t="shared" ca="1" si="32"/>
        <v>5.4077389738487594E-2</v>
      </c>
    </row>
    <row r="142" spans="1:18" x14ac:dyDescent="0.25">
      <c r="A142" s="11" t="s">
        <v>260</v>
      </c>
      <c r="B142" s="11" t="s">
        <v>519</v>
      </c>
      <c r="C142" s="13">
        <f>SUMIF(SIGAF!$B$2:$B$500,$A142,SIGAF!$F$2:$F$500)</f>
        <v>413823406</v>
      </c>
      <c r="D142" s="13">
        <f ca="1">SUMIF(SIGAF!$B$2:$B$500,$A142,SIGAF!$G$2:$G$364)</f>
        <v>413823406</v>
      </c>
      <c r="E142" s="13">
        <f>SUMIF(SIGAF!$B$2:$B$500,$A142,SIGAF!$H$2:$H$500)</f>
        <v>0</v>
      </c>
      <c r="F142" s="68">
        <f t="shared" si="28"/>
        <v>0</v>
      </c>
      <c r="G142" s="13">
        <f>SUMIF(SIGAF!$B$2:$B$500,$A142,SIGAF!$I$2:$I$500)</f>
        <v>0</v>
      </c>
      <c r="H142" s="68">
        <f t="shared" si="29"/>
        <v>0</v>
      </c>
      <c r="I142" s="13">
        <f>SUMIF(SIGAF!$B$2:$B$500,$A142,SIGAF!$J$2:$J$500)</f>
        <v>0</v>
      </c>
      <c r="J142" s="68">
        <f t="shared" si="29"/>
        <v>0</v>
      </c>
      <c r="K142" s="13">
        <f>SUMIF(SIGAF!$B$2:$B$500,$A142,SIGAF!$K$2:$K$500)</f>
        <v>403452380.44</v>
      </c>
      <c r="L142" s="175">
        <f t="shared" si="33"/>
        <v>0.97493852351116161</v>
      </c>
      <c r="M142" s="13">
        <f>SUMIF(SIGAF!$B$2:$B$500,$A142,SIGAF!$L$2:$L$500)</f>
        <v>398517282.60000002</v>
      </c>
      <c r="N142" s="68">
        <f t="shared" si="30"/>
        <v>0.96301291039105708</v>
      </c>
      <c r="O142" s="90">
        <f ca="1">SUMIF(SIGAF!$B$2:$B$500,$A142,SIGAF!$M$2:$M$364)</f>
        <v>10371025.560000001</v>
      </c>
      <c r="P142" s="68">
        <f t="shared" ca="1" si="31"/>
        <v>2.5061476488838334E-2</v>
      </c>
      <c r="Q142" s="13">
        <f ca="1">SUMIF(SIGAF!$B$2:$B$500,$A142,SIGAF!$N$2:$N$364)</f>
        <v>10371025.560000001</v>
      </c>
      <c r="R142" s="68">
        <f t="shared" ca="1" si="32"/>
        <v>2.5061476488838334E-2</v>
      </c>
    </row>
    <row r="143" spans="1:18" x14ac:dyDescent="0.25">
      <c r="A143" s="11" t="s">
        <v>262</v>
      </c>
      <c r="B143" s="11" t="s">
        <v>520</v>
      </c>
      <c r="C143" s="13">
        <f>SUMIF(SIGAF!$B$2:$B$500,$A143,SIGAF!$F$2:$F$500)</f>
        <v>63062250</v>
      </c>
      <c r="D143" s="13">
        <f ca="1">SUMIF(SIGAF!$B$2:$B$500,$A143,SIGAF!$G$2:$G$364)</f>
        <v>63062249.82</v>
      </c>
      <c r="E143" s="13">
        <f>SUMIF(SIGAF!$B$2:$B$500,$A143,SIGAF!$H$2:$H$500)</f>
        <v>0</v>
      </c>
      <c r="F143" s="68">
        <f t="shared" si="28"/>
        <v>0</v>
      </c>
      <c r="G143" s="13">
        <f>SUMIF(SIGAF!$B$2:$B$500,$A143,SIGAF!$I$2:$I$500)</f>
        <v>11691240.970000001</v>
      </c>
      <c r="H143" s="68">
        <f t="shared" si="29"/>
        <v>0.18539206847202566</v>
      </c>
      <c r="I143" s="13">
        <f>SUMIF(SIGAF!$B$2:$B$500,$A143,SIGAF!$J$2:$J$500)</f>
        <v>0</v>
      </c>
      <c r="J143" s="68">
        <f t="shared" si="29"/>
        <v>0</v>
      </c>
      <c r="K143" s="13">
        <f>SUMIF(SIGAF!$B$2:$B$500,$A143,SIGAF!$K$2:$K$500)</f>
        <v>51366172.93</v>
      </c>
      <c r="L143" s="175">
        <f t="shared" si="33"/>
        <v>0.8145312438106791</v>
      </c>
      <c r="M143" s="13">
        <f>SUMIF(SIGAF!$B$2:$B$500,$A143,SIGAF!$L$2:$L$500)</f>
        <v>46681384.630000003</v>
      </c>
      <c r="N143" s="68">
        <f t="shared" si="30"/>
        <v>0.74024292869347352</v>
      </c>
      <c r="O143" s="90">
        <f ca="1">SUMIF(SIGAF!$B$2:$B$500,$A143,SIGAF!$M$2:$M$364)</f>
        <v>4836.1000000000004</v>
      </c>
      <c r="P143" s="68">
        <f t="shared" ca="1" si="31"/>
        <v>7.6687717295212274E-5</v>
      </c>
      <c r="Q143" s="13">
        <f ca="1">SUMIF(SIGAF!$B$2:$B$500,$A143,SIGAF!$N$2:$N$364)</f>
        <v>4835.92</v>
      </c>
      <c r="R143" s="68">
        <f t="shared" ca="1" si="32"/>
        <v>7.6684862972697615E-5</v>
      </c>
    </row>
    <row r="144" spans="1:18" x14ac:dyDescent="0.25">
      <c r="A144" s="11" t="s">
        <v>264</v>
      </c>
      <c r="B144" s="11" t="s">
        <v>521</v>
      </c>
      <c r="C144" s="13">
        <f>SUMIF(SIGAF!$B$2:$B$500,$A144,SIGAF!$F$2:$F$500)</f>
        <v>78529104</v>
      </c>
      <c r="D144" s="13">
        <f ca="1">SUMIF(SIGAF!$B$2:$B$500,$A144,SIGAF!$G$2:$G$364)</f>
        <v>78529104</v>
      </c>
      <c r="E144" s="13">
        <f>SUMIF(SIGAF!$B$2:$B$500,$A144,SIGAF!$H$2:$H$500)</f>
        <v>0</v>
      </c>
      <c r="F144" s="68">
        <f t="shared" si="28"/>
        <v>0</v>
      </c>
      <c r="G144" s="13">
        <f>SUMIF(SIGAF!$B$2:$B$500,$A144,SIGAF!$I$2:$I$500)</f>
        <v>3345693.75</v>
      </c>
      <c r="H144" s="68">
        <f t="shared" si="29"/>
        <v>4.2604506859011154E-2</v>
      </c>
      <c r="I144" s="13">
        <f>SUMIF(SIGAF!$B$2:$B$500,$A144,SIGAF!$J$2:$J$500)</f>
        <v>0</v>
      </c>
      <c r="J144" s="68">
        <f t="shared" si="29"/>
        <v>0</v>
      </c>
      <c r="K144" s="13">
        <f>SUMIF(SIGAF!$B$2:$B$500,$A144,SIGAF!$K$2:$K$500)</f>
        <v>73438059.549999997</v>
      </c>
      <c r="L144" s="175">
        <f t="shared" si="33"/>
        <v>0.93516996641143391</v>
      </c>
      <c r="M144" s="13">
        <f>SUMIF(SIGAF!$B$2:$B$500,$A144,SIGAF!$L$2:$L$500)</f>
        <v>49145124.549999997</v>
      </c>
      <c r="N144" s="68">
        <f t="shared" si="30"/>
        <v>0.62582051808460715</v>
      </c>
      <c r="O144" s="90">
        <f ca="1">SUMIF(SIGAF!$B$2:$B$500,$A144,SIGAF!$M$2:$M$364)</f>
        <v>1745350.7</v>
      </c>
      <c r="P144" s="68">
        <f t="shared" ca="1" si="31"/>
        <v>2.2225526729554943E-2</v>
      </c>
      <c r="Q144" s="13">
        <f ca="1">SUMIF(SIGAF!$B$2:$B$500,$A144,SIGAF!$N$2:$N$364)</f>
        <v>1745350.7</v>
      </c>
      <c r="R144" s="68">
        <f t="shared" ca="1" si="32"/>
        <v>2.2225526729554943E-2</v>
      </c>
    </row>
    <row r="145" spans="1:18" s="23" customFormat="1" x14ac:dyDescent="0.25">
      <c r="A145" s="21" t="s">
        <v>296</v>
      </c>
      <c r="B145" s="21" t="s">
        <v>297</v>
      </c>
      <c r="C145" s="35">
        <f>SUMIF(SIGAF!$B$2:$B$500,$A145,SIGAF!$F$2:$F$500)</f>
        <v>3017512862</v>
      </c>
      <c r="D145" s="35">
        <f ca="1">SUMIF(SIGAF!$B$2:$B$500,$A145,SIGAF!$G$2:$G$364)</f>
        <v>3017512861</v>
      </c>
      <c r="E145" s="35">
        <f>SUMIF(SIGAF!$B$2:$B$500,$A145,SIGAF!$H$2:$H$500)</f>
        <v>0</v>
      </c>
      <c r="F145" s="67">
        <f t="shared" si="28"/>
        <v>0</v>
      </c>
      <c r="G145" s="35">
        <f>SUMIF(SIGAF!$B$2:$B$500,$A145,SIGAF!$I$2:$I$500)</f>
        <v>443637739.51999998</v>
      </c>
      <c r="H145" s="67">
        <f t="shared" si="29"/>
        <v>0.14702099371532024</v>
      </c>
      <c r="I145" s="35">
        <f>SUMIF(SIGAF!$B$2:$B$500,$A145,SIGAF!$J$2:$J$500)</f>
        <v>0</v>
      </c>
      <c r="J145" s="67">
        <f t="shared" si="29"/>
        <v>0</v>
      </c>
      <c r="K145" s="35">
        <f>SUMIF(SIGAF!$B$2:$B$500,$A145,SIGAF!$K$2:$K$500)</f>
        <v>2429148961.52</v>
      </c>
      <c r="L145" s="174">
        <f t="shared" si="33"/>
        <v>0.80501693699822907</v>
      </c>
      <c r="M145" s="35">
        <f>SUMIF(SIGAF!$B$2:$B$500,$A145,SIGAF!$L$2:$L$500)</f>
        <v>1214810225.79</v>
      </c>
      <c r="N145" s="67">
        <f t="shared" si="30"/>
        <v>0.40258659410811154</v>
      </c>
      <c r="O145" s="91">
        <f ca="1">SUMIF(SIGAF!$B$2:$B$500,$A145,SIGAF!$M$2:$M$364)</f>
        <v>144726160.96000001</v>
      </c>
      <c r="P145" s="67">
        <f t="shared" ca="1" si="31"/>
        <v>4.7962069286450651E-2</v>
      </c>
      <c r="Q145" s="35">
        <f ca="1">SUMIF(SIGAF!$B$2:$B$500,$A145,SIGAF!$N$2:$N$364)</f>
        <v>144726159.96000001</v>
      </c>
      <c r="R145" s="67">
        <f t="shared" ca="1" si="32"/>
        <v>4.7962068955051902E-2</v>
      </c>
    </row>
    <row r="146" spans="1:18" x14ac:dyDescent="0.25">
      <c r="A146" s="11" t="s">
        <v>298</v>
      </c>
      <c r="B146" s="11" t="s">
        <v>522</v>
      </c>
      <c r="C146" s="13">
        <f>SUMIF(SIGAF!$B$2:$B$500,$A146,SIGAF!$F$2:$F$500)</f>
        <v>959391035</v>
      </c>
      <c r="D146" s="13">
        <f ca="1">SUMIF(SIGAF!$B$2:$B$500,$A146,SIGAF!$G$2:$G$364)</f>
        <v>959391034.72000003</v>
      </c>
      <c r="E146" s="13">
        <f>SUMIF(SIGAF!$B$2:$B$500,$A146,SIGAF!$H$2:$H$500)</f>
        <v>0</v>
      </c>
      <c r="F146" s="68">
        <f t="shared" si="28"/>
        <v>0</v>
      </c>
      <c r="G146" s="13">
        <f>SUMIF(SIGAF!$B$2:$B$500,$A146,SIGAF!$I$2:$I$500)</f>
        <v>98646847.539999992</v>
      </c>
      <c r="H146" s="68">
        <f t="shared" si="29"/>
        <v>0.10282235703818099</v>
      </c>
      <c r="I146" s="13">
        <f>SUMIF(SIGAF!$B$2:$B$500,$A146,SIGAF!$J$2:$J$500)</f>
        <v>0</v>
      </c>
      <c r="J146" s="68">
        <f t="shared" si="29"/>
        <v>0</v>
      </c>
      <c r="K146" s="13">
        <f>SUMIF(SIGAF!$B$2:$B$500,$A146,SIGAF!$K$2:$K$500)</f>
        <v>752180490.98000002</v>
      </c>
      <c r="L146" s="175">
        <f t="shared" si="33"/>
        <v>0.78401867803569791</v>
      </c>
      <c r="M146" s="13">
        <f>SUMIF(SIGAF!$B$2:$B$500,$A146,SIGAF!$L$2:$L$500)</f>
        <v>507822117.68000001</v>
      </c>
      <c r="N146" s="68">
        <f t="shared" si="30"/>
        <v>0.52931713884526765</v>
      </c>
      <c r="O146" s="90">
        <f ca="1">SUMIF(SIGAF!$B$2:$B$500,$A146,SIGAF!$M$2:$M$364)</f>
        <v>108563696.48</v>
      </c>
      <c r="P146" s="68">
        <f t="shared" ca="1" si="31"/>
        <v>0.11315896492612108</v>
      </c>
      <c r="Q146" s="13">
        <f ca="1">SUMIF(SIGAF!$B$2:$B$500,$A146,SIGAF!$N$2:$N$364)</f>
        <v>108563696.2</v>
      </c>
      <c r="R146" s="68">
        <f t="shared" ca="1" si="32"/>
        <v>0.11315896463426928</v>
      </c>
    </row>
    <row r="147" spans="1:18" x14ac:dyDescent="0.25">
      <c r="A147" s="11" t="s">
        <v>300</v>
      </c>
      <c r="B147" s="11" t="s">
        <v>523</v>
      </c>
      <c r="C147" s="13">
        <f>SUMIF(SIGAF!$B$2:$B$500,$A147,SIGAF!$F$2:$F$500)</f>
        <v>55423300</v>
      </c>
      <c r="D147" s="13">
        <f ca="1">SUMIF(SIGAF!$B$2:$B$500,$A147,SIGAF!$G$2:$G$364)</f>
        <v>55423300</v>
      </c>
      <c r="E147" s="13">
        <f>SUMIF(SIGAF!$B$2:$B$500,$A147,SIGAF!$H$2:$H$500)</f>
        <v>0</v>
      </c>
      <c r="F147" s="68">
        <f t="shared" si="28"/>
        <v>0</v>
      </c>
      <c r="G147" s="13">
        <f>SUMIF(SIGAF!$B$2:$B$500,$A147,SIGAF!$I$2:$I$500)</f>
        <v>31642125.27</v>
      </c>
      <c r="H147" s="68">
        <f t="shared" si="29"/>
        <v>0.57091738077667697</v>
      </c>
      <c r="I147" s="13">
        <f>SUMIF(SIGAF!$B$2:$B$500,$A147,SIGAF!$J$2:$J$500)</f>
        <v>0</v>
      </c>
      <c r="J147" s="68">
        <f t="shared" si="29"/>
        <v>0</v>
      </c>
      <c r="K147" s="13">
        <f>SUMIF(SIGAF!$B$2:$B$500,$A147,SIGAF!$K$2:$K$500)</f>
        <v>5956938.4299999997</v>
      </c>
      <c r="L147" s="175">
        <f t="shared" si="33"/>
        <v>0.10748076043829941</v>
      </c>
      <c r="M147" s="13">
        <f>SUMIF(SIGAF!$B$2:$B$500,$A147,SIGAF!$L$2:$L$500)</f>
        <v>4925378.43</v>
      </c>
      <c r="N147" s="68">
        <f t="shared" si="30"/>
        <v>8.8868371785873451E-2</v>
      </c>
      <c r="O147" s="90">
        <f ca="1">SUMIF(SIGAF!$B$2:$B$500,$A147,SIGAF!$M$2:$M$364)</f>
        <v>17824236.300000001</v>
      </c>
      <c r="P147" s="68">
        <f t="shared" ca="1" si="31"/>
        <v>0.32160185878502362</v>
      </c>
      <c r="Q147" s="13">
        <f ca="1">SUMIF(SIGAF!$B$2:$B$500,$A147,SIGAF!$N$2:$N$364)</f>
        <v>17824236.300000001</v>
      </c>
      <c r="R147" s="68">
        <f t="shared" ca="1" si="32"/>
        <v>0.32160185878502362</v>
      </c>
    </row>
    <row r="148" spans="1:18" x14ac:dyDescent="0.25">
      <c r="A148" s="11" t="s">
        <v>421</v>
      </c>
      <c r="B148" s="11" t="s">
        <v>524</v>
      </c>
      <c r="C148" s="13">
        <f>SUMIF(SIGAF!$B$2:$B$500,$A148,SIGAF!$F$2:$F$500)</f>
        <v>51330956</v>
      </c>
      <c r="D148" s="13">
        <f ca="1">SUMIF(SIGAF!$B$2:$B$500,$A148,SIGAF!$G$2:$G$364)</f>
        <v>51330956</v>
      </c>
      <c r="E148" s="13">
        <f>SUMIF(SIGAF!$B$2:$B$500,$A148,SIGAF!$H$2:$H$500)</f>
        <v>0</v>
      </c>
      <c r="F148" s="68">
        <f t="shared" si="28"/>
        <v>0</v>
      </c>
      <c r="G148" s="13">
        <f>SUMIF(SIGAF!$B$2:$B$500,$A148,SIGAF!$I$2:$I$500)</f>
        <v>3530373.37</v>
      </c>
      <c r="H148" s="68">
        <f t="shared" si="29"/>
        <v>6.8776692372532477E-2</v>
      </c>
      <c r="I148" s="13">
        <f>SUMIF(SIGAF!$B$2:$B$500,$A148,SIGAF!$J$2:$J$500)</f>
        <v>0</v>
      </c>
      <c r="J148" s="68">
        <f t="shared" si="29"/>
        <v>0</v>
      </c>
      <c r="K148" s="13">
        <f>SUMIF(SIGAF!$B$2:$B$500,$A148,SIGAF!$K$2:$K$500)</f>
        <v>45277472.630000003</v>
      </c>
      <c r="L148" s="175">
        <f t="shared" si="33"/>
        <v>0.88206953772690311</v>
      </c>
      <c r="M148" s="13">
        <f>SUMIF(SIGAF!$B$2:$B$500,$A148,SIGAF!$L$2:$L$500)</f>
        <v>45277472.630000003</v>
      </c>
      <c r="N148" s="68">
        <f t="shared" si="30"/>
        <v>0.88206953772690311</v>
      </c>
      <c r="O148" s="90">
        <f ca="1">SUMIF(SIGAF!$B$2:$B$500,$A148,SIGAF!$M$2:$M$364)</f>
        <v>2523110</v>
      </c>
      <c r="P148" s="68">
        <f t="shared" ca="1" si="31"/>
        <v>4.9153769900564484E-2</v>
      </c>
      <c r="Q148" s="13">
        <f ca="1">SUMIF(SIGAF!$B$2:$B$500,$A148,SIGAF!$N$2:$N$364)</f>
        <v>2523110</v>
      </c>
      <c r="R148" s="68">
        <f t="shared" ca="1" si="32"/>
        <v>4.9153769900564484E-2</v>
      </c>
    </row>
    <row r="149" spans="1:18" x14ac:dyDescent="0.25">
      <c r="A149" s="11" t="s">
        <v>302</v>
      </c>
      <c r="B149" s="11" t="s">
        <v>525</v>
      </c>
      <c r="C149" s="13">
        <f>SUMIF(SIGAF!$B$2:$B$500,$A149,SIGAF!$F$2:$F$500)</f>
        <v>49905610.289999999</v>
      </c>
      <c r="D149" s="13">
        <f ca="1">SUMIF(SIGAF!$B$2:$B$500,$A149,SIGAF!$G$2:$G$364)</f>
        <v>49905610.289999999</v>
      </c>
      <c r="E149" s="13">
        <f>SUMIF(SIGAF!$B$2:$B$500,$A149,SIGAF!$H$2:$H$500)</f>
        <v>0</v>
      </c>
      <c r="F149" s="68">
        <f t="shared" si="28"/>
        <v>0</v>
      </c>
      <c r="G149" s="13">
        <f>SUMIF(SIGAF!$B$2:$B$500,$A149,SIGAF!$I$2:$I$500)</f>
        <v>300000</v>
      </c>
      <c r="H149" s="68">
        <f t="shared" si="29"/>
        <v>6.0113481882439479E-3</v>
      </c>
      <c r="I149" s="13">
        <f>SUMIF(SIGAF!$B$2:$B$500,$A149,SIGAF!$J$2:$J$500)</f>
        <v>0</v>
      </c>
      <c r="J149" s="68">
        <f t="shared" si="29"/>
        <v>0</v>
      </c>
      <c r="K149" s="13">
        <f>SUMIF(SIGAF!$B$2:$B$500,$A149,SIGAF!$K$2:$K$500)</f>
        <v>47518143.329999998</v>
      </c>
      <c r="L149" s="175">
        <f t="shared" si="33"/>
        <v>0.95216034938503902</v>
      </c>
      <c r="M149" s="13">
        <f>SUMIF(SIGAF!$B$2:$B$500,$A149,SIGAF!$L$2:$L$500)</f>
        <v>10890948.48</v>
      </c>
      <c r="N149" s="68">
        <f t="shared" si="30"/>
        <v>0.21823094471168725</v>
      </c>
      <c r="O149" s="90">
        <f ca="1">SUMIF(SIGAF!$B$2:$B$500,$A149,SIGAF!$M$2:$M$364)</f>
        <v>2087466.96</v>
      </c>
      <c r="P149" s="68">
        <f t="shared" ca="1" si="31"/>
        <v>4.1828302426717E-2</v>
      </c>
      <c r="Q149" s="13">
        <f ca="1">SUMIF(SIGAF!$B$2:$B$500,$A149,SIGAF!$N$2:$N$364)</f>
        <v>2087466.96</v>
      </c>
      <c r="R149" s="68">
        <f t="shared" ca="1" si="32"/>
        <v>4.1828302426717E-2</v>
      </c>
    </row>
    <row r="150" spans="1:18" x14ac:dyDescent="0.25">
      <c r="A150" s="11" t="s">
        <v>304</v>
      </c>
      <c r="B150" s="11" t="s">
        <v>526</v>
      </c>
      <c r="C150" s="13">
        <f>SUMIF(SIGAF!$B$2:$B$500,$A150,SIGAF!$F$2:$F$500)</f>
        <v>243719832.19999999</v>
      </c>
      <c r="D150" s="13">
        <f ca="1">SUMIF(SIGAF!$B$2:$B$500,$A150,SIGAF!$G$2:$G$364)</f>
        <v>243719832.19999999</v>
      </c>
      <c r="E150" s="13">
        <f>SUMIF(SIGAF!$B$2:$B$500,$A150,SIGAF!$H$2:$H$500)</f>
        <v>0</v>
      </c>
      <c r="F150" s="68">
        <f t="shared" si="28"/>
        <v>0</v>
      </c>
      <c r="G150" s="13">
        <f>SUMIF(SIGAF!$B$2:$B$500,$A150,SIGAF!$I$2:$I$500)</f>
        <v>52585808.700000003</v>
      </c>
      <c r="H150" s="68">
        <f t="shared" si="29"/>
        <v>0.21576335510048822</v>
      </c>
      <c r="I150" s="13">
        <f>SUMIF(SIGAF!$B$2:$B$500,$A150,SIGAF!$J$2:$J$500)</f>
        <v>0</v>
      </c>
      <c r="J150" s="68">
        <f t="shared" si="29"/>
        <v>0</v>
      </c>
      <c r="K150" s="13">
        <f>SUMIF(SIGAF!$B$2:$B$500,$A150,SIGAF!$K$2:$K$500)</f>
        <v>173030880.38</v>
      </c>
      <c r="L150" s="175">
        <f t="shared" si="33"/>
        <v>0.70995814668872892</v>
      </c>
      <c r="M150" s="13">
        <f>SUMIF(SIGAF!$B$2:$B$500,$A150,SIGAF!$L$2:$L$500)</f>
        <v>142840651.61000001</v>
      </c>
      <c r="N150" s="68">
        <f t="shared" si="30"/>
        <v>0.5860854667452049</v>
      </c>
      <c r="O150" s="90">
        <f ca="1">SUMIF(SIGAF!$B$2:$B$500,$A150,SIGAF!$M$2:$M$364)</f>
        <v>18103143.119999997</v>
      </c>
      <c r="P150" s="68">
        <f t="shared" ca="1" si="31"/>
        <v>7.4278498210782862E-2</v>
      </c>
      <c r="Q150" s="13">
        <f ca="1">SUMIF(SIGAF!$B$2:$B$500,$A150,SIGAF!$N$2:$N$364)</f>
        <v>18103143.119999997</v>
      </c>
      <c r="R150" s="68">
        <f t="shared" ca="1" si="32"/>
        <v>7.4278498210782862E-2</v>
      </c>
    </row>
    <row r="151" spans="1:18" x14ac:dyDescent="0.25">
      <c r="A151" s="11" t="s">
        <v>306</v>
      </c>
      <c r="B151" s="11" t="s">
        <v>527</v>
      </c>
      <c r="C151" s="13">
        <f>SUMIF(SIGAF!$B$2:$B$500,$A151,SIGAF!$F$2:$F$500)</f>
        <v>238267584.50999999</v>
      </c>
      <c r="D151" s="13">
        <f ca="1">SUMIF(SIGAF!$B$2:$B$500,$A151,SIGAF!$G$2:$G$364)</f>
        <v>238267584.50999999</v>
      </c>
      <c r="E151" s="13">
        <f>SUMIF(SIGAF!$B$2:$B$500,$A151,SIGAF!$H$2:$H$500)</f>
        <v>0</v>
      </c>
      <c r="F151" s="68">
        <f t="shared" si="28"/>
        <v>0</v>
      </c>
      <c r="G151" s="13">
        <f>SUMIF(SIGAF!$B$2:$B$500,$A151,SIGAF!$I$2:$I$500)</f>
        <v>3400</v>
      </c>
      <c r="H151" s="68">
        <f t="shared" si="29"/>
        <v>1.4269670828250259E-5</v>
      </c>
      <c r="I151" s="13">
        <f>SUMIF(SIGAF!$B$2:$B$500,$A151,SIGAF!$J$2:$J$500)</f>
        <v>0</v>
      </c>
      <c r="J151" s="68">
        <f t="shared" si="29"/>
        <v>0</v>
      </c>
      <c r="K151" s="13">
        <f>SUMIF(SIGAF!$B$2:$B$500,$A151,SIGAF!$K$2:$K$500)</f>
        <v>230145544.51999998</v>
      </c>
      <c r="L151" s="175">
        <f t="shared" si="33"/>
        <v>0.96591210673200434</v>
      </c>
      <c r="M151" s="13">
        <f>SUMIF(SIGAF!$B$2:$B$500,$A151,SIGAF!$L$2:$L$500)</f>
        <v>200079942.75999999</v>
      </c>
      <c r="N151" s="68">
        <f t="shared" si="30"/>
        <v>0.83972791838833927</v>
      </c>
      <c r="O151" s="90">
        <f ca="1">SUMIF(SIGAF!$B$2:$B$500,$A151,SIGAF!$M$2:$M$364)</f>
        <v>8118639.9900000002</v>
      </c>
      <c r="P151" s="68">
        <f t="shared" ca="1" si="31"/>
        <v>3.4073623597167348E-2</v>
      </c>
      <c r="Q151" s="13">
        <f ca="1">SUMIF(SIGAF!$B$2:$B$500,$A151,SIGAF!$N$2:$N$364)</f>
        <v>8118639.9900000002</v>
      </c>
      <c r="R151" s="68">
        <f t="shared" ca="1" si="32"/>
        <v>3.4073623597167348E-2</v>
      </c>
    </row>
    <row r="152" spans="1:18" x14ac:dyDescent="0.25">
      <c r="A152" s="11" t="s">
        <v>308</v>
      </c>
      <c r="B152" s="11" t="s">
        <v>528</v>
      </c>
      <c r="C152" s="13">
        <f>SUMIF(SIGAF!$B$2:$B$500,$A152,SIGAF!$F$2:$F$500)</f>
        <v>25655698</v>
      </c>
      <c r="D152" s="13">
        <f ca="1">SUMIF(SIGAF!$B$2:$B$500,$A152,SIGAF!$G$2:$G$364)</f>
        <v>25655698</v>
      </c>
      <c r="E152" s="13">
        <f>SUMIF(SIGAF!$B$2:$B$500,$A152,SIGAF!$H$2:$H$500)</f>
        <v>0</v>
      </c>
      <c r="F152" s="68">
        <f t="shared" si="28"/>
        <v>0</v>
      </c>
      <c r="G152" s="13">
        <f>SUMIF(SIGAF!$B$2:$B$500,$A152,SIGAF!$I$2:$I$500)</f>
        <v>0</v>
      </c>
      <c r="H152" s="68">
        <f t="shared" si="29"/>
        <v>0</v>
      </c>
      <c r="I152" s="13">
        <f>SUMIF(SIGAF!$B$2:$B$500,$A152,SIGAF!$J$2:$J$500)</f>
        <v>0</v>
      </c>
      <c r="J152" s="68">
        <f t="shared" si="29"/>
        <v>0</v>
      </c>
      <c r="K152" s="13">
        <f>SUMIF(SIGAF!$B$2:$B$500,$A152,SIGAF!$K$2:$K$500)</f>
        <v>24977286.199999999</v>
      </c>
      <c r="L152" s="175">
        <f t="shared" si="33"/>
        <v>0.97355707102570355</v>
      </c>
      <c r="M152" s="13">
        <f>SUMIF(SIGAF!$B$2:$B$500,$A152,SIGAF!$L$2:$L$500)</f>
        <v>17977286.199999999</v>
      </c>
      <c r="N152" s="68">
        <f t="shared" si="30"/>
        <v>0.70071319829224676</v>
      </c>
      <c r="O152" s="90">
        <f ca="1">SUMIF(SIGAF!$B$2:$B$500,$A152,SIGAF!$M$2:$M$364)</f>
        <v>678411.8</v>
      </c>
      <c r="P152" s="68">
        <f t="shared" ca="1" si="31"/>
        <v>2.6442928974296471E-2</v>
      </c>
      <c r="Q152" s="13">
        <f ca="1">SUMIF(SIGAF!$B$2:$B$500,$A152,SIGAF!$N$2:$N$364)</f>
        <v>678411.8</v>
      </c>
      <c r="R152" s="68">
        <f t="shared" ca="1" si="32"/>
        <v>2.6442928974296471E-2</v>
      </c>
    </row>
    <row r="153" spans="1:18" x14ac:dyDescent="0.25">
      <c r="A153" s="11" t="s">
        <v>310</v>
      </c>
      <c r="B153" s="11" t="s">
        <v>529</v>
      </c>
      <c r="C153" s="13">
        <f>SUMIF(SIGAF!$B$2:$B$500,$A153,SIGAF!$F$2:$F$500)</f>
        <v>200000</v>
      </c>
      <c r="D153" s="13">
        <f ca="1">SUMIF(SIGAF!$B$2:$B$500,$A153,SIGAF!$G$2:$G$364)</f>
        <v>200000</v>
      </c>
      <c r="E153" s="13">
        <f>SUMIF(SIGAF!$B$2:$B$500,$A153,SIGAF!$H$2:$H$500)</f>
        <v>0</v>
      </c>
      <c r="F153" s="68">
        <f t="shared" si="28"/>
        <v>0</v>
      </c>
      <c r="G153" s="13">
        <f>SUMIF(SIGAF!$B$2:$B$500,$A153,SIGAF!$I$2:$I$500)</f>
        <v>0</v>
      </c>
      <c r="H153" s="68">
        <f t="shared" si="29"/>
        <v>0</v>
      </c>
      <c r="I153" s="13">
        <f>SUMIF(SIGAF!$B$2:$B$500,$A153,SIGAF!$J$2:$J$500)</f>
        <v>0</v>
      </c>
      <c r="J153" s="68">
        <f t="shared" si="29"/>
        <v>0</v>
      </c>
      <c r="K153" s="13">
        <f>SUMIF(SIGAF!$B$2:$B$500,$A153,SIGAF!$K$2:$K$500)</f>
        <v>198000</v>
      </c>
      <c r="L153" s="175">
        <f t="shared" si="33"/>
        <v>0.99</v>
      </c>
      <c r="M153" s="13">
        <f>SUMIF(SIGAF!$B$2:$B$500,$A153,SIGAF!$L$2:$L$500)</f>
        <v>198000</v>
      </c>
      <c r="N153" s="68">
        <f t="shared" si="30"/>
        <v>0.99</v>
      </c>
      <c r="O153" s="90">
        <f ca="1">SUMIF(SIGAF!$B$2:$B$500,$A153,SIGAF!$M$2:$M$364)</f>
        <v>2000</v>
      </c>
      <c r="P153" s="68">
        <f t="shared" ca="1" si="31"/>
        <v>0.01</v>
      </c>
      <c r="Q153" s="13">
        <f ca="1">SUMIF(SIGAF!$B$2:$B$500,$A153,SIGAF!$N$2:$N$364)</f>
        <v>2000</v>
      </c>
      <c r="R153" s="68">
        <f t="shared" ca="1" si="32"/>
        <v>0.01</v>
      </c>
    </row>
    <row r="154" spans="1:18" x14ac:dyDescent="0.25">
      <c r="A154" s="11" t="s">
        <v>312</v>
      </c>
      <c r="B154" s="11" t="s">
        <v>530</v>
      </c>
      <c r="C154" s="13">
        <f>SUMIF(SIGAF!$B$2:$B$500,$A154,SIGAF!$F$2:$F$500)</f>
        <v>294888054</v>
      </c>
      <c r="D154" s="13">
        <f ca="1">SUMIF(SIGAF!$B$2:$B$500,$A154,SIGAF!$G$2:$G$364)</f>
        <v>294888053.72000003</v>
      </c>
      <c r="E154" s="13">
        <f>SUMIF(SIGAF!$B$2:$B$500,$A154,SIGAF!$H$2:$H$500)</f>
        <v>0</v>
      </c>
      <c r="F154" s="68">
        <f t="shared" si="28"/>
        <v>0</v>
      </c>
      <c r="G154" s="13">
        <f>SUMIF(SIGAF!$B$2:$B$500,$A154,SIGAF!$I$2:$I$500)</f>
        <v>10585140.199999999</v>
      </c>
      <c r="H154" s="68">
        <f t="shared" si="29"/>
        <v>3.5895452719831099E-2</v>
      </c>
      <c r="I154" s="13">
        <f>SUMIF(SIGAF!$B$2:$B$500,$A154,SIGAF!$J$2:$J$500)</f>
        <v>0</v>
      </c>
      <c r="J154" s="68">
        <f t="shared" si="29"/>
        <v>0</v>
      </c>
      <c r="K154" s="13">
        <f>SUMIF(SIGAF!$B$2:$B$500,$A154,SIGAF!$K$2:$K$500)</f>
        <v>225076225.49000001</v>
      </c>
      <c r="L154" s="175">
        <f t="shared" si="33"/>
        <v>0.76325989621132639</v>
      </c>
      <c r="M154" s="13">
        <f>SUMIF(SIGAF!$B$2:$B$500,$A154,SIGAF!$L$2:$L$500)</f>
        <v>85632437.570000008</v>
      </c>
      <c r="N154" s="68">
        <f t="shared" si="30"/>
        <v>0.29038964586201926</v>
      </c>
      <c r="O154" s="90">
        <f ca="1">SUMIF(SIGAF!$B$2:$B$500,$A154,SIGAF!$M$2:$M$364)</f>
        <v>59226688.309999995</v>
      </c>
      <c r="P154" s="68">
        <f t="shared" ca="1" si="31"/>
        <v>0.20084465106884253</v>
      </c>
      <c r="Q154" s="13">
        <f ca="1">SUMIF(SIGAF!$B$2:$B$500,$A154,SIGAF!$N$2:$N$364)</f>
        <v>59226688.030000001</v>
      </c>
      <c r="R154" s="68">
        <f t="shared" ca="1" si="32"/>
        <v>0.2008446501193297</v>
      </c>
    </row>
    <row r="155" spans="1:18" x14ac:dyDescent="0.25">
      <c r="A155" s="11" t="s">
        <v>314</v>
      </c>
      <c r="B155" s="11" t="s">
        <v>531</v>
      </c>
      <c r="C155" s="13">
        <f>SUMIF(SIGAF!$B$2:$B$500,$A155,SIGAF!$F$2:$F$500)</f>
        <v>1858025864</v>
      </c>
      <c r="D155" s="13">
        <f ca="1">SUMIF(SIGAF!$B$2:$B$500,$A155,SIGAF!$G$2:$G$364)</f>
        <v>1858025864</v>
      </c>
      <c r="E155" s="13">
        <f>SUMIF(SIGAF!$B$2:$B$500,$A155,SIGAF!$H$2:$H$500)</f>
        <v>0</v>
      </c>
      <c r="F155" s="68">
        <f t="shared" si="28"/>
        <v>0</v>
      </c>
      <c r="G155" s="13">
        <f>SUMIF(SIGAF!$B$2:$B$500,$A155,SIGAF!$I$2:$I$500)</f>
        <v>344990891.98000002</v>
      </c>
      <c r="H155" s="68">
        <f t="shared" si="29"/>
        <v>0.18567604394768533</v>
      </c>
      <c r="I155" s="13">
        <f>SUMIF(SIGAF!$B$2:$B$500,$A155,SIGAF!$J$2:$J$500)</f>
        <v>0</v>
      </c>
      <c r="J155" s="68">
        <f t="shared" si="29"/>
        <v>0</v>
      </c>
      <c r="K155" s="13">
        <f>SUMIF(SIGAF!$B$2:$B$500,$A155,SIGAF!$K$2:$K$500)</f>
        <v>1502611680.77</v>
      </c>
      <c r="L155" s="175">
        <f t="shared" si="33"/>
        <v>0.80871408191011063</v>
      </c>
      <c r="M155" s="13">
        <f>SUMIF(SIGAF!$B$2:$B$500,$A155,SIGAF!$L$2:$L$500)</f>
        <v>650582961.49000001</v>
      </c>
      <c r="N155" s="68">
        <f t="shared" si="30"/>
        <v>0.3501474194171928</v>
      </c>
      <c r="O155" s="90">
        <f ca="1">SUMIF(SIGAF!$B$2:$B$500,$A155,SIGAF!$M$2:$M$364)</f>
        <v>10423291.25</v>
      </c>
      <c r="P155" s="68">
        <f t="shared" ca="1" si="31"/>
        <v>5.6098741422040826E-3</v>
      </c>
      <c r="Q155" s="13">
        <f ca="1">SUMIF(SIGAF!$B$2:$B$500,$A155,SIGAF!$N$2:$N$364)</f>
        <v>10423291.25</v>
      </c>
      <c r="R155" s="68">
        <f t="shared" ca="1" si="32"/>
        <v>5.6098741422040826E-3</v>
      </c>
    </row>
    <row r="156" spans="1:18" x14ac:dyDescent="0.25">
      <c r="A156" s="11" t="s">
        <v>316</v>
      </c>
      <c r="B156" s="11" t="s">
        <v>317</v>
      </c>
      <c r="C156" s="13">
        <f>SUMIF(SIGAF!$B$2:$B$500,$A156,SIGAF!$F$2:$F$500)</f>
        <v>1823040163</v>
      </c>
      <c r="D156" s="13">
        <f ca="1">SUMIF(SIGAF!$B$2:$B$500,$A156,SIGAF!$G$2:$G$364)</f>
        <v>1823040163</v>
      </c>
      <c r="E156" s="13">
        <f>SUMIF(SIGAF!$B$2:$B$500,$A156,SIGAF!$H$2:$H$500)</f>
        <v>0</v>
      </c>
      <c r="F156" s="68">
        <f t="shared" si="28"/>
        <v>0</v>
      </c>
      <c r="G156" s="13">
        <f>SUMIF(SIGAF!$B$2:$B$500,$A156,SIGAF!$I$2:$I$500)</f>
        <v>340550166.73000002</v>
      </c>
      <c r="H156" s="68">
        <f t="shared" si="29"/>
        <v>0.1868034361731174</v>
      </c>
      <c r="I156" s="13">
        <f>SUMIF(SIGAF!$B$2:$B$500,$A156,SIGAF!$J$2:$J$500)</f>
        <v>0</v>
      </c>
      <c r="J156" s="68">
        <f t="shared" si="29"/>
        <v>0</v>
      </c>
      <c r="K156" s="13">
        <f>SUMIF(SIGAF!$B$2:$B$500,$A156,SIGAF!$K$2:$K$500)</f>
        <v>1473747234.77</v>
      </c>
      <c r="L156" s="175">
        <f t="shared" si="33"/>
        <v>0.80840085955363561</v>
      </c>
      <c r="M156" s="13">
        <f>SUMIF(SIGAF!$B$2:$B$500,$A156,SIGAF!$L$2:$L$500)</f>
        <v>634262961.49000001</v>
      </c>
      <c r="N156" s="68">
        <f t="shared" si="30"/>
        <v>0.34791496883220341</v>
      </c>
      <c r="O156" s="90">
        <f ca="1">SUMIF(SIGAF!$B$2:$B$500,$A156,SIGAF!$M$2:$M$364)</f>
        <v>8742761.5</v>
      </c>
      <c r="P156" s="68">
        <f t="shared" ca="1" si="31"/>
        <v>4.7957042732469958E-3</v>
      </c>
      <c r="Q156" s="13">
        <f ca="1">SUMIF(SIGAF!$B$2:$B$500,$A156,SIGAF!$N$2:$N$364)</f>
        <v>8742761.5</v>
      </c>
      <c r="R156" s="68">
        <f t="shared" ca="1" si="32"/>
        <v>4.7957042732469958E-3</v>
      </c>
    </row>
    <row r="157" spans="1:18" x14ac:dyDescent="0.25">
      <c r="A157" s="11" t="s">
        <v>389</v>
      </c>
      <c r="B157" s="11" t="s">
        <v>390</v>
      </c>
      <c r="C157" s="13">
        <f>SUMIF(SIGAF!$B$2:$B$500,$A157,SIGAF!$F$2:$F$500)</f>
        <v>34985701</v>
      </c>
      <c r="D157" s="13">
        <f ca="1">SUMIF(SIGAF!$B$2:$B$500,$A157,SIGAF!$G$2:$G$364)</f>
        <v>34985701</v>
      </c>
      <c r="E157" s="13">
        <f>SUMIF(SIGAF!$B$2:$B$500,$A157,SIGAF!$H$2:$H$500)</f>
        <v>0</v>
      </c>
      <c r="F157" s="68">
        <f t="shared" si="28"/>
        <v>0</v>
      </c>
      <c r="G157" s="13">
        <f>SUMIF(SIGAF!$B$2:$B$500,$A157,SIGAF!$I$2:$I$500)</f>
        <v>4440725.25</v>
      </c>
      <c r="H157" s="68">
        <f t="shared" si="29"/>
        <v>0.1269297205163904</v>
      </c>
      <c r="I157" s="13">
        <f>SUMIF(SIGAF!$B$2:$B$500,$A157,SIGAF!$J$2:$J$500)</f>
        <v>0</v>
      </c>
      <c r="J157" s="68">
        <f t="shared" si="29"/>
        <v>0</v>
      </c>
      <c r="K157" s="13">
        <f>SUMIF(SIGAF!$B$2:$B$500,$A157,SIGAF!$K$2:$K$500)</f>
        <v>28864446</v>
      </c>
      <c r="L157" s="175">
        <f t="shared" si="33"/>
        <v>0.82503551951124265</v>
      </c>
      <c r="M157" s="13">
        <f>SUMIF(SIGAF!$B$2:$B$500,$A157,SIGAF!$L$2:$L$500)</f>
        <v>16320000</v>
      </c>
      <c r="N157" s="68">
        <f t="shared" si="30"/>
        <v>0.46647628984195572</v>
      </c>
      <c r="O157" s="90">
        <f ca="1">SUMIF(SIGAF!$B$2:$B$500,$A157,SIGAF!$M$2:$M$364)</f>
        <v>1680529.75</v>
      </c>
      <c r="P157" s="68">
        <f t="shared" ca="1" si="31"/>
        <v>4.8034759972366996E-2</v>
      </c>
      <c r="Q157" s="13">
        <f ca="1">SUMIF(SIGAF!$B$2:$B$500,$A157,SIGAF!$N$2:$N$364)</f>
        <v>1680529.75</v>
      </c>
      <c r="R157" s="68">
        <f t="shared" ca="1" si="32"/>
        <v>4.8034759972366996E-2</v>
      </c>
    </row>
    <row r="158" spans="1:18" x14ac:dyDescent="0.25">
      <c r="A158" s="11" t="s">
        <v>360</v>
      </c>
      <c r="B158" s="11" t="s">
        <v>532</v>
      </c>
      <c r="C158" s="13">
        <f>SUMIF(SIGAF!$B$2:$B$500,$A158,SIGAF!$F$2:$F$500)</f>
        <v>200095963</v>
      </c>
      <c r="D158" s="13">
        <f ca="1">SUMIF(SIGAF!$B$2:$B$500,$A158,SIGAF!$G$2:$G$364)</f>
        <v>200095962.28</v>
      </c>
      <c r="E158" s="13">
        <f>SUMIF(SIGAF!$B$2:$B$500,$A158,SIGAF!$H$2:$H$500)</f>
        <v>0</v>
      </c>
      <c r="F158" s="68">
        <f t="shared" si="28"/>
        <v>0</v>
      </c>
      <c r="G158" s="13">
        <f>SUMIF(SIGAF!$B$2:$B$500,$A158,SIGAF!$I$2:$I$500)</f>
        <v>0</v>
      </c>
      <c r="H158" s="68">
        <f t="shared" si="29"/>
        <v>0</v>
      </c>
      <c r="I158" s="13">
        <f>SUMIF(SIGAF!$B$2:$B$500,$A158,SIGAF!$J$2:$J$500)</f>
        <v>0</v>
      </c>
      <c r="J158" s="68">
        <f t="shared" si="29"/>
        <v>0</v>
      </c>
      <c r="K158" s="13">
        <f>SUMIF(SIGAF!$B$2:$B$500,$A158,SIGAF!$K$2:$K$500)</f>
        <v>174356789.76999998</v>
      </c>
      <c r="L158" s="175">
        <f t="shared" si="33"/>
        <v>0.87136585444255055</v>
      </c>
      <c r="M158" s="13">
        <f>SUMIF(SIGAF!$B$2:$B$500,$A158,SIGAF!$L$2:$L$500)</f>
        <v>56405146.620000005</v>
      </c>
      <c r="N158" s="68">
        <f t="shared" si="30"/>
        <v>0.28189047782038462</v>
      </c>
      <c r="O158" s="90">
        <f ca="1">SUMIF(SIGAF!$B$2:$B$500,$A158,SIGAF!$M$2:$M$364)</f>
        <v>25739173.23</v>
      </c>
      <c r="P158" s="68">
        <f t="shared" ca="1" si="31"/>
        <v>0.12863414555744934</v>
      </c>
      <c r="Q158" s="13">
        <f ca="1">SUMIF(SIGAF!$B$2:$B$500,$A158,SIGAF!$N$2:$N$364)</f>
        <v>25739172.510000002</v>
      </c>
      <c r="R158" s="68">
        <f t="shared" ca="1" si="32"/>
        <v>0.12863414195917586</v>
      </c>
    </row>
    <row r="159" spans="1:18" x14ac:dyDescent="0.25">
      <c r="A159" s="11" t="s">
        <v>362</v>
      </c>
      <c r="B159" s="11" t="s">
        <v>363</v>
      </c>
      <c r="C159" s="13">
        <f>SUMIF(SIGAF!$B$2:$B$500,$A159,SIGAF!$F$2:$F$500)</f>
        <v>200095963</v>
      </c>
      <c r="D159" s="13">
        <f ca="1">SUMIF(SIGAF!$B$2:$B$500,$A159,SIGAF!$G$2:$G$364)</f>
        <v>200095962.28</v>
      </c>
      <c r="E159" s="13">
        <f>SUMIF(SIGAF!$B$2:$B$500,$A159,SIGAF!$H$2:$H$500)</f>
        <v>0</v>
      </c>
      <c r="F159" s="68">
        <f t="shared" si="28"/>
        <v>0</v>
      </c>
      <c r="G159" s="13">
        <f>SUMIF(SIGAF!$B$2:$B$500,$A159,SIGAF!$I$2:$I$500)</f>
        <v>0</v>
      </c>
      <c r="H159" s="68">
        <f t="shared" si="29"/>
        <v>0</v>
      </c>
      <c r="I159" s="13">
        <f>SUMIF(SIGAF!$B$2:$B$500,$A159,SIGAF!$J$2:$J$500)</f>
        <v>0</v>
      </c>
      <c r="J159" s="68">
        <f t="shared" si="29"/>
        <v>0</v>
      </c>
      <c r="K159" s="13">
        <f>SUMIF(SIGAF!$B$2:$B$500,$A159,SIGAF!$K$2:$K$500)</f>
        <v>174356789.77000001</v>
      </c>
      <c r="L159" s="175">
        <f t="shared" si="33"/>
        <v>0.87136585444255066</v>
      </c>
      <c r="M159" s="13">
        <f>SUMIF(SIGAF!$B$2:$B$500,$A159,SIGAF!$L$2:$L$500)</f>
        <v>56405146.619999997</v>
      </c>
      <c r="N159" s="68">
        <f t="shared" si="30"/>
        <v>0.28189047782038462</v>
      </c>
      <c r="O159" s="90">
        <f ca="1">SUMIF(SIGAF!$B$2:$B$500,$A159,SIGAF!$M$2:$M$364)</f>
        <v>25739173.23</v>
      </c>
      <c r="P159" s="68">
        <f t="shared" ca="1" si="31"/>
        <v>0.12863414555744934</v>
      </c>
      <c r="Q159" s="13">
        <f ca="1">SUMIF(SIGAF!$B$2:$B$500,$A159,SIGAF!$N$2:$N$364)</f>
        <v>25739172.510000002</v>
      </c>
      <c r="R159" s="68">
        <f t="shared" ca="1" si="32"/>
        <v>0.12863414195917586</v>
      </c>
    </row>
    <row r="160" spans="1:18" s="23" customFormat="1" x14ac:dyDescent="0.25">
      <c r="A160" s="21" t="s">
        <v>266</v>
      </c>
      <c r="B160" s="21" t="s">
        <v>533</v>
      </c>
      <c r="C160" s="35">
        <f>+C161+C178+C180+C183+C186</f>
        <v>3656120600</v>
      </c>
      <c r="D160" s="35">
        <f t="shared" ref="D160:G160" ca="1" si="34">+D161+D178+D180+D183+D186</f>
        <v>3656120598.4099998</v>
      </c>
      <c r="E160" s="35">
        <f t="shared" si="34"/>
        <v>0</v>
      </c>
      <c r="F160" s="67">
        <f t="shared" si="28"/>
        <v>0</v>
      </c>
      <c r="G160" s="35">
        <f t="shared" si="34"/>
        <v>292678526.91000003</v>
      </c>
      <c r="H160" s="67">
        <f t="shared" si="29"/>
        <v>8.0051661017418299E-2</v>
      </c>
      <c r="I160" s="35">
        <f t="shared" ref="I160" si="35">+I161+I178+I180+I183+I186</f>
        <v>0</v>
      </c>
      <c r="J160" s="67">
        <f t="shared" si="29"/>
        <v>0</v>
      </c>
      <c r="K160" s="35">
        <f t="shared" ref="K160:Q160" si="36">+K161+K178+K180+K183+K186</f>
        <v>2772222334.6399999</v>
      </c>
      <c r="L160" s="174">
        <f t="shared" si="33"/>
        <v>0.75824149089611537</v>
      </c>
      <c r="M160" s="35">
        <f t="shared" si="36"/>
        <v>2714508079.0100002</v>
      </c>
      <c r="N160" s="67">
        <f t="shared" si="30"/>
        <v>0.74245583666195258</v>
      </c>
      <c r="O160" s="35">
        <f t="shared" ca="1" si="36"/>
        <v>591219738.44999993</v>
      </c>
      <c r="P160" s="67">
        <f t="shared" ca="1" si="31"/>
        <v>0.16170684808646626</v>
      </c>
      <c r="Q160" s="35">
        <f t="shared" ca="1" si="36"/>
        <v>591219736.8599999</v>
      </c>
      <c r="R160" s="67">
        <f t="shared" ca="1" si="32"/>
        <v>0.16170684765157908</v>
      </c>
    </row>
    <row r="161" spans="1:18" x14ac:dyDescent="0.25">
      <c r="A161" s="11" t="s">
        <v>268</v>
      </c>
      <c r="B161" s="11" t="s">
        <v>534</v>
      </c>
      <c r="C161" s="13">
        <f>SUMIF(SIGAF!$B$2:$B$500,$A161,SIGAF!$F$2:$F$500)</f>
        <v>1289145630</v>
      </c>
      <c r="D161" s="13">
        <f ca="1">SUMIF(SIGAF!$B$2:$B$500,$A161,SIGAF!$G$2:$G$364)</f>
        <v>1289145629.97</v>
      </c>
      <c r="E161" s="13">
        <f>SUMIF(SIGAF!$B$2:$B$500,$A161,SIGAF!$H$2:$H$500)</f>
        <v>0</v>
      </c>
      <c r="F161" s="68">
        <f t="shared" si="28"/>
        <v>0</v>
      </c>
      <c r="G161" s="13">
        <f>SUMIF(SIGAF!$B$2:$B$500,$A161,SIGAF!$I$2:$I$500)</f>
        <v>0</v>
      </c>
      <c r="H161" s="68">
        <f t="shared" si="29"/>
        <v>0</v>
      </c>
      <c r="I161" s="13">
        <f>SUMIF(SIGAF!$B$2:$B$500,$A161,SIGAF!$J$2:$J$500)</f>
        <v>0</v>
      </c>
      <c r="J161" s="68">
        <f t="shared" si="29"/>
        <v>0</v>
      </c>
      <c r="K161" s="13">
        <f>SUMIF(SIGAF!$B$2:$B$500,$A161,SIGAF!$K$2:$K$500)</f>
        <v>921000470.25999999</v>
      </c>
      <c r="L161" s="175">
        <f t="shared" si="33"/>
        <v>0.7144270195912622</v>
      </c>
      <c r="M161" s="13">
        <f>SUMIF(SIGAF!$B$2:$B$500,$A161,SIGAF!$L$2:$L$500)</f>
        <v>921000470.25999999</v>
      </c>
      <c r="N161" s="68">
        <f t="shared" si="30"/>
        <v>0.7144270195912622</v>
      </c>
      <c r="O161" s="90">
        <f ca="1">SUMIF(SIGAF!$B$2:$B$500,$A161,SIGAF!$M$2:$M$364)</f>
        <v>368145159.74000001</v>
      </c>
      <c r="P161" s="68">
        <f t="shared" ca="1" si="31"/>
        <v>0.28557298040873785</v>
      </c>
      <c r="Q161" s="13">
        <f ca="1">SUMIF(SIGAF!$B$2:$B$500,$A161,SIGAF!$N$2:$N$364)</f>
        <v>368145159.71000004</v>
      </c>
      <c r="R161" s="68">
        <f t="shared" ca="1" si="32"/>
        <v>0.28557298038546663</v>
      </c>
    </row>
    <row r="162" spans="1:18" x14ac:dyDescent="0.25">
      <c r="A162" s="11" t="s">
        <v>422</v>
      </c>
      <c r="B162" s="11" t="s">
        <v>535</v>
      </c>
      <c r="C162" s="13">
        <f>SUM(C163:C166)</f>
        <v>772816497</v>
      </c>
      <c r="D162" s="13">
        <f t="shared" ref="D162:G162" ca="1" si="37">SUM(D163:D166)</f>
        <v>772816496.97000003</v>
      </c>
      <c r="E162" s="13">
        <f t="shared" si="37"/>
        <v>0</v>
      </c>
      <c r="F162" s="68">
        <f t="shared" si="28"/>
        <v>0</v>
      </c>
      <c r="G162" s="13">
        <f t="shared" si="37"/>
        <v>0</v>
      </c>
      <c r="H162" s="68">
        <f t="shared" si="29"/>
        <v>0</v>
      </c>
      <c r="I162" s="13">
        <f t="shared" ref="I162" si="38">SUM(I163:I166)</f>
        <v>0</v>
      </c>
      <c r="J162" s="68">
        <f t="shared" si="29"/>
        <v>0</v>
      </c>
      <c r="K162" s="13">
        <f t="shared" ref="K162:Q162" si="39">SUM(K163:K166)</f>
        <v>423638876.53999996</v>
      </c>
      <c r="L162" s="175">
        <f t="shared" si="33"/>
        <v>0.54817525012021062</v>
      </c>
      <c r="M162" s="13">
        <f t="shared" si="39"/>
        <v>423638876.53999996</v>
      </c>
      <c r="N162" s="68">
        <f t="shared" si="30"/>
        <v>0.54817525012021062</v>
      </c>
      <c r="O162" s="13">
        <f t="shared" ca="1" si="39"/>
        <v>349177620.46000004</v>
      </c>
      <c r="P162" s="68">
        <f t="shared" ca="1" si="31"/>
        <v>0.45182474987978943</v>
      </c>
      <c r="Q162" s="13">
        <f t="shared" ca="1" si="39"/>
        <v>349177620.43000001</v>
      </c>
      <c r="R162" s="68">
        <f t="shared" ca="1" si="32"/>
        <v>0.45182474984097032</v>
      </c>
    </row>
    <row r="163" spans="1:18" x14ac:dyDescent="0.25">
      <c r="A163" s="11" t="s">
        <v>270</v>
      </c>
      <c r="B163" s="11" t="s">
        <v>536</v>
      </c>
      <c r="C163" s="13">
        <f>SUMIF(SIGAF!$B$2:$B$500,$A163,SIGAF!$F$2:$F$500)</f>
        <v>2000000</v>
      </c>
      <c r="D163" s="13">
        <f ca="1">SUMIF(SIGAF!$B$2:$B$500,$A163,SIGAF!$G$2:$G$364)</f>
        <v>2000000</v>
      </c>
      <c r="E163" s="13">
        <f>SUMIF(SIGAF!$B$2:$B$500,$A163,SIGAF!$H$2:$H$500)</f>
        <v>0</v>
      </c>
      <c r="F163" s="68">
        <f t="shared" si="28"/>
        <v>0</v>
      </c>
      <c r="G163" s="13">
        <f>SUMIF(SIGAF!$B$2:$B$500,$A163,SIGAF!$I$2:$I$500)</f>
        <v>0</v>
      </c>
      <c r="H163" s="68">
        <f t="shared" si="29"/>
        <v>0</v>
      </c>
      <c r="I163" s="13">
        <f>SUMIF(SIGAF!$B$2:$B$500,$A163,SIGAF!$J$2:$J$500)</f>
        <v>0</v>
      </c>
      <c r="J163" s="68">
        <f t="shared" si="29"/>
        <v>0</v>
      </c>
      <c r="K163" s="13">
        <f>SUMIF(SIGAF!$B$2:$B$500,$A163,SIGAF!$K$2:$K$500)</f>
        <v>2000000</v>
      </c>
      <c r="L163" s="175">
        <f t="shared" si="33"/>
        <v>1</v>
      </c>
      <c r="M163" s="13">
        <f>SUMIF(SIGAF!$B$2:$B$500,$A163,SIGAF!$L$2:$L$500)</f>
        <v>2000000</v>
      </c>
      <c r="N163" s="68">
        <f t="shared" si="30"/>
        <v>1</v>
      </c>
      <c r="O163" s="90">
        <f ca="1">SUMIF(SIGAF!$B$2:$B$500,$A163,SIGAF!$M$2:$M$364)</f>
        <v>0</v>
      </c>
      <c r="P163" s="68">
        <f t="shared" ca="1" si="31"/>
        <v>0</v>
      </c>
      <c r="Q163" s="13">
        <f ca="1">SUMIF(SIGAF!$B$2:$B$500,$A163,SIGAF!$N$2:$N$364)</f>
        <v>0</v>
      </c>
      <c r="R163" s="68">
        <f t="shared" ca="1" si="32"/>
        <v>0</v>
      </c>
    </row>
    <row r="164" spans="1:18" x14ac:dyDescent="0.25">
      <c r="A164" s="11" t="s">
        <v>391</v>
      </c>
      <c r="B164" s="11" t="s">
        <v>537</v>
      </c>
      <c r="C164" s="13">
        <f>SUMIF(SIGAF!$B$2:$B$500,$A164,SIGAF!$F$2:$F$500)</f>
        <v>179500000</v>
      </c>
      <c r="D164" s="13">
        <f ca="1">SUMIF(SIGAF!$B$2:$B$500,$A164,SIGAF!$G$2:$G$364)</f>
        <v>179500000</v>
      </c>
      <c r="E164" s="13">
        <f>SUMIF(SIGAF!$B$2:$B$500,$A164,SIGAF!$H$2:$H$500)</f>
        <v>0</v>
      </c>
      <c r="F164" s="68">
        <f t="shared" si="28"/>
        <v>0</v>
      </c>
      <c r="G164" s="13">
        <f>SUMIF(SIGAF!$B$2:$B$500,$A164,SIGAF!$I$2:$I$500)</f>
        <v>0</v>
      </c>
      <c r="H164" s="68">
        <f t="shared" si="29"/>
        <v>0</v>
      </c>
      <c r="I164" s="13">
        <f>SUMIF(SIGAF!$B$2:$B$500,$A164,SIGAF!$J$2:$J$500)</f>
        <v>0</v>
      </c>
      <c r="J164" s="68">
        <f t="shared" si="29"/>
        <v>0</v>
      </c>
      <c r="K164" s="13">
        <f>SUMIF(SIGAF!$B$2:$B$500,$A164,SIGAF!$K$2:$K$500)</f>
        <v>179500000</v>
      </c>
      <c r="L164" s="175">
        <f t="shared" si="33"/>
        <v>1</v>
      </c>
      <c r="M164" s="13">
        <f>SUMIF(SIGAF!$B$2:$B$500,$A164,SIGAF!$L$2:$L$500)</f>
        <v>179500000</v>
      </c>
      <c r="N164" s="68">
        <f t="shared" si="30"/>
        <v>1</v>
      </c>
      <c r="O164" s="90">
        <f ca="1">SUMIF(SIGAF!$B$2:$B$500,$A164,SIGAF!$M$2:$M$364)</f>
        <v>0</v>
      </c>
      <c r="P164" s="68">
        <f t="shared" ca="1" si="31"/>
        <v>0</v>
      </c>
      <c r="Q164" s="13">
        <f ca="1">SUMIF(SIGAF!$B$2:$B$500,$A164,SIGAF!$N$2:$N$364)</f>
        <v>0</v>
      </c>
      <c r="R164" s="68">
        <f t="shared" ca="1" si="32"/>
        <v>0</v>
      </c>
    </row>
    <row r="165" spans="1:18" x14ac:dyDescent="0.25">
      <c r="A165" s="11" t="s">
        <v>423</v>
      </c>
      <c r="B165" s="11" t="s">
        <v>538</v>
      </c>
      <c r="C165" s="13">
        <f>SUMIF(SIGAF!$B$2:$B$500,$A165,SIGAF!$F$2:$F$500)</f>
        <v>189816497</v>
      </c>
      <c r="D165" s="13">
        <f ca="1">SUMIF(SIGAF!$B$2:$B$500,$A165,SIGAF!$G$2:$G$364)</f>
        <v>189816497</v>
      </c>
      <c r="E165" s="13">
        <f>SUMIF(SIGAF!$B$2:$B$500,$A165,SIGAF!$H$2:$H$500)</f>
        <v>0</v>
      </c>
      <c r="F165" s="68">
        <f t="shared" si="28"/>
        <v>0</v>
      </c>
      <c r="G165" s="13">
        <f>SUMIF(SIGAF!$B$2:$B$500,$A165,SIGAF!$I$2:$I$500)</f>
        <v>0</v>
      </c>
      <c r="H165" s="68">
        <f t="shared" si="29"/>
        <v>0</v>
      </c>
      <c r="I165" s="13">
        <f>SUMIF(SIGAF!$B$2:$B$500,$A165,SIGAF!$J$2:$J$500)</f>
        <v>0</v>
      </c>
      <c r="J165" s="68">
        <f t="shared" si="29"/>
        <v>0</v>
      </c>
      <c r="K165" s="13">
        <f>SUMIF(SIGAF!$B$2:$B$500,$A165,SIGAF!$K$2:$K$500)</f>
        <v>0</v>
      </c>
      <c r="L165" s="175">
        <f t="shared" si="33"/>
        <v>0</v>
      </c>
      <c r="M165" s="13">
        <f>SUMIF(SIGAF!$B$2:$B$500,$A165,SIGAF!$L$2:$L$500)</f>
        <v>0</v>
      </c>
      <c r="N165" s="68">
        <f t="shared" si="30"/>
        <v>0</v>
      </c>
      <c r="O165" s="90">
        <f ca="1">SUMIF(SIGAF!$B$2:$B$500,$A165,SIGAF!$M$2:$M$364)</f>
        <v>189816497</v>
      </c>
      <c r="P165" s="68">
        <f t="shared" ca="1" si="31"/>
        <v>1</v>
      </c>
      <c r="Q165" s="13">
        <f ca="1">SUMIF(SIGAF!$B$2:$B$500,$A165,SIGAF!$N$2:$N$364)</f>
        <v>189816497</v>
      </c>
      <c r="R165" s="68">
        <f t="shared" ca="1" si="32"/>
        <v>1</v>
      </c>
    </row>
    <row r="166" spans="1:18" x14ac:dyDescent="0.25">
      <c r="A166" s="11" t="s">
        <v>272</v>
      </c>
      <c r="B166" s="11" t="s">
        <v>539</v>
      </c>
      <c r="C166" s="13">
        <f>SUMIF(SIGAF!$B$2:$B$500,$A166,SIGAF!$F$2:$F$500)</f>
        <v>401500000</v>
      </c>
      <c r="D166" s="13">
        <f ca="1">SUMIF(SIGAF!$B$2:$B$500,$A166,SIGAF!$G$2:$G$364)</f>
        <v>401499999.97000003</v>
      </c>
      <c r="E166" s="13">
        <f>SUMIF(SIGAF!$B$2:$B$500,$A166,SIGAF!$H$2:$H$500)</f>
        <v>0</v>
      </c>
      <c r="F166" s="68">
        <f t="shared" si="28"/>
        <v>0</v>
      </c>
      <c r="G166" s="13">
        <f>SUMIF(SIGAF!$B$2:$B$500,$A166,SIGAF!$I$2:$I$500)</f>
        <v>0</v>
      </c>
      <c r="H166" s="68">
        <f t="shared" si="29"/>
        <v>0</v>
      </c>
      <c r="I166" s="13">
        <f>SUMIF(SIGAF!$B$2:$B$500,$A166,SIGAF!$J$2:$J$500)</f>
        <v>0</v>
      </c>
      <c r="J166" s="68">
        <f t="shared" si="29"/>
        <v>0</v>
      </c>
      <c r="K166" s="13">
        <f>SUMIF(SIGAF!$B$2:$B$500,$A166,SIGAF!$K$2:$K$500)</f>
        <v>242138876.53999999</v>
      </c>
      <c r="L166" s="175">
        <f t="shared" si="33"/>
        <v>0.60308562027397261</v>
      </c>
      <c r="M166" s="13">
        <f>SUMIF(SIGAF!$B$2:$B$500,$A166,SIGAF!$L$2:$L$500)</f>
        <v>242138876.53999999</v>
      </c>
      <c r="N166" s="68">
        <f t="shared" si="30"/>
        <v>0.60308562027397261</v>
      </c>
      <c r="O166" s="90">
        <f ca="1">SUMIF(SIGAF!$B$2:$B$500,$A166,SIGAF!$M$2:$M$364)</f>
        <v>159361123.46000001</v>
      </c>
      <c r="P166" s="68">
        <f t="shared" ca="1" si="31"/>
        <v>0.39691437972602744</v>
      </c>
      <c r="Q166" s="13">
        <f ca="1">SUMIF(SIGAF!$B$2:$B$500,$A166,SIGAF!$N$2:$N$364)</f>
        <v>159361123.43000001</v>
      </c>
      <c r="R166" s="68">
        <f t="shared" ca="1" si="32"/>
        <v>0.3969143796513076</v>
      </c>
    </row>
    <row r="167" spans="1:18" x14ac:dyDescent="0.25">
      <c r="A167" s="11" t="s">
        <v>424</v>
      </c>
      <c r="B167" s="11" t="s">
        <v>540</v>
      </c>
      <c r="C167" s="13">
        <f>SUM(C168:C177)</f>
        <v>516329133</v>
      </c>
      <c r="D167" s="13">
        <f t="shared" ref="D167:G167" ca="1" si="40">SUM(D168:D177)</f>
        <v>516329133</v>
      </c>
      <c r="E167" s="13">
        <f t="shared" si="40"/>
        <v>0</v>
      </c>
      <c r="F167" s="68">
        <f t="shared" si="28"/>
        <v>0</v>
      </c>
      <c r="G167" s="13">
        <f t="shared" si="40"/>
        <v>0</v>
      </c>
      <c r="H167" s="68">
        <f t="shared" si="29"/>
        <v>0</v>
      </c>
      <c r="I167" s="13">
        <f t="shared" ref="I167" si="41">SUM(I168:I177)</f>
        <v>0</v>
      </c>
      <c r="J167" s="68">
        <f t="shared" si="29"/>
        <v>0</v>
      </c>
      <c r="K167" s="13">
        <f t="shared" ref="K167:Q167" si="42">SUM(K168:K177)</f>
        <v>497361593.72000003</v>
      </c>
      <c r="L167" s="175">
        <f t="shared" si="33"/>
        <v>0.96326463476931101</v>
      </c>
      <c r="M167" s="13">
        <f t="shared" si="42"/>
        <v>497361593.72000003</v>
      </c>
      <c r="N167" s="68">
        <f t="shared" si="30"/>
        <v>0.96326463476931101</v>
      </c>
      <c r="O167" s="13">
        <f t="shared" ca="1" si="42"/>
        <v>18967539.280000001</v>
      </c>
      <c r="P167" s="68">
        <f t="shared" ca="1" si="31"/>
        <v>3.6735365230689009E-2</v>
      </c>
      <c r="Q167" s="13">
        <f t="shared" ca="1" si="42"/>
        <v>18967539.280000001</v>
      </c>
      <c r="R167" s="68">
        <f t="shared" ca="1" si="32"/>
        <v>3.6735365230689009E-2</v>
      </c>
    </row>
    <row r="168" spans="1:18" x14ac:dyDescent="0.25">
      <c r="A168" s="11" t="s">
        <v>274</v>
      </c>
      <c r="B168" s="11" t="s">
        <v>541</v>
      </c>
      <c r="C168" s="13">
        <f>SUMIF(SIGAF!$B$2:$B$500,$A168,SIGAF!$F$2:$F$500)</f>
        <v>7003219</v>
      </c>
      <c r="D168" s="13">
        <f ca="1">SUMIF(SIGAF!$B$2:$B$500,$A168,SIGAF!$G$2:$G$364)</f>
        <v>7003219</v>
      </c>
      <c r="E168" s="13">
        <f>SUMIF(SIGAF!$B$2:$B$500,$A168,SIGAF!$H$2:$H$500)</f>
        <v>0</v>
      </c>
      <c r="F168" s="68">
        <f t="shared" si="28"/>
        <v>0</v>
      </c>
      <c r="G168" s="13">
        <f>SUMIF(SIGAF!$B$2:$B$500,$A168,SIGAF!$I$2:$I$500)</f>
        <v>0</v>
      </c>
      <c r="H168" s="68">
        <f t="shared" si="29"/>
        <v>0</v>
      </c>
      <c r="I168" s="13">
        <f>SUMIF(SIGAF!$B$2:$B$500,$A168,SIGAF!$J$2:$J$500)</f>
        <v>0</v>
      </c>
      <c r="J168" s="68">
        <f t="shared" si="29"/>
        <v>0</v>
      </c>
      <c r="K168" s="13">
        <f>SUMIF(SIGAF!$B$2:$B$500,$A168,SIGAF!$K$2:$K$500)</f>
        <v>6502948</v>
      </c>
      <c r="L168" s="175">
        <f t="shared" si="33"/>
        <v>0.928565563921391</v>
      </c>
      <c r="M168" s="13">
        <f>SUMIF(SIGAF!$B$2:$B$500,$A168,SIGAF!$L$2:$L$500)</f>
        <v>6502948</v>
      </c>
      <c r="N168" s="68">
        <f t="shared" si="30"/>
        <v>0.928565563921391</v>
      </c>
      <c r="O168" s="90">
        <f ca="1">SUMIF(SIGAF!$B$2:$B$500,$A168,SIGAF!$M$2:$M$364)</f>
        <v>500271</v>
      </c>
      <c r="P168" s="68">
        <f t="shared" ca="1" si="31"/>
        <v>7.1434436078608998E-2</v>
      </c>
      <c r="Q168" s="13">
        <f ca="1">SUMIF(SIGAF!$B$2:$B$500,$A168,SIGAF!$N$2:$N$364)</f>
        <v>500271</v>
      </c>
      <c r="R168" s="68">
        <f t="shared" ca="1" si="32"/>
        <v>7.1434436078608998E-2</v>
      </c>
    </row>
    <row r="169" spans="1:18" x14ac:dyDescent="0.25">
      <c r="A169" s="11" t="s">
        <v>329</v>
      </c>
      <c r="B169" s="11" t="s">
        <v>541</v>
      </c>
      <c r="C169" s="13">
        <f>SUMIF(SIGAF!$B$2:$B$500,$A169,SIGAF!$F$2:$F$500)</f>
        <v>3102288</v>
      </c>
      <c r="D169" s="13">
        <f ca="1">SUMIF(SIGAF!$B$2:$B$500,$A169,SIGAF!$G$2:$G$364)</f>
        <v>3102288</v>
      </c>
      <c r="E169" s="13">
        <f>SUMIF(SIGAF!$B$2:$B$500,$A169,SIGAF!$H$2:$H$500)</f>
        <v>0</v>
      </c>
      <c r="F169" s="68">
        <f t="shared" si="28"/>
        <v>0</v>
      </c>
      <c r="G169" s="13">
        <f>SUMIF(SIGAF!$B$2:$B$500,$A169,SIGAF!$I$2:$I$500)</f>
        <v>0</v>
      </c>
      <c r="H169" s="68">
        <f t="shared" si="29"/>
        <v>0</v>
      </c>
      <c r="I169" s="13">
        <f>SUMIF(SIGAF!$B$2:$B$500,$A169,SIGAF!$J$2:$J$500)</f>
        <v>0</v>
      </c>
      <c r="J169" s="68">
        <f t="shared" si="29"/>
        <v>0</v>
      </c>
      <c r="K169" s="13">
        <f>SUMIF(SIGAF!$B$2:$B$500,$A169,SIGAF!$K$2:$K$500)</f>
        <v>2903642</v>
      </c>
      <c r="L169" s="175">
        <f t="shared" si="33"/>
        <v>0.93596790497851912</v>
      </c>
      <c r="M169" s="13">
        <f>SUMIF(SIGAF!$B$2:$B$500,$A169,SIGAF!$L$2:$L$500)</f>
        <v>2903642</v>
      </c>
      <c r="N169" s="68">
        <f t="shared" si="30"/>
        <v>0.93596790497851912</v>
      </c>
      <c r="O169" s="90">
        <f ca="1">SUMIF(SIGAF!$B$2:$B$500,$A169,SIGAF!$M$2:$M$364)</f>
        <v>198646</v>
      </c>
      <c r="P169" s="68">
        <f t="shared" ca="1" si="31"/>
        <v>6.4032095021480925E-2</v>
      </c>
      <c r="Q169" s="13">
        <f ca="1">SUMIF(SIGAF!$B$2:$B$500,$A169,SIGAF!$N$2:$N$364)</f>
        <v>198646</v>
      </c>
      <c r="R169" s="68">
        <f t="shared" ca="1" si="32"/>
        <v>6.4032095021480925E-2</v>
      </c>
    </row>
    <row r="170" spans="1:18" x14ac:dyDescent="0.25">
      <c r="A170" s="11" t="s">
        <v>364</v>
      </c>
      <c r="B170" s="11" t="s">
        <v>541</v>
      </c>
      <c r="C170" s="13">
        <f>SUMIF(SIGAF!$B$2:$B$500,$A170,SIGAF!$F$2:$F$500)</f>
        <v>35048000</v>
      </c>
      <c r="D170" s="13">
        <f ca="1">SUMIF(SIGAF!$B$2:$B$500,$A170,SIGAF!$G$2:$G$364)</f>
        <v>35048000</v>
      </c>
      <c r="E170" s="13">
        <f>SUMIF(SIGAF!$B$2:$B$500,$A170,SIGAF!$H$2:$H$500)</f>
        <v>0</v>
      </c>
      <c r="F170" s="68">
        <f t="shared" si="28"/>
        <v>0</v>
      </c>
      <c r="G170" s="13">
        <f>SUMIF(SIGAF!$B$2:$B$500,$A170,SIGAF!$I$2:$I$500)</f>
        <v>0</v>
      </c>
      <c r="H170" s="68">
        <f t="shared" si="29"/>
        <v>0</v>
      </c>
      <c r="I170" s="13">
        <f>SUMIF(SIGAF!$B$2:$B$500,$A170,SIGAF!$J$2:$J$500)</f>
        <v>0</v>
      </c>
      <c r="J170" s="68">
        <f t="shared" si="29"/>
        <v>0</v>
      </c>
      <c r="K170" s="13">
        <f>SUMIF(SIGAF!$B$2:$B$500,$A170,SIGAF!$K$2:$K$500)</f>
        <v>33386994.309999999</v>
      </c>
      <c r="L170" s="175">
        <f t="shared" si="33"/>
        <v>0.95260768973978538</v>
      </c>
      <c r="M170" s="13">
        <f>SUMIF(SIGAF!$B$2:$B$500,$A170,SIGAF!$L$2:$L$500)</f>
        <v>33386994.309999999</v>
      </c>
      <c r="N170" s="68">
        <f t="shared" si="30"/>
        <v>0.95260768973978538</v>
      </c>
      <c r="O170" s="90">
        <f ca="1">SUMIF(SIGAF!$B$2:$B$500,$A170,SIGAF!$M$2:$M$364)</f>
        <v>1661005.69</v>
      </c>
      <c r="P170" s="68">
        <f t="shared" ca="1" si="31"/>
        <v>4.7392310260214558E-2</v>
      </c>
      <c r="Q170" s="13">
        <f ca="1">SUMIF(SIGAF!$B$2:$B$500,$A170,SIGAF!$N$2:$N$364)</f>
        <v>1661005.69</v>
      </c>
      <c r="R170" s="68">
        <f t="shared" ca="1" si="32"/>
        <v>4.7392310260214558E-2</v>
      </c>
    </row>
    <row r="171" spans="1:18" x14ac:dyDescent="0.25">
      <c r="A171" s="11" t="s">
        <v>393</v>
      </c>
      <c r="B171" s="11" t="s">
        <v>541</v>
      </c>
      <c r="C171" s="13">
        <f>SUMIF(SIGAF!$B$2:$B$500,$A171,SIGAF!$F$2:$F$500)</f>
        <v>258614033</v>
      </c>
      <c r="D171" s="13">
        <f ca="1">SUMIF(SIGAF!$B$2:$B$500,$A171,SIGAF!$G$2:$G$364)</f>
        <v>258614033</v>
      </c>
      <c r="E171" s="13">
        <f>SUMIF(SIGAF!$B$2:$B$500,$A171,SIGAF!$H$2:$H$500)</f>
        <v>0</v>
      </c>
      <c r="F171" s="68">
        <f t="shared" si="28"/>
        <v>0</v>
      </c>
      <c r="G171" s="13">
        <f>SUMIF(SIGAF!$B$2:$B$500,$A171,SIGAF!$I$2:$I$500)</f>
        <v>0</v>
      </c>
      <c r="H171" s="68">
        <f t="shared" si="29"/>
        <v>0</v>
      </c>
      <c r="I171" s="13">
        <f>SUMIF(SIGAF!$B$2:$B$500,$A171,SIGAF!$J$2:$J$500)</f>
        <v>0</v>
      </c>
      <c r="J171" s="68">
        <f t="shared" si="29"/>
        <v>0</v>
      </c>
      <c r="K171" s="13">
        <f>SUMIF(SIGAF!$B$2:$B$500,$A171,SIGAF!$K$2:$K$500)</f>
        <v>251274749</v>
      </c>
      <c r="L171" s="175">
        <f t="shared" si="33"/>
        <v>0.97162070474342743</v>
      </c>
      <c r="M171" s="13">
        <f>SUMIF(SIGAF!$B$2:$B$500,$A171,SIGAF!$L$2:$L$500)</f>
        <v>251274749</v>
      </c>
      <c r="N171" s="68">
        <f t="shared" si="30"/>
        <v>0.97162070474342743</v>
      </c>
      <c r="O171" s="90">
        <f ca="1">SUMIF(SIGAF!$B$2:$B$500,$A171,SIGAF!$M$2:$M$364)</f>
        <v>7339284</v>
      </c>
      <c r="P171" s="68">
        <f t="shared" ca="1" si="31"/>
        <v>2.8379295256572561E-2</v>
      </c>
      <c r="Q171" s="13">
        <f ca="1">SUMIF(SIGAF!$B$2:$B$500,$A171,SIGAF!$N$2:$N$364)</f>
        <v>7339284</v>
      </c>
      <c r="R171" s="68">
        <f t="shared" ca="1" si="32"/>
        <v>2.8379295256572561E-2</v>
      </c>
    </row>
    <row r="172" spans="1:18" x14ac:dyDescent="0.25">
      <c r="A172" s="11" t="s">
        <v>412</v>
      </c>
      <c r="B172" s="11" t="s">
        <v>541</v>
      </c>
      <c r="C172" s="13">
        <f>SUMIF(SIGAF!$B$2:$B$500,$A172,SIGAF!$F$2:$F$500)</f>
        <v>56726601</v>
      </c>
      <c r="D172" s="13">
        <f ca="1">SUMIF(SIGAF!$B$2:$B$500,$A172,SIGAF!$G$2:$G$364)</f>
        <v>56726601</v>
      </c>
      <c r="E172" s="13">
        <f>SUMIF(SIGAF!$B$2:$B$500,$A172,SIGAF!$H$2:$H$500)</f>
        <v>0</v>
      </c>
      <c r="F172" s="68">
        <f t="shared" si="28"/>
        <v>0</v>
      </c>
      <c r="G172" s="13">
        <f>SUMIF(SIGAF!$B$2:$B$500,$A172,SIGAF!$I$2:$I$500)</f>
        <v>0</v>
      </c>
      <c r="H172" s="68">
        <f t="shared" si="29"/>
        <v>0</v>
      </c>
      <c r="I172" s="13">
        <f>SUMIF(SIGAF!$B$2:$B$500,$A172,SIGAF!$J$2:$J$500)</f>
        <v>0</v>
      </c>
      <c r="J172" s="68">
        <f t="shared" si="29"/>
        <v>0</v>
      </c>
      <c r="K172" s="13">
        <f>SUMIF(SIGAF!$B$2:$B$500,$A172,SIGAF!$K$2:$K$500)</f>
        <v>53485560.609999999</v>
      </c>
      <c r="L172" s="175">
        <f t="shared" si="33"/>
        <v>0.94286559862805808</v>
      </c>
      <c r="M172" s="13">
        <f>SUMIF(SIGAF!$B$2:$B$500,$A172,SIGAF!$L$2:$L$500)</f>
        <v>53485560.609999999</v>
      </c>
      <c r="N172" s="68">
        <f t="shared" si="30"/>
        <v>0.94286559862805808</v>
      </c>
      <c r="O172" s="90">
        <f ca="1">SUMIF(SIGAF!$B$2:$B$500,$A172,SIGAF!$M$2:$M$364)</f>
        <v>3241040.39</v>
      </c>
      <c r="P172" s="68">
        <f t="shared" ca="1" si="31"/>
        <v>5.7134401371941888E-2</v>
      </c>
      <c r="Q172" s="13">
        <f ca="1">SUMIF(SIGAF!$B$2:$B$500,$A172,SIGAF!$N$2:$N$364)</f>
        <v>3241040.39</v>
      </c>
      <c r="R172" s="68">
        <f t="shared" ca="1" si="32"/>
        <v>5.7134401371941888E-2</v>
      </c>
    </row>
    <row r="173" spans="1:18" x14ac:dyDescent="0.25">
      <c r="A173" s="11" t="s">
        <v>276</v>
      </c>
      <c r="B173" s="11" t="s">
        <v>542</v>
      </c>
      <c r="C173" s="13">
        <f>SUMIF(SIGAF!$B$2:$B$500,$A173,SIGAF!$F$2:$F$500)</f>
        <v>3018784</v>
      </c>
      <c r="D173" s="13">
        <f ca="1">SUMIF(SIGAF!$B$2:$B$500,$A173,SIGAF!$G$2:$G$364)</f>
        <v>3018784</v>
      </c>
      <c r="E173" s="13">
        <f>SUMIF(SIGAF!$B$2:$B$500,$A173,SIGAF!$H$2:$H$500)</f>
        <v>0</v>
      </c>
      <c r="F173" s="68">
        <f t="shared" si="28"/>
        <v>0</v>
      </c>
      <c r="G173" s="13">
        <f>SUMIF(SIGAF!$B$2:$B$500,$A173,SIGAF!$I$2:$I$500)</f>
        <v>0</v>
      </c>
      <c r="H173" s="68">
        <f t="shared" si="29"/>
        <v>0</v>
      </c>
      <c r="I173" s="13">
        <f>SUMIF(SIGAF!$B$2:$B$500,$A173,SIGAF!$J$2:$J$500)</f>
        <v>0</v>
      </c>
      <c r="J173" s="68">
        <f t="shared" si="29"/>
        <v>0</v>
      </c>
      <c r="K173" s="13">
        <f>SUMIF(SIGAF!$B$2:$B$500,$A173,SIGAF!$K$2:$K$500)</f>
        <v>2802992</v>
      </c>
      <c r="L173" s="175">
        <f t="shared" si="33"/>
        <v>0.92851691277017501</v>
      </c>
      <c r="M173" s="13">
        <f>SUMIF(SIGAF!$B$2:$B$500,$A173,SIGAF!$L$2:$L$500)</f>
        <v>2802992</v>
      </c>
      <c r="N173" s="68">
        <f t="shared" si="30"/>
        <v>0.92851691277017501</v>
      </c>
      <c r="O173" s="90">
        <f ca="1">SUMIF(SIGAF!$B$2:$B$500,$A173,SIGAF!$M$2:$M$364)</f>
        <v>215792</v>
      </c>
      <c r="P173" s="68">
        <f t="shared" ca="1" si="31"/>
        <v>7.1483087229824993E-2</v>
      </c>
      <c r="Q173" s="13">
        <f ca="1">SUMIF(SIGAF!$B$2:$B$500,$A173,SIGAF!$N$2:$N$364)</f>
        <v>215792</v>
      </c>
      <c r="R173" s="68">
        <f t="shared" ca="1" si="32"/>
        <v>7.1483087229824993E-2</v>
      </c>
    </row>
    <row r="174" spans="1:18" x14ac:dyDescent="0.25">
      <c r="A174" s="11" t="s">
        <v>330</v>
      </c>
      <c r="B174" s="11" t="s">
        <v>542</v>
      </c>
      <c r="C174" s="13">
        <f>SUMIF(SIGAF!$B$2:$B$500,$A174,SIGAF!$F$2:$F$500)</f>
        <v>1337038</v>
      </c>
      <c r="D174" s="13">
        <f ca="1">SUMIF(SIGAF!$B$2:$B$500,$A174,SIGAF!$G$2:$G$364)</f>
        <v>1337038</v>
      </c>
      <c r="E174" s="13">
        <f>SUMIF(SIGAF!$B$2:$B$500,$A174,SIGAF!$H$2:$H$500)</f>
        <v>0</v>
      </c>
      <c r="F174" s="68">
        <f t="shared" si="28"/>
        <v>0</v>
      </c>
      <c r="G174" s="13">
        <f>SUMIF(SIGAF!$B$2:$B$500,$A174,SIGAF!$I$2:$I$500)</f>
        <v>0</v>
      </c>
      <c r="H174" s="68">
        <f t="shared" si="29"/>
        <v>0</v>
      </c>
      <c r="I174" s="13">
        <f>SUMIF(SIGAF!$B$2:$B$500,$A174,SIGAF!$J$2:$J$500)</f>
        <v>0</v>
      </c>
      <c r="J174" s="68">
        <f t="shared" si="29"/>
        <v>0</v>
      </c>
      <c r="K174" s="13">
        <f>SUMIF(SIGAF!$B$2:$B$500,$A174,SIGAF!$K$2:$K$500)</f>
        <v>1251565</v>
      </c>
      <c r="L174" s="175">
        <f t="shared" si="33"/>
        <v>0.93607287152646368</v>
      </c>
      <c r="M174" s="13">
        <f>SUMIF(SIGAF!$B$2:$B$500,$A174,SIGAF!$L$2:$L$500)</f>
        <v>1251565</v>
      </c>
      <c r="N174" s="68">
        <f t="shared" si="30"/>
        <v>0.93607287152646368</v>
      </c>
      <c r="O174" s="90">
        <f ca="1">SUMIF(SIGAF!$B$2:$B$500,$A174,SIGAF!$M$2:$M$364)</f>
        <v>85473</v>
      </c>
      <c r="P174" s="68">
        <f t="shared" ca="1" si="31"/>
        <v>6.3927128473536279E-2</v>
      </c>
      <c r="Q174" s="13">
        <f ca="1">SUMIF(SIGAF!$B$2:$B$500,$A174,SIGAF!$N$2:$N$364)</f>
        <v>85473</v>
      </c>
      <c r="R174" s="68">
        <f t="shared" ca="1" si="32"/>
        <v>6.3927128473536279E-2</v>
      </c>
    </row>
    <row r="175" spans="1:18" x14ac:dyDescent="0.25">
      <c r="A175" s="11" t="s">
        <v>365</v>
      </c>
      <c r="B175" s="11" t="s">
        <v>542</v>
      </c>
      <c r="C175" s="13">
        <f>SUMIF(SIGAF!$B$2:$B$500,$A175,SIGAF!$F$2:$F$500)</f>
        <v>15107000</v>
      </c>
      <c r="D175" s="13">
        <f ca="1">SUMIF(SIGAF!$B$2:$B$500,$A175,SIGAF!$G$2:$G$364)</f>
        <v>15107000</v>
      </c>
      <c r="E175" s="13">
        <f>SUMIF(SIGAF!$B$2:$B$500,$A175,SIGAF!$H$2:$H$500)</f>
        <v>0</v>
      </c>
      <c r="F175" s="68">
        <f t="shared" si="28"/>
        <v>0</v>
      </c>
      <c r="G175" s="13">
        <f>SUMIF(SIGAF!$B$2:$B$500,$A175,SIGAF!$I$2:$I$500)</f>
        <v>0</v>
      </c>
      <c r="H175" s="68">
        <f t="shared" si="29"/>
        <v>0</v>
      </c>
      <c r="I175" s="13">
        <f>SUMIF(SIGAF!$B$2:$B$500,$A175,SIGAF!$J$2:$J$500)</f>
        <v>0</v>
      </c>
      <c r="J175" s="68">
        <f t="shared" si="29"/>
        <v>0</v>
      </c>
      <c r="K175" s="13">
        <f>SUMIF(SIGAF!$B$2:$B$500,$A175,SIGAF!$K$2:$K$500)</f>
        <v>14390945.85</v>
      </c>
      <c r="L175" s="175">
        <f t="shared" si="33"/>
        <v>0.95260116833256103</v>
      </c>
      <c r="M175" s="13">
        <f>SUMIF(SIGAF!$B$2:$B$500,$A175,SIGAF!$L$2:$L$500)</f>
        <v>14390945.85</v>
      </c>
      <c r="N175" s="68">
        <f t="shared" si="30"/>
        <v>0.95260116833256103</v>
      </c>
      <c r="O175" s="90">
        <f ca="1">SUMIF(SIGAF!$B$2:$B$500,$A175,SIGAF!$M$2:$M$364)</f>
        <v>716054.15</v>
      </c>
      <c r="P175" s="68">
        <f t="shared" ca="1" si="31"/>
        <v>4.739883166743894E-2</v>
      </c>
      <c r="Q175" s="13">
        <f ca="1">SUMIF(SIGAF!$B$2:$B$500,$A175,SIGAF!$N$2:$N$364)</f>
        <v>716054.15</v>
      </c>
      <c r="R175" s="68">
        <f t="shared" ca="1" si="32"/>
        <v>4.739883166743894E-2</v>
      </c>
    </row>
    <row r="176" spans="1:18" x14ac:dyDescent="0.25">
      <c r="A176" s="11" t="s">
        <v>394</v>
      </c>
      <c r="B176" s="11" t="s">
        <v>542</v>
      </c>
      <c r="C176" s="13">
        <f>SUMIF(SIGAF!$B$2:$B$500,$A176,SIGAF!$F$2:$F$500)</f>
        <v>111920325</v>
      </c>
      <c r="D176" s="13">
        <f ca="1">SUMIF(SIGAF!$B$2:$B$500,$A176,SIGAF!$G$2:$G$364)</f>
        <v>111920325</v>
      </c>
      <c r="E176" s="13">
        <f>SUMIF(SIGAF!$B$2:$B$500,$A176,SIGAF!$H$2:$H$500)</f>
        <v>0</v>
      </c>
      <c r="F176" s="68">
        <f t="shared" si="28"/>
        <v>0</v>
      </c>
      <c r="G176" s="13">
        <f>SUMIF(SIGAF!$B$2:$B$500,$A176,SIGAF!$I$2:$I$500)</f>
        <v>0</v>
      </c>
      <c r="H176" s="68">
        <f t="shared" si="29"/>
        <v>0</v>
      </c>
      <c r="I176" s="13">
        <f>SUMIF(SIGAF!$B$2:$B$500,$A176,SIGAF!$J$2:$J$500)</f>
        <v>0</v>
      </c>
      <c r="J176" s="68">
        <f t="shared" si="29"/>
        <v>0</v>
      </c>
      <c r="K176" s="13">
        <f>SUMIF(SIGAF!$B$2:$B$500,$A176,SIGAF!$K$2:$K$500)</f>
        <v>108308076</v>
      </c>
      <c r="L176" s="175">
        <f t="shared" si="33"/>
        <v>0.96772481673905075</v>
      </c>
      <c r="M176" s="13">
        <f>SUMIF(SIGAF!$B$2:$B$500,$A176,SIGAF!$L$2:$L$500)</f>
        <v>108308076</v>
      </c>
      <c r="N176" s="68">
        <f t="shared" si="30"/>
        <v>0.96772481673905075</v>
      </c>
      <c r="O176" s="90">
        <f ca="1">SUMIF(SIGAF!$B$2:$B$500,$A176,SIGAF!$M$2:$M$364)</f>
        <v>3612249</v>
      </c>
      <c r="P176" s="68">
        <f t="shared" ca="1" si="31"/>
        <v>3.2275183260949254E-2</v>
      </c>
      <c r="Q176" s="13">
        <f ca="1">SUMIF(SIGAF!$B$2:$B$500,$A176,SIGAF!$N$2:$N$364)</f>
        <v>3612249</v>
      </c>
      <c r="R176" s="68">
        <f t="shared" ca="1" si="32"/>
        <v>3.2275183260949254E-2</v>
      </c>
    </row>
    <row r="177" spans="1:18" x14ac:dyDescent="0.25">
      <c r="A177" s="11" t="s">
        <v>413</v>
      </c>
      <c r="B177" s="11" t="s">
        <v>542</v>
      </c>
      <c r="C177" s="13">
        <f>SUMIF(SIGAF!$B$2:$B$500,$A177,SIGAF!$F$2:$F$500)</f>
        <v>24451845</v>
      </c>
      <c r="D177" s="13">
        <f ca="1">SUMIF(SIGAF!$B$2:$B$500,$A177,SIGAF!$G$2:$G$364)</f>
        <v>24451845</v>
      </c>
      <c r="E177" s="13">
        <f>SUMIF(SIGAF!$B$2:$B$500,$A177,SIGAF!$H$2:$H$500)</f>
        <v>0</v>
      </c>
      <c r="F177" s="68">
        <f t="shared" si="28"/>
        <v>0</v>
      </c>
      <c r="G177" s="13">
        <f>SUMIF(SIGAF!$B$2:$B$500,$A177,SIGAF!$I$2:$I$500)</f>
        <v>0</v>
      </c>
      <c r="H177" s="68">
        <f t="shared" si="29"/>
        <v>0</v>
      </c>
      <c r="I177" s="13">
        <f>SUMIF(SIGAF!$B$2:$B$500,$A177,SIGAF!$J$2:$J$500)</f>
        <v>0</v>
      </c>
      <c r="J177" s="68">
        <f t="shared" si="29"/>
        <v>0</v>
      </c>
      <c r="K177" s="13">
        <f>SUMIF(SIGAF!$B$2:$B$500,$A177,SIGAF!$K$2:$K$500)</f>
        <v>23054120.949999999</v>
      </c>
      <c r="L177" s="175">
        <f t="shared" si="33"/>
        <v>0.94283768566339266</v>
      </c>
      <c r="M177" s="13">
        <f>SUMIF(SIGAF!$B$2:$B$500,$A177,SIGAF!$L$2:$L$500)</f>
        <v>23054120.949999999</v>
      </c>
      <c r="N177" s="68">
        <f t="shared" si="30"/>
        <v>0.94283768566339266</v>
      </c>
      <c r="O177" s="90">
        <f ca="1">SUMIF(SIGAF!$B$2:$B$500,$A177,SIGAF!$M$2:$M$364)</f>
        <v>1397724.05</v>
      </c>
      <c r="P177" s="68">
        <f t="shared" ca="1" si="31"/>
        <v>5.7162314336607324E-2</v>
      </c>
      <c r="Q177" s="13">
        <f ca="1">SUMIF(SIGAF!$B$2:$B$500,$A177,SIGAF!$N$2:$N$364)</f>
        <v>1397724.05</v>
      </c>
      <c r="R177" s="68">
        <f t="shared" ca="1" si="32"/>
        <v>5.7162314336607324E-2</v>
      </c>
    </row>
    <row r="178" spans="1:18" x14ac:dyDescent="0.25">
      <c r="A178" s="11" t="s">
        <v>395</v>
      </c>
      <c r="B178" s="11" t="s">
        <v>543</v>
      </c>
      <c r="C178" s="13">
        <f>SUMIF(SIGAF!$B$2:$B$500,$A178,SIGAF!$F$2:$F$500)</f>
        <v>450000000</v>
      </c>
      <c r="D178" s="13">
        <f ca="1">SUMIF(SIGAF!$B$2:$B$500,$A178,SIGAF!$G$2:$G$364)</f>
        <v>450000000</v>
      </c>
      <c r="E178" s="13">
        <f>SUMIF(SIGAF!$B$2:$B$500,$A178,SIGAF!$H$2:$H$500)</f>
        <v>0</v>
      </c>
      <c r="F178" s="68">
        <f t="shared" si="28"/>
        <v>0</v>
      </c>
      <c r="G178" s="13">
        <f>SUMIF(SIGAF!$B$2:$B$500,$A178,SIGAF!$I$2:$I$500)</f>
        <v>40000000</v>
      </c>
      <c r="H178" s="68">
        <f t="shared" si="29"/>
        <v>8.8888888888888892E-2</v>
      </c>
      <c r="I178" s="13">
        <f>SUMIF(SIGAF!$B$2:$B$500,$A178,SIGAF!$J$2:$J$500)</f>
        <v>0</v>
      </c>
      <c r="J178" s="68">
        <f t="shared" si="29"/>
        <v>0</v>
      </c>
      <c r="K178" s="13">
        <f>SUMIF(SIGAF!$B$2:$B$500,$A178,SIGAF!$K$2:$K$500)</f>
        <v>333000000</v>
      </c>
      <c r="L178" s="175">
        <f t="shared" si="33"/>
        <v>0.74</v>
      </c>
      <c r="M178" s="13">
        <f>SUMIF(SIGAF!$B$2:$B$500,$A178,SIGAF!$L$2:$L$500)</f>
        <v>333000000</v>
      </c>
      <c r="N178" s="68">
        <f t="shared" si="30"/>
        <v>0.74</v>
      </c>
      <c r="O178" s="90">
        <f ca="1">SUMIF(SIGAF!$B$2:$B$500,$A178,SIGAF!$M$2:$M$364)</f>
        <v>77000000</v>
      </c>
      <c r="P178" s="68">
        <f t="shared" ca="1" si="31"/>
        <v>0.1711111111111111</v>
      </c>
      <c r="Q178" s="13">
        <f ca="1">SUMIF(SIGAF!$B$2:$B$500,$A178,SIGAF!$N$2:$N$364)</f>
        <v>77000000</v>
      </c>
      <c r="R178" s="68">
        <f t="shared" ca="1" si="32"/>
        <v>0.1711111111111111</v>
      </c>
    </row>
    <row r="179" spans="1:18" x14ac:dyDescent="0.25">
      <c r="A179" s="11" t="s">
        <v>397</v>
      </c>
      <c r="B179" s="11" t="s">
        <v>544</v>
      </c>
      <c r="C179" s="13">
        <f>SUMIF(SIGAF!$B$2:$B$500,$A179,SIGAF!$F$2:$F$500)</f>
        <v>450000000</v>
      </c>
      <c r="D179" s="13">
        <f ca="1">SUMIF(SIGAF!$B$2:$B$500,$A179,SIGAF!$G$2:$G$364)</f>
        <v>450000000</v>
      </c>
      <c r="E179" s="13">
        <f>SUMIF(SIGAF!$B$2:$B$500,$A179,SIGAF!$H$2:$H$500)</f>
        <v>0</v>
      </c>
      <c r="F179" s="68">
        <f t="shared" si="28"/>
        <v>0</v>
      </c>
      <c r="G179" s="13">
        <f>SUMIF(SIGAF!$B$2:$B$500,$A179,SIGAF!$I$2:$I$500)</f>
        <v>40000000</v>
      </c>
      <c r="H179" s="68">
        <f t="shared" si="29"/>
        <v>8.8888888888888892E-2</v>
      </c>
      <c r="I179" s="13">
        <f>SUMIF(SIGAF!$B$2:$B$500,$A179,SIGAF!$J$2:$J$500)</f>
        <v>0</v>
      </c>
      <c r="J179" s="68">
        <f t="shared" si="29"/>
        <v>0</v>
      </c>
      <c r="K179" s="13">
        <f>SUMIF(SIGAF!$B$2:$B$500,$A179,SIGAF!$K$2:$K$500)</f>
        <v>333000000</v>
      </c>
      <c r="L179" s="175">
        <f t="shared" si="33"/>
        <v>0.74</v>
      </c>
      <c r="M179" s="13">
        <f>SUMIF(SIGAF!$B$2:$B$500,$A179,SIGAF!$L$2:$L$500)</f>
        <v>333000000</v>
      </c>
      <c r="N179" s="68">
        <f t="shared" si="30"/>
        <v>0.74</v>
      </c>
      <c r="O179" s="90">
        <f ca="1">SUMIF(SIGAF!$B$2:$B$500,$A179,SIGAF!$M$2:$M$364)</f>
        <v>77000000</v>
      </c>
      <c r="P179" s="68">
        <f t="shared" ca="1" si="31"/>
        <v>0.1711111111111111</v>
      </c>
      <c r="Q179" s="13">
        <f ca="1">SUMIF(SIGAF!$B$2:$B$500,$A179,SIGAF!$N$2:$N$364)</f>
        <v>77000000</v>
      </c>
      <c r="R179" s="68">
        <f t="shared" ca="1" si="32"/>
        <v>0.1711111111111111</v>
      </c>
    </row>
    <row r="180" spans="1:18" x14ac:dyDescent="0.25">
      <c r="A180" s="11" t="s">
        <v>278</v>
      </c>
      <c r="B180" s="11" t="s">
        <v>279</v>
      </c>
      <c r="C180" s="13">
        <f>SUMIF(SIGAF!$B$2:$B$500,$A180,SIGAF!$F$2:$F$500)</f>
        <v>1322409852</v>
      </c>
      <c r="D180" s="13">
        <f ca="1">SUMIF(SIGAF!$B$2:$B$500,$A180,SIGAF!$G$2:$G$364)</f>
        <v>1322409851.26</v>
      </c>
      <c r="E180" s="13">
        <f>SUMIF(SIGAF!$B$2:$B$500,$A180,SIGAF!$H$2:$H$500)</f>
        <v>0</v>
      </c>
      <c r="F180" s="68">
        <f t="shared" si="28"/>
        <v>0</v>
      </c>
      <c r="G180" s="13">
        <f>SUMIF(SIGAF!$B$2:$B$500,$A180,SIGAF!$I$2:$I$500)</f>
        <v>86877270.700000003</v>
      </c>
      <c r="H180" s="68">
        <f t="shared" si="29"/>
        <v>6.5696176241131027E-2</v>
      </c>
      <c r="I180" s="13">
        <f>SUMIF(SIGAF!$B$2:$B$500,$A180,SIGAF!$J$2:$J$500)</f>
        <v>0</v>
      </c>
      <c r="J180" s="68">
        <f t="shared" si="29"/>
        <v>0</v>
      </c>
      <c r="K180" s="13">
        <f>SUMIF(SIGAF!$B$2:$B$500,$A180,SIGAF!$K$2:$K$500)</f>
        <v>1099796096.24</v>
      </c>
      <c r="L180" s="175">
        <f t="shared" si="33"/>
        <v>0.83166054349691887</v>
      </c>
      <c r="M180" s="13">
        <f>SUMIF(SIGAF!$B$2:$B$500,$A180,SIGAF!$L$2:$L$500)</f>
        <v>1043339064.7399999</v>
      </c>
      <c r="N180" s="68">
        <f t="shared" si="30"/>
        <v>0.78896800652389565</v>
      </c>
      <c r="O180" s="90">
        <f ca="1">SUMIF(SIGAF!$B$2:$B$500,$A180,SIGAF!$M$2:$M$364)</f>
        <v>135736485.06</v>
      </c>
      <c r="P180" s="68">
        <f t="shared" ca="1" si="31"/>
        <v>0.10264328026195013</v>
      </c>
      <c r="Q180" s="13">
        <f ca="1">SUMIF(SIGAF!$B$2:$B$500,$A180,SIGAF!$N$2:$N$364)</f>
        <v>135736484.31999999</v>
      </c>
      <c r="R180" s="68">
        <f t="shared" ca="1" si="32"/>
        <v>0.10264327970236567</v>
      </c>
    </row>
    <row r="181" spans="1:18" x14ac:dyDescent="0.25">
      <c r="A181" s="11" t="s">
        <v>280</v>
      </c>
      <c r="B181" s="11" t="s">
        <v>281</v>
      </c>
      <c r="C181" s="13">
        <f>SUMIF(SIGAF!$B$2:$B$500,$A181,SIGAF!$F$2:$F$500)</f>
        <v>904577352</v>
      </c>
      <c r="D181" s="13">
        <f ca="1">SUMIF(SIGAF!$B$2:$B$500,$A181,SIGAF!$G$2:$G$364)</f>
        <v>904577351.25999999</v>
      </c>
      <c r="E181" s="13">
        <f>SUMIF(SIGAF!$B$2:$B$500,$A181,SIGAF!$H$2:$H$500)</f>
        <v>0</v>
      </c>
      <c r="F181" s="68">
        <f t="shared" si="28"/>
        <v>0</v>
      </c>
      <c r="G181" s="13">
        <f>SUMIF(SIGAF!$B$2:$B$500,$A181,SIGAF!$I$2:$I$500)</f>
        <v>86877270.700000003</v>
      </c>
      <c r="H181" s="68">
        <f t="shared" si="29"/>
        <v>9.6041837116434908E-2</v>
      </c>
      <c r="I181" s="13">
        <f>SUMIF(SIGAF!$B$2:$B$500,$A181,SIGAF!$J$2:$J$500)</f>
        <v>0</v>
      </c>
      <c r="J181" s="68">
        <f t="shared" si="29"/>
        <v>0</v>
      </c>
      <c r="K181" s="13">
        <f>SUMIF(SIGAF!$B$2:$B$500,$A181,SIGAF!$K$2:$K$500)</f>
        <v>761103399.85000002</v>
      </c>
      <c r="L181" s="175">
        <f t="shared" si="33"/>
        <v>0.84139117364282634</v>
      </c>
      <c r="M181" s="13">
        <f>SUMIF(SIGAF!$B$2:$B$500,$A181,SIGAF!$L$2:$L$500)</f>
        <v>761103399.85000002</v>
      </c>
      <c r="N181" s="68">
        <f t="shared" si="30"/>
        <v>0.84139117364282634</v>
      </c>
      <c r="O181" s="90">
        <f ca="1">SUMIF(SIGAF!$B$2:$B$500,$A181,SIGAF!$M$2:$M$364)</f>
        <v>56596681.450000003</v>
      </c>
      <c r="P181" s="68">
        <f t="shared" ca="1" si="31"/>
        <v>6.2566989240738807E-2</v>
      </c>
      <c r="Q181" s="13">
        <f ca="1">SUMIF(SIGAF!$B$2:$B$500,$A181,SIGAF!$N$2:$N$364)</f>
        <v>56596680.710000001</v>
      </c>
      <c r="R181" s="68">
        <f t="shared" ca="1" si="32"/>
        <v>6.2566988422677203E-2</v>
      </c>
    </row>
    <row r="182" spans="1:18" x14ac:dyDescent="0.25">
      <c r="A182" s="11" t="s">
        <v>282</v>
      </c>
      <c r="B182" s="11" t="s">
        <v>283</v>
      </c>
      <c r="C182" s="13">
        <f>SUMIF(SIGAF!$B$2:$B$500,$A182,SIGAF!$F$2:$F$500)</f>
        <v>417832500</v>
      </c>
      <c r="D182" s="13">
        <f ca="1">SUMIF(SIGAF!$B$2:$B$500,$A182,SIGAF!$G$2:$G$364)</f>
        <v>417832500</v>
      </c>
      <c r="E182" s="13">
        <f>SUMIF(SIGAF!$B$2:$B$500,$A182,SIGAF!$H$2:$H$500)</f>
        <v>0</v>
      </c>
      <c r="F182" s="68">
        <f t="shared" si="28"/>
        <v>0</v>
      </c>
      <c r="G182" s="13">
        <f>SUMIF(SIGAF!$B$2:$B$500,$A182,SIGAF!$I$2:$I$500)</f>
        <v>0</v>
      </c>
      <c r="H182" s="68">
        <f t="shared" si="29"/>
        <v>0</v>
      </c>
      <c r="I182" s="13">
        <f>SUMIF(SIGAF!$B$2:$B$500,$A182,SIGAF!$J$2:$J$500)</f>
        <v>0</v>
      </c>
      <c r="J182" s="68">
        <f t="shared" si="29"/>
        <v>0</v>
      </c>
      <c r="K182" s="13">
        <f>SUMIF(SIGAF!$B$2:$B$500,$A182,SIGAF!$K$2:$K$500)</f>
        <v>338692696.38999999</v>
      </c>
      <c r="L182" s="175">
        <f t="shared" si="33"/>
        <v>0.81059442812610316</v>
      </c>
      <c r="M182" s="13">
        <f>SUMIF(SIGAF!$B$2:$B$500,$A182,SIGAF!$L$2:$L$500)</f>
        <v>282235664.88999999</v>
      </c>
      <c r="N182" s="68">
        <f t="shared" si="30"/>
        <v>0.67547561496532693</v>
      </c>
      <c r="O182" s="90">
        <f ca="1">SUMIF(SIGAF!$B$2:$B$500,$A182,SIGAF!$M$2:$M$364)</f>
        <v>79139803.609999999</v>
      </c>
      <c r="P182" s="68">
        <f t="shared" ca="1" si="31"/>
        <v>0.18940557187389684</v>
      </c>
      <c r="Q182" s="13">
        <f ca="1">SUMIF(SIGAF!$B$2:$B$500,$A182,SIGAF!$N$2:$N$364)</f>
        <v>79139803.609999999</v>
      </c>
      <c r="R182" s="68">
        <f t="shared" ca="1" si="32"/>
        <v>0.18940557187389684</v>
      </c>
    </row>
    <row r="183" spans="1:18" x14ac:dyDescent="0.25">
      <c r="A183" s="11" t="s">
        <v>284</v>
      </c>
      <c r="B183" s="11" t="s">
        <v>545</v>
      </c>
      <c r="C183" s="13">
        <f>SUMIF(SIGAF!$B$2:$B$500,$A183,SIGAF!$F$2:$F$500)</f>
        <v>271401000</v>
      </c>
      <c r="D183" s="13">
        <f ca="1">SUMIF(SIGAF!$B$2:$B$500,$A183,SIGAF!$G$2:$G$364)</f>
        <v>271400999.18000001</v>
      </c>
      <c r="E183" s="13">
        <f>SUMIF(SIGAF!$B$2:$B$500,$A183,SIGAF!$H$2:$H$500)</f>
        <v>0</v>
      </c>
      <c r="F183" s="68">
        <f t="shared" si="28"/>
        <v>0</v>
      </c>
      <c r="G183" s="13">
        <f>SUMIF(SIGAF!$B$2:$B$500,$A183,SIGAF!$I$2:$I$500)</f>
        <v>165801256.21000001</v>
      </c>
      <c r="H183" s="68">
        <f t="shared" si="29"/>
        <v>0.61090878887697542</v>
      </c>
      <c r="I183" s="13">
        <f>SUMIF(SIGAF!$B$2:$B$500,$A183,SIGAF!$J$2:$J$500)</f>
        <v>0</v>
      </c>
      <c r="J183" s="68">
        <f t="shared" si="29"/>
        <v>0</v>
      </c>
      <c r="K183" s="13">
        <f>SUMIF(SIGAF!$B$2:$B$500,$A183,SIGAF!$K$2:$K$500)</f>
        <v>95345247.180000007</v>
      </c>
      <c r="L183" s="175">
        <f t="shared" si="33"/>
        <v>0.35130764875589998</v>
      </c>
      <c r="M183" s="13">
        <f>SUMIF(SIGAF!$B$2:$B$500,$A183,SIGAF!$L$2:$L$500)</f>
        <v>94088023.050000012</v>
      </c>
      <c r="N183" s="68">
        <f t="shared" si="30"/>
        <v>0.34667529983308837</v>
      </c>
      <c r="O183" s="90">
        <f ca="1">SUMIF(SIGAF!$B$2:$B$500,$A183,SIGAF!$M$2:$M$364)</f>
        <v>10254496.609999999</v>
      </c>
      <c r="P183" s="68">
        <f t="shared" ca="1" si="31"/>
        <v>3.7783562367124657E-2</v>
      </c>
      <c r="Q183" s="13">
        <f ca="1">SUMIF(SIGAF!$B$2:$B$500,$A183,SIGAF!$N$2:$N$364)</f>
        <v>10254495.789999999</v>
      </c>
      <c r="R183" s="68">
        <f t="shared" ca="1" si="32"/>
        <v>3.7783559345765119E-2</v>
      </c>
    </row>
    <row r="184" spans="1:18" x14ac:dyDescent="0.25">
      <c r="A184" s="11" t="s">
        <v>286</v>
      </c>
      <c r="B184" s="11" t="s">
        <v>287</v>
      </c>
      <c r="C184" s="13">
        <f>SUMIF(SIGAF!$B$2:$B$500,$A184,SIGAF!$F$2:$F$500)</f>
        <v>212501000</v>
      </c>
      <c r="D184" s="13">
        <f ca="1">SUMIF(SIGAF!$B$2:$B$500,$A184,SIGAF!$G$2:$G$364)</f>
        <v>212500999.18000001</v>
      </c>
      <c r="E184" s="13">
        <f>SUMIF(SIGAF!$B$2:$B$500,$A184,SIGAF!$H$2:$H$500)</f>
        <v>0</v>
      </c>
      <c r="F184" s="68">
        <f t="shared" si="28"/>
        <v>0</v>
      </c>
      <c r="G184" s="13">
        <f>SUMIF(SIGAF!$B$2:$B$500,$A184,SIGAF!$I$2:$I$500)</f>
        <v>143553213.45000002</v>
      </c>
      <c r="H184" s="68">
        <f t="shared" si="29"/>
        <v>0.67554135486421252</v>
      </c>
      <c r="I184" s="13">
        <f>SUMIF(SIGAF!$B$2:$B$500,$A184,SIGAF!$J$2:$J$500)</f>
        <v>0</v>
      </c>
      <c r="J184" s="68">
        <f t="shared" si="29"/>
        <v>0</v>
      </c>
      <c r="K184" s="13">
        <f>SUMIF(SIGAF!$B$2:$B$500,$A184,SIGAF!$K$2:$K$500)</f>
        <v>60498153.200000003</v>
      </c>
      <c r="L184" s="175">
        <f t="shared" si="33"/>
        <v>0.28469585178422691</v>
      </c>
      <c r="M184" s="13">
        <f>SUMIF(SIGAF!$B$2:$B$500,$A184,SIGAF!$L$2:$L$500)</f>
        <v>59240929.07</v>
      </c>
      <c r="N184" s="68">
        <f t="shared" si="30"/>
        <v>0.27877953077867867</v>
      </c>
      <c r="O184" s="90">
        <f ca="1">SUMIF(SIGAF!$B$2:$B$500,$A184,SIGAF!$M$2:$M$364)</f>
        <v>8449633.3499999996</v>
      </c>
      <c r="P184" s="68">
        <f t="shared" ca="1" si="31"/>
        <v>3.9762793351560695E-2</v>
      </c>
      <c r="Q184" s="13">
        <f ca="1">SUMIF(SIGAF!$B$2:$B$500,$A184,SIGAF!$N$2:$N$364)</f>
        <v>8449632.5299999993</v>
      </c>
      <c r="R184" s="68">
        <f t="shared" ca="1" si="32"/>
        <v>3.9762789492755322E-2</v>
      </c>
    </row>
    <row r="185" spans="1:18" x14ac:dyDescent="0.25">
      <c r="A185" s="11" t="s">
        <v>288</v>
      </c>
      <c r="B185" s="11" t="s">
        <v>546</v>
      </c>
      <c r="C185" s="13">
        <f>SUMIF(SIGAF!$B$2:$B$500,$A185,SIGAF!$F$2:$F$500)</f>
        <v>58900000</v>
      </c>
      <c r="D185" s="13">
        <f ca="1">SUMIF(SIGAF!$B$2:$B$500,$A185,SIGAF!$G$2:$G$364)</f>
        <v>58900000</v>
      </c>
      <c r="E185" s="13">
        <f>SUMIF(SIGAF!$B$2:$B$500,$A185,SIGAF!$H$2:$H$500)</f>
        <v>0</v>
      </c>
      <c r="F185" s="68">
        <f t="shared" si="28"/>
        <v>0</v>
      </c>
      <c r="G185" s="13">
        <f>SUMIF(SIGAF!$B$2:$B$500,$A185,SIGAF!$I$2:$I$500)</f>
        <v>22248042.760000002</v>
      </c>
      <c r="H185" s="68">
        <f t="shared" si="29"/>
        <v>0.37772568353140917</v>
      </c>
      <c r="I185" s="13">
        <f>SUMIF(SIGAF!$B$2:$B$500,$A185,SIGAF!$J$2:$J$500)</f>
        <v>0</v>
      </c>
      <c r="J185" s="68">
        <f t="shared" si="29"/>
        <v>0</v>
      </c>
      <c r="K185" s="13">
        <f>SUMIF(SIGAF!$B$2:$B$500,$A185,SIGAF!$K$2:$K$500)</f>
        <v>34847093.979999997</v>
      </c>
      <c r="L185" s="175">
        <f t="shared" si="33"/>
        <v>0.59163147674023764</v>
      </c>
      <c r="M185" s="13">
        <f>SUMIF(SIGAF!$B$2:$B$500,$A185,SIGAF!$L$2:$L$500)</f>
        <v>34847093.979999997</v>
      </c>
      <c r="N185" s="68">
        <f t="shared" si="30"/>
        <v>0.59163147674023764</v>
      </c>
      <c r="O185" s="90">
        <f ca="1">SUMIF(SIGAF!$B$2:$B$500,$A185,SIGAF!$M$2:$M$364)</f>
        <v>1804863.26</v>
      </c>
      <c r="P185" s="68">
        <f t="shared" ca="1" si="31"/>
        <v>3.064283972835314E-2</v>
      </c>
      <c r="Q185" s="13">
        <f ca="1">SUMIF(SIGAF!$B$2:$B$500,$A185,SIGAF!$N$2:$N$364)</f>
        <v>1804863.26</v>
      </c>
      <c r="R185" s="68">
        <f t="shared" ca="1" si="32"/>
        <v>3.064283972835314E-2</v>
      </c>
    </row>
    <row r="186" spans="1:18" x14ac:dyDescent="0.25">
      <c r="A186" s="11" t="s">
        <v>290</v>
      </c>
      <c r="B186" s="11" t="s">
        <v>547</v>
      </c>
      <c r="C186" s="13">
        <f>SUMIF(SIGAF!$B$2:$B$500,$A186,SIGAF!$F$2:$F$500)</f>
        <v>323164118</v>
      </c>
      <c r="D186" s="13">
        <f ca="1">SUMIF(SIGAF!$B$2:$B$500,$A186,SIGAF!$G$2:$G$364)</f>
        <v>323164118</v>
      </c>
      <c r="E186" s="13">
        <f>SUMIF(SIGAF!$B$2:$B$500,$A186,SIGAF!$H$2:$H$500)</f>
        <v>0</v>
      </c>
      <c r="F186" s="68">
        <f t="shared" si="28"/>
        <v>0</v>
      </c>
      <c r="G186" s="13">
        <f>SUMIF(SIGAF!$B$2:$B$500,$A186,SIGAF!$I$2:$I$500)</f>
        <v>0</v>
      </c>
      <c r="H186" s="68">
        <f t="shared" si="29"/>
        <v>0</v>
      </c>
      <c r="I186" s="13">
        <f>SUMIF(SIGAF!$B$2:$B$500,$A186,SIGAF!$J$2:$J$500)</f>
        <v>0</v>
      </c>
      <c r="J186" s="68">
        <f t="shared" si="29"/>
        <v>0</v>
      </c>
      <c r="K186" s="13">
        <f>SUMIF(SIGAF!$B$2:$B$500,$A186,SIGAF!$K$2:$K$500)</f>
        <v>323080520.95999998</v>
      </c>
      <c r="L186" s="175">
        <f t="shared" si="33"/>
        <v>0.99974131707283165</v>
      </c>
      <c r="M186" s="13">
        <f>SUMIF(SIGAF!$B$2:$B$500,$A186,SIGAF!$L$2:$L$500)</f>
        <v>323080520.95999998</v>
      </c>
      <c r="N186" s="68">
        <f t="shared" si="30"/>
        <v>0.99974131707283165</v>
      </c>
      <c r="O186" s="90">
        <f ca="1">SUMIF(SIGAF!$B$2:$B$500,$A186,SIGAF!$M$2:$M$364)</f>
        <v>83597.039999999994</v>
      </c>
      <c r="P186" s="68">
        <f t="shared" ca="1" si="31"/>
        <v>2.5868292716829406E-4</v>
      </c>
      <c r="Q186" s="13">
        <f ca="1">SUMIF(SIGAF!$B$2:$B$500,$A186,SIGAF!$N$2:$N$364)</f>
        <v>83597.039999999994</v>
      </c>
      <c r="R186" s="68">
        <f t="shared" ca="1" si="32"/>
        <v>2.5868292716829406E-4</v>
      </c>
    </row>
    <row r="187" spans="1:18" x14ac:dyDescent="0.25">
      <c r="A187" s="11" t="s">
        <v>425</v>
      </c>
      <c r="B187" s="11" t="s">
        <v>548</v>
      </c>
      <c r="C187" s="13">
        <f>SUM(C188:C190)</f>
        <v>323164118</v>
      </c>
      <c r="D187" s="13">
        <f t="shared" ref="D187:G187" ca="1" si="43">SUM(D188:D190)</f>
        <v>323164118</v>
      </c>
      <c r="E187" s="13">
        <f t="shared" si="43"/>
        <v>0</v>
      </c>
      <c r="F187" s="68">
        <f t="shared" si="28"/>
        <v>0</v>
      </c>
      <c r="G187" s="13">
        <f t="shared" si="43"/>
        <v>0</v>
      </c>
      <c r="H187" s="68">
        <f t="shared" si="29"/>
        <v>0</v>
      </c>
      <c r="I187" s="13">
        <f t="shared" ref="I187" si="44">SUM(I188:I190)</f>
        <v>0</v>
      </c>
      <c r="J187" s="68">
        <f t="shared" si="29"/>
        <v>0</v>
      </c>
      <c r="K187" s="13">
        <f t="shared" ref="K187:Q187" si="45">SUM(K188:K190)</f>
        <v>323080520.96000004</v>
      </c>
      <c r="L187" s="175">
        <f t="shared" si="33"/>
        <v>0.99974131707283187</v>
      </c>
      <c r="M187" s="13">
        <f t="shared" si="45"/>
        <v>323080520.96000004</v>
      </c>
      <c r="N187" s="68">
        <f t="shared" si="30"/>
        <v>0.99974131707283187</v>
      </c>
      <c r="O187" s="13">
        <f t="shared" ca="1" si="45"/>
        <v>83597.039999999994</v>
      </c>
      <c r="P187" s="68">
        <f t="shared" ca="1" si="31"/>
        <v>2.5868292716829406E-4</v>
      </c>
      <c r="Q187" s="13">
        <f t="shared" ca="1" si="45"/>
        <v>83597.039999999994</v>
      </c>
      <c r="R187" s="68">
        <f t="shared" ca="1" si="32"/>
        <v>2.5868292716829406E-4</v>
      </c>
    </row>
    <row r="188" spans="1:18" x14ac:dyDescent="0.25">
      <c r="A188" s="11" t="s">
        <v>292</v>
      </c>
      <c r="B188" s="11" t="s">
        <v>549</v>
      </c>
      <c r="C188" s="13">
        <f>SUMIF(SIGAF!$B$2:$B$500,$A188,SIGAF!$F$2:$F$500)</f>
        <v>318404118</v>
      </c>
      <c r="D188" s="13">
        <f ca="1">SUMIF(SIGAF!$B$2:$B$500,$A188,SIGAF!$G$2:$G$364)</f>
        <v>318404118</v>
      </c>
      <c r="E188" s="13">
        <f>SUMIF(SIGAF!$B$2:$B$500,$A188,SIGAF!$H$2:$H$500)</f>
        <v>0</v>
      </c>
      <c r="F188" s="68">
        <f t="shared" si="28"/>
        <v>0</v>
      </c>
      <c r="G188" s="13">
        <f>SUMIF(SIGAF!$B$2:$B$500,$A188,SIGAF!$I$2:$I$500)</f>
        <v>0</v>
      </c>
      <c r="H188" s="68">
        <f t="shared" si="29"/>
        <v>0</v>
      </c>
      <c r="I188" s="13">
        <f>SUMIF(SIGAF!$B$2:$B$500,$A188,SIGAF!$J$2:$J$500)</f>
        <v>0</v>
      </c>
      <c r="J188" s="68">
        <f t="shared" si="29"/>
        <v>0</v>
      </c>
      <c r="K188" s="13">
        <f>SUMIF(SIGAF!$B$2:$B$500,$A188,SIGAF!$K$2:$K$500)</f>
        <v>318404118</v>
      </c>
      <c r="L188" s="175">
        <f t="shared" si="33"/>
        <v>1</v>
      </c>
      <c r="M188" s="13">
        <f>SUMIF(SIGAF!$B$2:$B$500,$A188,SIGAF!$L$2:$L$500)</f>
        <v>318404118</v>
      </c>
      <c r="N188" s="68">
        <f t="shared" si="30"/>
        <v>1</v>
      </c>
      <c r="O188" s="90">
        <f ca="1">SUMIF(SIGAF!$B$2:$B$500,$A188,SIGAF!$M$2:$M$364)</f>
        <v>0</v>
      </c>
      <c r="P188" s="68">
        <f t="shared" ca="1" si="31"/>
        <v>0</v>
      </c>
      <c r="Q188" s="13">
        <f ca="1">SUMIF(SIGAF!$B$2:$B$500,$A188,SIGAF!$N$2:$N$364)</f>
        <v>0</v>
      </c>
      <c r="R188" s="68">
        <f t="shared" ca="1" si="32"/>
        <v>0</v>
      </c>
    </row>
    <row r="189" spans="1:18" x14ac:dyDescent="0.25">
      <c r="A189" s="11" t="s">
        <v>591</v>
      </c>
      <c r="B189" s="11" t="s">
        <v>596</v>
      </c>
      <c r="C189" s="13">
        <f>SUMIF(SIGAF!$B$2:$B$500,$A189,SIGAF!$F$2:$F$500)</f>
        <v>1760000</v>
      </c>
      <c r="D189" s="13">
        <f ca="1">SUMIF(SIGAF!$B$2:$B$500,$A189,SIGAF!$G$2:$G$364)</f>
        <v>1760000</v>
      </c>
      <c r="E189" s="13">
        <f>SUMIF(SIGAF!$B$2:$B$500,$A189,SIGAF!$H$2:$H$500)</f>
        <v>0</v>
      </c>
      <c r="F189" s="68">
        <f t="shared" ref="F189" si="46">+IFERROR(+E189/$C189,0)</f>
        <v>0</v>
      </c>
      <c r="G189" s="13">
        <f>SUMIF(SIGAF!$B$2:$B$500,$A189,SIGAF!$I$2:$I$500)</f>
        <v>0</v>
      </c>
      <c r="H189" s="68">
        <f t="shared" ref="H189" si="47">+IFERROR(+G189/$C189,0)</f>
        <v>0</v>
      </c>
      <c r="I189" s="13">
        <f>SUMIF(SIGAF!$B$2:$B$500,$A189,SIGAF!$J$2:$J$500)</f>
        <v>0</v>
      </c>
      <c r="J189" s="68">
        <f t="shared" ref="J189" si="48">+IFERROR(+I189/$C189,0)</f>
        <v>0</v>
      </c>
      <c r="K189" s="13">
        <f>SUMIF(SIGAF!$B$2:$B$500,$A189,SIGAF!$K$2:$K$500)</f>
        <v>1678336.41</v>
      </c>
      <c r="L189" s="175">
        <f t="shared" ref="L189" si="49">+IFERROR(+K189/$C189,0)</f>
        <v>0.95360023295454543</v>
      </c>
      <c r="M189" s="13">
        <f>SUMIF(SIGAF!$B$2:$B$500,$A189,SIGAF!$L$2:$L$500)</f>
        <v>1678336.41</v>
      </c>
      <c r="N189" s="68">
        <f t="shared" ref="N189" si="50">+IFERROR(+M189/$C189,0)</f>
        <v>0.95360023295454543</v>
      </c>
      <c r="O189" s="90">
        <f ca="1">SUMIF(SIGAF!$B$2:$B$500,$A189,SIGAF!$M$2:$M$364)</f>
        <v>81663.59</v>
      </c>
      <c r="P189" s="68">
        <f t="shared" ref="P189" ca="1" si="51">+IFERROR(+O189/$C189,0)</f>
        <v>4.6399767045454544E-2</v>
      </c>
      <c r="Q189" s="13">
        <f ca="1">SUMIF(SIGAF!$B$2:$B$500,$A189,SIGAF!$N$2:$N$364)</f>
        <v>81663.59</v>
      </c>
      <c r="R189" s="68">
        <f t="shared" ref="R189" ca="1" si="52">+IFERROR(+Q189/$C189,0)</f>
        <v>4.6399767045454544E-2</v>
      </c>
    </row>
    <row r="190" spans="1:18" x14ac:dyDescent="0.25">
      <c r="A190" s="11" t="s">
        <v>294</v>
      </c>
      <c r="B190" s="11" t="s">
        <v>550</v>
      </c>
      <c r="C190" s="13">
        <f>SUMIF(SIGAF!$B$2:$B$500,$A190,SIGAF!$F$2:$F$500)</f>
        <v>3000000</v>
      </c>
      <c r="D190" s="13">
        <f ca="1">SUMIF(SIGAF!$B$2:$B$500,$A190,SIGAF!$G$2:$G$364)</f>
        <v>3000000</v>
      </c>
      <c r="E190" s="13">
        <f>SUMIF(SIGAF!$B$2:$B$500,$A190,SIGAF!$H$2:$H$500)</f>
        <v>0</v>
      </c>
      <c r="F190" s="68">
        <f t="shared" si="28"/>
        <v>0</v>
      </c>
      <c r="G190" s="13">
        <f>SUMIF(SIGAF!$B$2:$B$500,$A190,SIGAF!$I$2:$I$500)</f>
        <v>0</v>
      </c>
      <c r="H190" s="68">
        <f t="shared" si="29"/>
        <v>0</v>
      </c>
      <c r="I190" s="13">
        <f>SUMIF(SIGAF!$B$2:$B$500,$A190,SIGAF!$J$2:$J$500)</f>
        <v>0</v>
      </c>
      <c r="J190" s="68">
        <f t="shared" si="29"/>
        <v>0</v>
      </c>
      <c r="K190" s="13">
        <f>SUMIF(SIGAF!$B$2:$B$500,$A190,SIGAF!$K$2:$K$500)</f>
        <v>2998066.55</v>
      </c>
      <c r="L190" s="175">
        <f t="shared" si="33"/>
        <v>0.99935551666666655</v>
      </c>
      <c r="M190" s="13">
        <f>SUMIF(SIGAF!$B$2:$B$500,$A190,SIGAF!$L$2:$L$500)</f>
        <v>2998066.55</v>
      </c>
      <c r="N190" s="68">
        <f t="shared" si="30"/>
        <v>0.99935551666666655</v>
      </c>
      <c r="O190" s="90">
        <f ca="1">SUMIF(SIGAF!$B$2:$B$500,$A190,SIGAF!$M$2:$M$364)</f>
        <v>1933.45</v>
      </c>
      <c r="P190" s="68">
        <f t="shared" ca="1" si="31"/>
        <v>6.4448333333333332E-4</v>
      </c>
      <c r="Q190" s="13">
        <f ca="1">SUMIF(SIGAF!$B$2:$B$500,$A190,SIGAF!$N$2:$N$364)</f>
        <v>1933.45</v>
      </c>
      <c r="R190" s="68">
        <f t="shared" ca="1" si="32"/>
        <v>6.4448333333333332E-4</v>
      </c>
    </row>
    <row r="191" spans="1:18" s="23" customFormat="1" x14ac:dyDescent="0.25">
      <c r="A191" s="21" t="s">
        <v>399</v>
      </c>
      <c r="B191" s="21" t="s">
        <v>551</v>
      </c>
      <c r="C191" s="35">
        <f>+C192</f>
        <v>9226263836</v>
      </c>
      <c r="D191" s="35">
        <f t="shared" ref="D191:I191" ca="1" si="53">+D192</f>
        <v>9226263835</v>
      </c>
      <c r="E191" s="35">
        <f t="shared" si="53"/>
        <v>0</v>
      </c>
      <c r="F191" s="67">
        <f t="shared" si="28"/>
        <v>0</v>
      </c>
      <c r="G191" s="35">
        <f t="shared" si="53"/>
        <v>0</v>
      </c>
      <c r="H191" s="67">
        <f t="shared" si="29"/>
        <v>0</v>
      </c>
      <c r="I191" s="35">
        <f t="shared" si="53"/>
        <v>0</v>
      </c>
      <c r="J191" s="67">
        <f t="shared" si="29"/>
        <v>0</v>
      </c>
      <c r="K191" s="35">
        <f t="shared" ref="K191:Q191" si="54">+K192</f>
        <v>9226263835</v>
      </c>
      <c r="L191" s="174">
        <f t="shared" si="33"/>
        <v>0.99999999989161381</v>
      </c>
      <c r="M191" s="35">
        <f t="shared" si="54"/>
        <v>8747052594</v>
      </c>
      <c r="N191" s="67">
        <f t="shared" si="30"/>
        <v>0.94806009772556432</v>
      </c>
      <c r="O191" s="35">
        <f t="shared" ca="1" si="54"/>
        <v>1</v>
      </c>
      <c r="P191" s="67">
        <f t="shared" ca="1" si="31"/>
        <v>1.0838623496740853E-10</v>
      </c>
      <c r="Q191" s="35">
        <f t="shared" ca="1" si="54"/>
        <v>0</v>
      </c>
      <c r="R191" s="67">
        <f t="shared" ca="1" si="32"/>
        <v>0</v>
      </c>
    </row>
    <row r="192" spans="1:18" x14ac:dyDescent="0.25">
      <c r="A192" s="11" t="s">
        <v>401</v>
      </c>
      <c r="B192" s="11" t="s">
        <v>552</v>
      </c>
      <c r="C192" s="13">
        <f>SUMIF(SIGAF!$B$2:$B$500,$A192,SIGAF!$F$2:$F$500)</f>
        <v>9226263836</v>
      </c>
      <c r="D192" s="13">
        <f ca="1">SUMIF(SIGAF!$B$2:$B$500,$A192,SIGAF!$G$2:$G$364)</f>
        <v>9226263835</v>
      </c>
      <c r="E192" s="13">
        <f>SUMIF(SIGAF!$B$2:$B$500,$A192,SIGAF!$H$2:$H$500)</f>
        <v>0</v>
      </c>
      <c r="F192" s="68">
        <f t="shared" si="28"/>
        <v>0</v>
      </c>
      <c r="G192" s="13">
        <f>SUMIF(SIGAF!$B$2:$B$500,$A192,SIGAF!$I$2:$I$500)</f>
        <v>0</v>
      </c>
      <c r="H192" s="68">
        <f t="shared" si="29"/>
        <v>0</v>
      </c>
      <c r="I192" s="13">
        <f>SUMIF(SIGAF!$B$2:$B$500,$A192,SIGAF!$J$2:$J$500)</f>
        <v>0</v>
      </c>
      <c r="J192" s="68">
        <f t="shared" si="29"/>
        <v>0</v>
      </c>
      <c r="K192" s="13">
        <f>SUMIF(SIGAF!$B$2:$B$500,$A192,SIGAF!$K$2:$K$500)</f>
        <v>9226263835</v>
      </c>
      <c r="L192" s="175">
        <f t="shared" si="33"/>
        <v>0.99999999989161381</v>
      </c>
      <c r="M192" s="13">
        <f>SUMIF(SIGAF!$B$2:$B$500,$A192,SIGAF!$L$2:$L$500)</f>
        <v>8747052594</v>
      </c>
      <c r="N192" s="68">
        <f t="shared" si="30"/>
        <v>0.94806009772556432</v>
      </c>
      <c r="O192" s="90">
        <f ca="1">SUMIF(SIGAF!$B$2:$B$500,$A192,SIGAF!$M$2:$M$364)</f>
        <v>1</v>
      </c>
      <c r="P192" s="68">
        <f t="shared" ca="1" si="31"/>
        <v>1.0838623496740853E-10</v>
      </c>
      <c r="Q192" s="13">
        <f ca="1">SUMIF(SIGAF!$B$2:$B$500,$A192,SIGAF!$N$2:$N$364)</f>
        <v>0</v>
      </c>
      <c r="R192" s="68">
        <f t="shared" ca="1" si="32"/>
        <v>0</v>
      </c>
    </row>
    <row r="193" spans="1:18" x14ac:dyDescent="0.25">
      <c r="A193" s="11" t="s">
        <v>426</v>
      </c>
      <c r="B193" s="11" t="s">
        <v>553</v>
      </c>
      <c r="C193" s="13">
        <f>SUM(C194:C195)</f>
        <v>9226263836</v>
      </c>
      <c r="D193" s="13">
        <f ca="1">SUM(D194:D195)</f>
        <v>9226263835</v>
      </c>
      <c r="E193" s="13">
        <f>SUM(E194:E195)</f>
        <v>0</v>
      </c>
      <c r="F193" s="68">
        <f t="shared" si="28"/>
        <v>0</v>
      </c>
      <c r="G193" s="13">
        <f>SUM(G194:G195)</f>
        <v>0</v>
      </c>
      <c r="H193" s="68">
        <f t="shared" si="29"/>
        <v>0</v>
      </c>
      <c r="I193" s="13">
        <f>SUM(I194:I195)</f>
        <v>0</v>
      </c>
      <c r="J193" s="68">
        <f t="shared" si="29"/>
        <v>0</v>
      </c>
      <c r="K193" s="13">
        <f>SUM(K194:K195)</f>
        <v>9226263835</v>
      </c>
      <c r="L193" s="175">
        <f t="shared" si="33"/>
        <v>0.99999999989161381</v>
      </c>
      <c r="M193" s="13">
        <f>SUM(M194:M195)</f>
        <v>8747052594</v>
      </c>
      <c r="N193" s="68">
        <f t="shared" si="30"/>
        <v>0.94806009772556432</v>
      </c>
      <c r="O193" s="13">
        <f ca="1">SUM(O194:O195)</f>
        <v>1</v>
      </c>
      <c r="P193" s="68">
        <f t="shared" ca="1" si="31"/>
        <v>1.0838623496740853E-10</v>
      </c>
      <c r="Q193" s="13">
        <f ca="1">SUM(Q194:Q195)</f>
        <v>0</v>
      </c>
      <c r="R193" s="68">
        <f t="shared" ca="1" si="32"/>
        <v>0</v>
      </c>
    </row>
    <row r="194" spans="1:18" x14ac:dyDescent="0.25">
      <c r="A194" s="11" t="s">
        <v>403</v>
      </c>
      <c r="B194" s="11" t="s">
        <v>554</v>
      </c>
      <c r="C194" s="13">
        <f>SUMIF(SIGAF!$B$2:$B$500,$A194,SIGAF!$F$2:$F$500)</f>
        <v>9226263836</v>
      </c>
      <c r="D194" s="13">
        <f ca="1">SUMIF(SIGAF!$B$2:$B$500,$A194,SIGAF!$G$2:$G$364)</f>
        <v>9226263835</v>
      </c>
      <c r="E194" s="13">
        <f>SUMIF(SIGAF!$B$2:$B$500,$A194,SIGAF!$H$2:$H$500)</f>
        <v>0</v>
      </c>
      <c r="F194" s="68">
        <f t="shared" si="28"/>
        <v>0</v>
      </c>
      <c r="G194" s="13">
        <f>SUMIF(SIGAF!$B$2:$B$500,$A194,SIGAF!$I$2:$I$500)</f>
        <v>0</v>
      </c>
      <c r="H194" s="68">
        <f t="shared" si="29"/>
        <v>0</v>
      </c>
      <c r="I194" s="13">
        <f>SUMIF(SIGAF!$B$2:$B$500,$A194,SIGAF!$J$2:$J$500)</f>
        <v>0</v>
      </c>
      <c r="J194" s="68">
        <f t="shared" si="29"/>
        <v>0</v>
      </c>
      <c r="K194" s="13">
        <f>SUMIF(SIGAF!$B$2:$B$500,$A194,SIGAF!$K$2:$K$500)</f>
        <v>9226263835</v>
      </c>
      <c r="L194" s="175">
        <f t="shared" si="33"/>
        <v>0.99999999989161381</v>
      </c>
      <c r="M194" s="13">
        <f>SUMIF(SIGAF!$B$2:$B$500,$A194,SIGAF!$L$2:$L$500)</f>
        <v>8747052594</v>
      </c>
      <c r="N194" s="68">
        <f t="shared" si="30"/>
        <v>0.94806009772556432</v>
      </c>
      <c r="O194" s="90">
        <f ca="1">SUMIF(SIGAF!$B$2:$B$500,$A194,SIGAF!$M$2:$M$364)</f>
        <v>1</v>
      </c>
      <c r="P194" s="68">
        <f t="shared" ca="1" si="31"/>
        <v>1.0838623496740853E-10</v>
      </c>
      <c r="Q194" s="13">
        <f ca="1">SUMIF(SIGAF!$B$2:$B$500,$A194,SIGAF!$N$2:$N$364)</f>
        <v>0</v>
      </c>
      <c r="R194" s="68">
        <f t="shared" ca="1" si="32"/>
        <v>0</v>
      </c>
    </row>
    <row r="195" spans="1:18" x14ac:dyDescent="0.25">
      <c r="A195" s="11" t="s">
        <v>427</v>
      </c>
      <c r="B195" s="11" t="s">
        <v>537</v>
      </c>
      <c r="C195" s="13">
        <f>SUMIF(SIGAF!$B$2:$B$500,$A195,SIGAF!$F$2:$F$500)</f>
        <v>0</v>
      </c>
      <c r="D195" s="13">
        <f ca="1">SUMIF(SIGAF!$B$2:$B$500,$A195,SIGAF!$G$2:$G$364)</f>
        <v>0</v>
      </c>
      <c r="E195" s="13">
        <f>SUMIF(SIGAF!$B$2:$B$500,$A195,SIGAF!$H$2:$H$500)</f>
        <v>0</v>
      </c>
      <c r="F195" s="68">
        <f t="shared" si="28"/>
        <v>0</v>
      </c>
      <c r="G195" s="13">
        <f>SUMIF(SIGAF!$B$2:$B$500,$A195,SIGAF!$I$2:$I$500)</f>
        <v>0</v>
      </c>
      <c r="H195" s="68">
        <f t="shared" si="29"/>
        <v>0</v>
      </c>
      <c r="I195" s="13">
        <f>SUMIF(SIGAF!$B$2:$B$500,$A195,SIGAF!$J$2:$J$500)</f>
        <v>0</v>
      </c>
      <c r="J195" s="68">
        <f t="shared" si="29"/>
        <v>0</v>
      </c>
      <c r="K195" s="13">
        <f>SUMIF(SIGAF!$B$2:$B$500,$A195,SIGAF!$K$2:$K$500)</f>
        <v>0</v>
      </c>
      <c r="L195" s="175">
        <f t="shared" si="33"/>
        <v>0</v>
      </c>
      <c r="M195" s="13">
        <f>SUMIF(SIGAF!$B$2:$B$500,$A195,SIGAF!$L$2:$L$500)</f>
        <v>0</v>
      </c>
      <c r="N195" s="68">
        <f t="shared" si="30"/>
        <v>0</v>
      </c>
      <c r="O195" s="90">
        <f ca="1">SUMIF(SIGAF!$B$2:$B$500,$A195,SIGAF!$M$2:$M$364)</f>
        <v>0</v>
      </c>
      <c r="P195" s="68">
        <f t="shared" ca="1" si="31"/>
        <v>0</v>
      </c>
      <c r="Q195" s="13">
        <f ca="1">SUMIF(SIGAF!$B$2:$B$500,$A195,SIGAF!$N$2:$N$364)</f>
        <v>0</v>
      </c>
      <c r="R195" s="68">
        <f t="shared" ca="1" si="32"/>
        <v>0</v>
      </c>
    </row>
    <row r="196" spans="1:18" ht="18" customHeight="1" x14ac:dyDescent="0.25">
      <c r="A196" s="55">
        <v>214</v>
      </c>
      <c r="B196" s="55" t="s">
        <v>555</v>
      </c>
      <c r="C196" s="56">
        <f>+C11+C62+C115+C145+C160+C191</f>
        <v>117089523837</v>
      </c>
      <c r="D196" s="56">
        <f t="shared" ref="D196:Q196" ca="1" si="55">+D11+D62+D115+D145+D160+D191</f>
        <v>117086609403.25</v>
      </c>
      <c r="E196" s="56">
        <f t="shared" si="55"/>
        <v>4362972</v>
      </c>
      <c r="F196" s="57">
        <f t="shared" si="28"/>
        <v>3.7261847661740267E-5</v>
      </c>
      <c r="G196" s="56">
        <f t="shared" si="55"/>
        <v>2898400347.6699996</v>
      </c>
      <c r="H196" s="57">
        <f t="shared" si="29"/>
        <v>2.4753711969183977E-2</v>
      </c>
      <c r="I196" s="56">
        <f t="shared" ref="I196" si="56">+I11+I62+I115+I145+I160+I191</f>
        <v>0</v>
      </c>
      <c r="J196" s="57">
        <f t="shared" si="29"/>
        <v>0</v>
      </c>
      <c r="K196" s="56">
        <f t="shared" si="55"/>
        <v>109931381274.07999</v>
      </c>
      <c r="L196" s="170">
        <f t="shared" si="33"/>
        <v>0.93886607163178115</v>
      </c>
      <c r="M196" s="56">
        <f t="shared" si="55"/>
        <v>92686644098.789978</v>
      </c>
      <c r="N196" s="57">
        <f t="shared" si="30"/>
        <v>0.79158784715717856</v>
      </c>
      <c r="O196" s="92">
        <f t="shared" ca="1" si="55"/>
        <v>4255379243.25</v>
      </c>
      <c r="P196" s="57">
        <f t="shared" ca="1" si="31"/>
        <v>3.6342954551373027E-2</v>
      </c>
      <c r="Q196" s="56">
        <f t="shared" ca="1" si="55"/>
        <v>4252464809.5</v>
      </c>
      <c r="R196" s="57">
        <f t="shared" ca="1" si="32"/>
        <v>3.6318063906552768E-2</v>
      </c>
    </row>
    <row r="197" spans="1:18" x14ac:dyDescent="0.25">
      <c r="C197" s="34">
        <f>+C196-SIGAF!F2</f>
        <v>0</v>
      </c>
      <c r="D197" s="34">
        <f ca="1">+D196-SIGAF!G2</f>
        <v>0</v>
      </c>
      <c r="E197" s="34">
        <f>+E196-SIGAF!H2</f>
        <v>0</v>
      </c>
      <c r="F197" s="34"/>
      <c r="G197" s="34">
        <f>+G196-SIGAF!I2</f>
        <v>0</v>
      </c>
      <c r="I197" s="34">
        <f>+I196-SIGAF!J2</f>
        <v>0</v>
      </c>
      <c r="K197" s="34">
        <f>+K196-SIGAF!K2</f>
        <v>0</v>
      </c>
      <c r="M197" s="34">
        <f>+M196-SIGAF!L2</f>
        <v>0</v>
      </c>
      <c r="O197" s="34">
        <f ca="1">+O196-SIGAF!M2</f>
        <v>0</v>
      </c>
      <c r="Q197" s="34">
        <f ca="1">+Q196-SIGAF!N2</f>
        <v>0</v>
      </c>
    </row>
    <row r="199" spans="1:18" x14ac:dyDescent="0.25">
      <c r="K199" s="66" t="s">
        <v>597</v>
      </c>
      <c r="L199" s="64"/>
      <c r="O199" s="94" t="s">
        <v>598</v>
      </c>
      <c r="P199" s="65"/>
    </row>
    <row r="200" spans="1:18" hidden="1" x14ac:dyDescent="0.25"/>
  </sheetData>
  <mergeCells count="6">
    <mergeCell ref="A1:R1"/>
    <mergeCell ref="A2:R2"/>
    <mergeCell ref="A3:R3"/>
    <mergeCell ref="A5:R5"/>
    <mergeCell ref="A6:R6"/>
    <mergeCell ref="A4:R4"/>
  </mergeCells>
  <conditionalFormatting sqref="L10:L188 L190:L195">
    <cfRule type="cellIs" dxfId="5" priority="4" operator="lessThan">
      <formula>0.95</formula>
    </cfRule>
  </conditionalFormatting>
  <conditionalFormatting sqref="P10:P188 P190:P195">
    <cfRule type="cellIs" dxfId="4" priority="3" operator="greaterThan">
      <formula>0.05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scale="61" fitToHeight="0" orientation="landscape" verticalDpi="597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6"/>
  <sheetViews>
    <sheetView topLeftCell="A17" zoomScale="80" zoomScaleNormal="80" workbookViewId="0">
      <selection activeCell="K2" sqref="K2:K539"/>
    </sheetView>
  </sheetViews>
  <sheetFormatPr baseColWidth="10" defaultRowHeight="15" x14ac:dyDescent="0.25"/>
  <cols>
    <col min="5" max="5" width="18.7109375" bestFit="1" customWidth="1"/>
    <col min="6" max="7" width="18.5703125" bestFit="1" customWidth="1"/>
    <col min="8" max="8" width="13.5703125" bestFit="1" customWidth="1"/>
    <col min="9" max="9" width="17.42578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140625" bestFit="1" customWidth="1"/>
  </cols>
  <sheetData>
    <row r="1" spans="1:14" x14ac:dyDescent="0.25">
      <c r="A1" s="159" t="s">
        <v>572</v>
      </c>
      <c r="B1" s="159" t="s">
        <v>573</v>
      </c>
      <c r="C1" s="159" t="s">
        <v>99</v>
      </c>
      <c r="D1" s="159" t="s">
        <v>98</v>
      </c>
      <c r="E1" s="159" t="s">
        <v>574</v>
      </c>
      <c r="F1" s="159" t="s">
        <v>414</v>
      </c>
      <c r="G1" s="159" t="s">
        <v>562</v>
      </c>
      <c r="H1" s="159" t="s">
        <v>27</v>
      </c>
      <c r="I1" s="159" t="s">
        <v>29</v>
      </c>
      <c r="J1" s="159" t="s">
        <v>576</v>
      </c>
      <c r="K1" s="159" t="s">
        <v>33</v>
      </c>
      <c r="L1" s="159" t="s">
        <v>35</v>
      </c>
      <c r="M1" s="159" t="s">
        <v>561</v>
      </c>
      <c r="N1" s="159" t="s">
        <v>575</v>
      </c>
    </row>
    <row r="2" spans="1:14" x14ac:dyDescent="0.25">
      <c r="A2" s="158" t="s">
        <v>563</v>
      </c>
      <c r="B2" s="158"/>
      <c r="C2" s="158"/>
      <c r="D2" s="158" t="s">
        <v>564</v>
      </c>
      <c r="E2" s="160">
        <v>118142000000</v>
      </c>
      <c r="F2" s="160">
        <v>117089523837</v>
      </c>
      <c r="G2" s="160">
        <v>117086609403.25</v>
      </c>
      <c r="H2" s="160">
        <v>4362972</v>
      </c>
      <c r="I2" s="160">
        <v>2898400347.6700001</v>
      </c>
      <c r="J2" s="160">
        <v>0</v>
      </c>
      <c r="K2" s="160">
        <v>109931381274.08</v>
      </c>
      <c r="L2" s="160">
        <v>92686644098.789993</v>
      </c>
      <c r="M2" s="160">
        <v>4255379243.25</v>
      </c>
      <c r="N2" s="160">
        <v>4252464809.5</v>
      </c>
    </row>
    <row r="3" spans="1:14" ht="15.75" customHeight="1" x14ac:dyDescent="0.25">
      <c r="A3" s="158">
        <v>214779</v>
      </c>
      <c r="B3" s="158"/>
      <c r="C3" s="158"/>
      <c r="D3" s="158" t="s">
        <v>564</v>
      </c>
      <c r="E3" s="160">
        <v>3482733000</v>
      </c>
      <c r="F3" s="160">
        <v>2775642622</v>
      </c>
      <c r="G3" s="160">
        <v>2775642621.9699998</v>
      </c>
      <c r="H3" s="160">
        <v>32550</v>
      </c>
      <c r="I3" s="160">
        <v>42655479.200000003</v>
      </c>
      <c r="J3" s="160">
        <v>0</v>
      </c>
      <c r="K3" s="160">
        <v>2457181742.7800002</v>
      </c>
      <c r="L3" s="160">
        <v>2138702309.6099999</v>
      </c>
      <c r="M3" s="160">
        <v>275772850.01999998</v>
      </c>
      <c r="N3" s="160">
        <v>275772849.99000001</v>
      </c>
    </row>
    <row r="4" spans="1:14" x14ac:dyDescent="0.25">
      <c r="A4" s="158" t="s">
        <v>565</v>
      </c>
      <c r="B4" s="158" t="s">
        <v>100</v>
      </c>
      <c r="C4" s="158" t="s">
        <v>101</v>
      </c>
      <c r="D4" s="158" t="s">
        <v>564</v>
      </c>
      <c r="E4" s="160">
        <v>1597555000</v>
      </c>
      <c r="F4" s="160">
        <v>1512810619</v>
      </c>
      <c r="G4" s="160">
        <v>1512810619</v>
      </c>
      <c r="H4" s="160">
        <v>0</v>
      </c>
      <c r="I4" s="160">
        <v>0</v>
      </c>
      <c r="J4" s="160">
        <v>0</v>
      </c>
      <c r="K4" s="160">
        <v>1435734850.4300001</v>
      </c>
      <c r="L4" s="160">
        <v>1171333164.5599999</v>
      </c>
      <c r="M4" s="160">
        <v>77075768.569999993</v>
      </c>
      <c r="N4" s="160">
        <v>77075768.569999993</v>
      </c>
    </row>
    <row r="5" spans="1:14" x14ac:dyDescent="0.25">
      <c r="A5" s="158" t="s">
        <v>565</v>
      </c>
      <c r="B5" s="158" t="s">
        <v>102</v>
      </c>
      <c r="C5" s="158" t="s">
        <v>103</v>
      </c>
      <c r="D5" s="158" t="s">
        <v>564</v>
      </c>
      <c r="E5" s="160">
        <v>618732000</v>
      </c>
      <c r="F5" s="160">
        <v>588145600</v>
      </c>
      <c r="G5" s="160">
        <v>588145600</v>
      </c>
      <c r="H5" s="160">
        <v>0</v>
      </c>
      <c r="I5" s="160">
        <v>0</v>
      </c>
      <c r="J5" s="160">
        <v>0</v>
      </c>
      <c r="K5" s="160">
        <v>552683581.62</v>
      </c>
      <c r="L5" s="160">
        <v>458592983.26999998</v>
      </c>
      <c r="M5" s="160">
        <v>35462018.380000003</v>
      </c>
      <c r="N5" s="160">
        <v>35462018.380000003</v>
      </c>
    </row>
    <row r="6" spans="1:14" x14ac:dyDescent="0.25">
      <c r="A6" s="158" t="s">
        <v>565</v>
      </c>
      <c r="B6" s="158" t="s">
        <v>104</v>
      </c>
      <c r="C6" s="158" t="s">
        <v>105</v>
      </c>
      <c r="D6" s="158" t="s">
        <v>564</v>
      </c>
      <c r="E6" s="160">
        <v>618732000</v>
      </c>
      <c r="F6" s="160">
        <v>588145600</v>
      </c>
      <c r="G6" s="160">
        <v>588145600</v>
      </c>
      <c r="H6" s="160">
        <v>0</v>
      </c>
      <c r="I6" s="160">
        <v>0</v>
      </c>
      <c r="J6" s="160">
        <v>0</v>
      </c>
      <c r="K6" s="160">
        <v>552683581.62</v>
      </c>
      <c r="L6" s="160">
        <v>458592983.26999998</v>
      </c>
      <c r="M6" s="160">
        <v>35462018.380000003</v>
      </c>
      <c r="N6" s="160">
        <v>35462018.380000003</v>
      </c>
    </row>
    <row r="7" spans="1:14" x14ac:dyDescent="0.25">
      <c r="A7" s="158" t="s">
        <v>565</v>
      </c>
      <c r="B7" s="158" t="s">
        <v>106</v>
      </c>
      <c r="C7" s="158" t="s">
        <v>107</v>
      </c>
      <c r="D7" s="158" t="s">
        <v>564</v>
      </c>
      <c r="E7" s="160">
        <v>2250000</v>
      </c>
      <c r="F7" s="160">
        <v>750000</v>
      </c>
      <c r="G7" s="160">
        <v>750000</v>
      </c>
      <c r="H7" s="160">
        <v>0</v>
      </c>
      <c r="I7" s="160">
        <v>0</v>
      </c>
      <c r="J7" s="160">
        <v>0</v>
      </c>
      <c r="K7" s="160">
        <v>0</v>
      </c>
      <c r="L7" s="160">
        <v>0</v>
      </c>
      <c r="M7" s="160">
        <v>750000</v>
      </c>
      <c r="N7" s="160">
        <v>750000</v>
      </c>
    </row>
    <row r="8" spans="1:14" x14ac:dyDescent="0.25">
      <c r="A8" s="158" t="s">
        <v>565</v>
      </c>
      <c r="B8" s="158" t="s">
        <v>108</v>
      </c>
      <c r="C8" s="158" t="s">
        <v>109</v>
      </c>
      <c r="D8" s="158" t="s">
        <v>564</v>
      </c>
      <c r="E8" s="160">
        <v>2250000</v>
      </c>
      <c r="F8" s="160">
        <v>750000</v>
      </c>
      <c r="G8" s="160">
        <v>750000</v>
      </c>
      <c r="H8" s="160">
        <v>0</v>
      </c>
      <c r="I8" s="160">
        <v>0</v>
      </c>
      <c r="J8" s="160">
        <v>0</v>
      </c>
      <c r="K8" s="160">
        <v>0</v>
      </c>
      <c r="L8" s="160">
        <v>0</v>
      </c>
      <c r="M8" s="160">
        <v>750000</v>
      </c>
      <c r="N8" s="160">
        <v>750000</v>
      </c>
    </row>
    <row r="9" spans="1:14" x14ac:dyDescent="0.25">
      <c r="A9" s="158" t="s">
        <v>565</v>
      </c>
      <c r="B9" s="158" t="s">
        <v>110</v>
      </c>
      <c r="C9" s="158" t="s">
        <v>111</v>
      </c>
      <c r="D9" s="158" t="s">
        <v>564</v>
      </c>
      <c r="E9" s="160">
        <v>735119000</v>
      </c>
      <c r="F9" s="160">
        <v>690519000</v>
      </c>
      <c r="G9" s="160">
        <v>690519000</v>
      </c>
      <c r="H9" s="160">
        <v>0</v>
      </c>
      <c r="I9" s="160">
        <v>0</v>
      </c>
      <c r="J9" s="160">
        <v>0</v>
      </c>
      <c r="K9" s="160">
        <v>666242276.80999994</v>
      </c>
      <c r="L9" s="160">
        <v>495931189.29000002</v>
      </c>
      <c r="M9" s="160">
        <v>24276723.190000001</v>
      </c>
      <c r="N9" s="160">
        <v>24276723.190000001</v>
      </c>
    </row>
    <row r="10" spans="1:14" x14ac:dyDescent="0.25">
      <c r="A10" s="158" t="s">
        <v>565</v>
      </c>
      <c r="B10" s="158" t="s">
        <v>112</v>
      </c>
      <c r="C10" s="158" t="s">
        <v>113</v>
      </c>
      <c r="D10" s="158" t="s">
        <v>564</v>
      </c>
      <c r="E10" s="160">
        <v>148324000</v>
      </c>
      <c r="F10" s="160">
        <v>141324000</v>
      </c>
      <c r="G10" s="160">
        <v>141324000</v>
      </c>
      <c r="H10" s="160">
        <v>0</v>
      </c>
      <c r="I10" s="160">
        <v>0</v>
      </c>
      <c r="J10" s="160">
        <v>0</v>
      </c>
      <c r="K10" s="160">
        <v>138745984.38</v>
      </c>
      <c r="L10" s="160">
        <v>115363053.78</v>
      </c>
      <c r="M10" s="160">
        <v>2578015.62</v>
      </c>
      <c r="N10" s="160">
        <v>2578015.62</v>
      </c>
    </row>
    <row r="11" spans="1:14" x14ac:dyDescent="0.25">
      <c r="A11" s="158" t="s">
        <v>565</v>
      </c>
      <c r="B11" s="158" t="s">
        <v>114</v>
      </c>
      <c r="C11" s="158" t="s">
        <v>115</v>
      </c>
      <c r="D11" s="158" t="s">
        <v>564</v>
      </c>
      <c r="E11" s="160">
        <v>332467000</v>
      </c>
      <c r="F11" s="160">
        <v>304467000</v>
      </c>
      <c r="G11" s="160">
        <v>304467000</v>
      </c>
      <c r="H11" s="160">
        <v>0</v>
      </c>
      <c r="I11" s="160">
        <v>0</v>
      </c>
      <c r="J11" s="160">
        <v>0</v>
      </c>
      <c r="K11" s="160">
        <v>295314651.66000003</v>
      </c>
      <c r="L11" s="160">
        <v>245188421.03</v>
      </c>
      <c r="M11" s="160">
        <v>9152348.3399999999</v>
      </c>
      <c r="N11" s="160">
        <v>9152348.3399999999</v>
      </c>
    </row>
    <row r="12" spans="1:14" x14ac:dyDescent="0.25">
      <c r="A12" s="158" t="s">
        <v>565</v>
      </c>
      <c r="B12" s="158" t="s">
        <v>116</v>
      </c>
      <c r="C12" s="158" t="s">
        <v>117</v>
      </c>
      <c r="D12" s="158" t="s">
        <v>564</v>
      </c>
      <c r="E12" s="160">
        <v>93000000</v>
      </c>
      <c r="F12" s="160">
        <v>90000000</v>
      </c>
      <c r="G12" s="160">
        <v>90000000</v>
      </c>
      <c r="H12" s="160">
        <v>0</v>
      </c>
      <c r="I12" s="160">
        <v>0</v>
      </c>
      <c r="J12" s="160">
        <v>0</v>
      </c>
      <c r="K12" s="160">
        <v>88174212.609999999</v>
      </c>
      <c r="L12" s="160">
        <v>0</v>
      </c>
      <c r="M12" s="160">
        <v>1825787.39</v>
      </c>
      <c r="N12" s="160">
        <v>1825787.39</v>
      </c>
    </row>
    <row r="13" spans="1:14" x14ac:dyDescent="0.25">
      <c r="A13" s="158" t="s">
        <v>565</v>
      </c>
      <c r="B13" s="158" t="s">
        <v>118</v>
      </c>
      <c r="C13" s="158" t="s">
        <v>119</v>
      </c>
      <c r="D13" s="158" t="s">
        <v>564</v>
      </c>
      <c r="E13" s="160">
        <v>54328000</v>
      </c>
      <c r="F13" s="160">
        <v>52728000</v>
      </c>
      <c r="G13" s="160">
        <v>52728000</v>
      </c>
      <c r="H13" s="160">
        <v>0</v>
      </c>
      <c r="I13" s="160">
        <v>0</v>
      </c>
      <c r="J13" s="160">
        <v>0</v>
      </c>
      <c r="K13" s="160">
        <v>48368698.359999999</v>
      </c>
      <c r="L13" s="160">
        <v>39740984.68</v>
      </c>
      <c r="M13" s="160">
        <v>4359301.6399999997</v>
      </c>
      <c r="N13" s="160">
        <v>4359301.6399999997</v>
      </c>
    </row>
    <row r="14" spans="1:14" x14ac:dyDescent="0.25">
      <c r="A14" s="158" t="s">
        <v>565</v>
      </c>
      <c r="B14" s="158" t="s">
        <v>120</v>
      </c>
      <c r="C14" s="158" t="s">
        <v>121</v>
      </c>
      <c r="D14" s="158" t="s">
        <v>566</v>
      </c>
      <c r="E14" s="160">
        <v>107000000</v>
      </c>
      <c r="F14" s="160">
        <v>102000000</v>
      </c>
      <c r="G14" s="160">
        <v>102000000</v>
      </c>
      <c r="H14" s="160">
        <v>0</v>
      </c>
      <c r="I14" s="160">
        <v>0</v>
      </c>
      <c r="J14" s="160">
        <v>0</v>
      </c>
      <c r="K14" s="160">
        <v>95638729.799999997</v>
      </c>
      <c r="L14" s="160">
        <v>95638729.799999997</v>
      </c>
      <c r="M14" s="160">
        <v>6361270.2000000002</v>
      </c>
      <c r="N14" s="160">
        <v>6361270.2000000002</v>
      </c>
    </row>
    <row r="15" spans="1:14" x14ac:dyDescent="0.25">
      <c r="A15" s="158" t="s">
        <v>565</v>
      </c>
      <c r="B15" s="158" t="s">
        <v>122</v>
      </c>
      <c r="C15" s="158" t="s">
        <v>123</v>
      </c>
      <c r="D15" s="158" t="s">
        <v>564</v>
      </c>
      <c r="E15" s="160">
        <v>121788000</v>
      </c>
      <c r="F15" s="160">
        <v>117723576</v>
      </c>
      <c r="G15" s="160">
        <v>117723576</v>
      </c>
      <c r="H15" s="160">
        <v>0</v>
      </c>
      <c r="I15" s="160">
        <v>0</v>
      </c>
      <c r="J15" s="160">
        <v>0</v>
      </c>
      <c r="K15" s="160">
        <v>109382668</v>
      </c>
      <c r="L15" s="160">
        <v>109382668</v>
      </c>
      <c r="M15" s="160">
        <v>8340908</v>
      </c>
      <c r="N15" s="160">
        <v>8340908</v>
      </c>
    </row>
    <row r="16" spans="1:14" x14ac:dyDescent="0.25">
      <c r="A16" s="158" t="s">
        <v>565</v>
      </c>
      <c r="B16" s="158" t="s">
        <v>124</v>
      </c>
      <c r="C16" s="158" t="s">
        <v>125</v>
      </c>
      <c r="D16" s="158" t="s">
        <v>564</v>
      </c>
      <c r="E16" s="160">
        <v>115542000</v>
      </c>
      <c r="F16" s="160">
        <v>111686008</v>
      </c>
      <c r="G16" s="160">
        <v>111686008</v>
      </c>
      <c r="H16" s="160">
        <v>0</v>
      </c>
      <c r="I16" s="160">
        <v>0</v>
      </c>
      <c r="J16" s="160">
        <v>0</v>
      </c>
      <c r="K16" s="160">
        <v>103778455</v>
      </c>
      <c r="L16" s="160">
        <v>103778455</v>
      </c>
      <c r="M16" s="160">
        <v>7907553</v>
      </c>
      <c r="N16" s="160">
        <v>7907553</v>
      </c>
    </row>
    <row r="17" spans="1:14" x14ac:dyDescent="0.25">
      <c r="A17" s="158" t="s">
        <v>565</v>
      </c>
      <c r="B17" s="158" t="s">
        <v>126</v>
      </c>
      <c r="C17" s="158" t="s">
        <v>127</v>
      </c>
      <c r="D17" s="158" t="s">
        <v>564</v>
      </c>
      <c r="E17" s="160">
        <v>6246000</v>
      </c>
      <c r="F17" s="160">
        <v>6037568</v>
      </c>
      <c r="G17" s="160">
        <v>6037568</v>
      </c>
      <c r="H17" s="160">
        <v>0</v>
      </c>
      <c r="I17" s="160">
        <v>0</v>
      </c>
      <c r="J17" s="160">
        <v>0</v>
      </c>
      <c r="K17" s="160">
        <v>5604213</v>
      </c>
      <c r="L17" s="160">
        <v>5604213</v>
      </c>
      <c r="M17" s="160">
        <v>433355</v>
      </c>
      <c r="N17" s="160">
        <v>433355</v>
      </c>
    </row>
    <row r="18" spans="1:14" x14ac:dyDescent="0.25">
      <c r="A18" s="158" t="s">
        <v>565</v>
      </c>
      <c r="B18" s="158" t="s">
        <v>128</v>
      </c>
      <c r="C18" s="158" t="s">
        <v>129</v>
      </c>
      <c r="D18" s="158" t="s">
        <v>564</v>
      </c>
      <c r="E18" s="160">
        <v>119666000</v>
      </c>
      <c r="F18" s="160">
        <v>115672443</v>
      </c>
      <c r="G18" s="160">
        <v>115672443</v>
      </c>
      <c r="H18" s="160">
        <v>0</v>
      </c>
      <c r="I18" s="160">
        <v>0</v>
      </c>
      <c r="J18" s="160">
        <v>0</v>
      </c>
      <c r="K18" s="160">
        <v>107426324</v>
      </c>
      <c r="L18" s="160">
        <v>107426324</v>
      </c>
      <c r="M18" s="160">
        <v>8246119</v>
      </c>
      <c r="N18" s="160">
        <v>8246119</v>
      </c>
    </row>
    <row r="19" spans="1:14" x14ac:dyDescent="0.25">
      <c r="A19" s="158" t="s">
        <v>565</v>
      </c>
      <c r="B19" s="158" t="s">
        <v>130</v>
      </c>
      <c r="C19" s="158" t="s">
        <v>131</v>
      </c>
      <c r="D19" s="158" t="s">
        <v>564</v>
      </c>
      <c r="E19" s="160">
        <v>63455000</v>
      </c>
      <c r="F19" s="160">
        <v>61337331</v>
      </c>
      <c r="G19" s="160">
        <v>61337331</v>
      </c>
      <c r="H19" s="160">
        <v>0</v>
      </c>
      <c r="I19" s="160">
        <v>0</v>
      </c>
      <c r="J19" s="160">
        <v>0</v>
      </c>
      <c r="K19" s="160">
        <v>56988366</v>
      </c>
      <c r="L19" s="160">
        <v>56988366</v>
      </c>
      <c r="M19" s="160">
        <v>4348965</v>
      </c>
      <c r="N19" s="160">
        <v>4348965</v>
      </c>
    </row>
    <row r="20" spans="1:14" x14ac:dyDescent="0.25">
      <c r="A20" s="158" t="s">
        <v>565</v>
      </c>
      <c r="B20" s="158" t="s">
        <v>132</v>
      </c>
      <c r="C20" s="158" t="s">
        <v>133</v>
      </c>
      <c r="D20" s="158" t="s">
        <v>564</v>
      </c>
      <c r="E20" s="160">
        <v>18737000</v>
      </c>
      <c r="F20" s="160">
        <v>18111704</v>
      </c>
      <c r="G20" s="160">
        <v>18111704</v>
      </c>
      <c r="H20" s="160">
        <v>0</v>
      </c>
      <c r="I20" s="160">
        <v>0</v>
      </c>
      <c r="J20" s="160">
        <v>0</v>
      </c>
      <c r="K20" s="160">
        <v>16812672</v>
      </c>
      <c r="L20" s="160">
        <v>16812672</v>
      </c>
      <c r="M20" s="160">
        <v>1299032</v>
      </c>
      <c r="N20" s="160">
        <v>1299032</v>
      </c>
    </row>
    <row r="21" spans="1:14" x14ac:dyDescent="0.25">
      <c r="A21" s="158" t="s">
        <v>565</v>
      </c>
      <c r="B21" s="158" t="s">
        <v>134</v>
      </c>
      <c r="C21" s="158" t="s">
        <v>135</v>
      </c>
      <c r="D21" s="158" t="s">
        <v>564</v>
      </c>
      <c r="E21" s="160">
        <v>37474000</v>
      </c>
      <c r="F21" s="160">
        <v>36223408</v>
      </c>
      <c r="G21" s="160">
        <v>36223408</v>
      </c>
      <c r="H21" s="160">
        <v>0</v>
      </c>
      <c r="I21" s="160">
        <v>0</v>
      </c>
      <c r="J21" s="160">
        <v>0</v>
      </c>
      <c r="K21" s="160">
        <v>33625286</v>
      </c>
      <c r="L21" s="160">
        <v>33625286</v>
      </c>
      <c r="M21" s="160">
        <v>2598122</v>
      </c>
      <c r="N21" s="160">
        <v>2598122</v>
      </c>
    </row>
    <row r="22" spans="1:14" x14ac:dyDescent="0.25">
      <c r="A22" s="158" t="s">
        <v>565</v>
      </c>
      <c r="B22" s="158" t="s">
        <v>136</v>
      </c>
      <c r="C22" s="158" t="s">
        <v>137</v>
      </c>
      <c r="D22" s="158" t="s">
        <v>564</v>
      </c>
      <c r="E22" s="160">
        <v>447656000</v>
      </c>
      <c r="F22" s="160">
        <v>405874276</v>
      </c>
      <c r="G22" s="160">
        <v>405874276</v>
      </c>
      <c r="H22" s="160">
        <v>32550</v>
      </c>
      <c r="I22" s="160">
        <v>30696793.75</v>
      </c>
      <c r="J22" s="160">
        <v>0</v>
      </c>
      <c r="K22" s="160">
        <v>354312837.92000002</v>
      </c>
      <c r="L22" s="160">
        <v>301971734.62</v>
      </c>
      <c r="M22" s="160">
        <v>20832094.329999998</v>
      </c>
      <c r="N22" s="160">
        <v>20832094.329999998</v>
      </c>
    </row>
    <row r="23" spans="1:14" x14ac:dyDescent="0.25">
      <c r="A23" s="158" t="s">
        <v>565</v>
      </c>
      <c r="B23" s="158" t="s">
        <v>138</v>
      </c>
      <c r="C23" s="158" t="s">
        <v>139</v>
      </c>
      <c r="D23" s="158" t="s">
        <v>564</v>
      </c>
      <c r="E23" s="160">
        <v>185096000</v>
      </c>
      <c r="F23" s="160">
        <v>142067782</v>
      </c>
      <c r="G23" s="160">
        <v>142067782</v>
      </c>
      <c r="H23" s="160">
        <v>0</v>
      </c>
      <c r="I23" s="160">
        <v>8873519.5999999996</v>
      </c>
      <c r="J23" s="160">
        <v>0</v>
      </c>
      <c r="K23" s="160">
        <v>129848700.97</v>
      </c>
      <c r="L23" s="160">
        <v>110781868.66</v>
      </c>
      <c r="M23" s="160">
        <v>3345561.43</v>
      </c>
      <c r="N23" s="160">
        <v>3345561.43</v>
      </c>
    </row>
    <row r="24" spans="1:14" x14ac:dyDescent="0.25">
      <c r="A24" s="158" t="s">
        <v>565</v>
      </c>
      <c r="B24" s="158" t="s">
        <v>140</v>
      </c>
      <c r="C24" s="158" t="s">
        <v>141</v>
      </c>
      <c r="D24" s="158" t="s">
        <v>564</v>
      </c>
      <c r="E24" s="160">
        <v>185000000</v>
      </c>
      <c r="F24" s="160">
        <v>142000000</v>
      </c>
      <c r="G24" s="160">
        <v>142000000</v>
      </c>
      <c r="H24" s="160">
        <v>0</v>
      </c>
      <c r="I24" s="160">
        <v>8873519.5999999996</v>
      </c>
      <c r="J24" s="160">
        <v>0</v>
      </c>
      <c r="K24" s="160">
        <v>129780919.72</v>
      </c>
      <c r="L24" s="160">
        <v>110714087.41</v>
      </c>
      <c r="M24" s="160">
        <v>3345560.68</v>
      </c>
      <c r="N24" s="160">
        <v>3345560.68</v>
      </c>
    </row>
    <row r="25" spans="1:14" x14ac:dyDescent="0.25">
      <c r="A25" s="158" t="s">
        <v>565</v>
      </c>
      <c r="B25" s="158" t="s">
        <v>142</v>
      </c>
      <c r="C25" s="158" t="s">
        <v>143</v>
      </c>
      <c r="D25" s="158" t="s">
        <v>564</v>
      </c>
      <c r="E25" s="160">
        <v>96000</v>
      </c>
      <c r="F25" s="160">
        <v>67782</v>
      </c>
      <c r="G25" s="160">
        <v>67782</v>
      </c>
      <c r="H25" s="160">
        <v>0</v>
      </c>
      <c r="I25" s="160">
        <v>0</v>
      </c>
      <c r="J25" s="160">
        <v>0</v>
      </c>
      <c r="K25" s="160">
        <v>67781.25</v>
      </c>
      <c r="L25" s="160">
        <v>67781.25</v>
      </c>
      <c r="M25" s="160">
        <v>0.75</v>
      </c>
      <c r="N25" s="160">
        <v>0.75</v>
      </c>
    </row>
    <row r="26" spans="1:14" x14ac:dyDescent="0.25">
      <c r="A26" s="158" t="s">
        <v>565</v>
      </c>
      <c r="B26" s="158" t="s">
        <v>144</v>
      </c>
      <c r="C26" s="158" t="s">
        <v>145</v>
      </c>
      <c r="D26" s="158" t="s">
        <v>564</v>
      </c>
      <c r="E26" s="160">
        <v>136020000</v>
      </c>
      <c r="F26" s="160">
        <v>134439660</v>
      </c>
      <c r="G26" s="160">
        <v>134439660</v>
      </c>
      <c r="H26" s="160">
        <v>0</v>
      </c>
      <c r="I26" s="160">
        <v>16318364.66</v>
      </c>
      <c r="J26" s="160">
        <v>0</v>
      </c>
      <c r="K26" s="160">
        <v>117602222.84</v>
      </c>
      <c r="L26" s="160">
        <v>113094507.84</v>
      </c>
      <c r="M26" s="160">
        <v>519072.5</v>
      </c>
      <c r="N26" s="160">
        <v>519072.5</v>
      </c>
    </row>
    <row r="27" spans="1:14" x14ac:dyDescent="0.25">
      <c r="A27" s="158" t="s">
        <v>565</v>
      </c>
      <c r="B27" s="158" t="s">
        <v>146</v>
      </c>
      <c r="C27" s="158" t="s">
        <v>147</v>
      </c>
      <c r="D27" s="158" t="s">
        <v>564</v>
      </c>
      <c r="E27" s="160">
        <v>5400000</v>
      </c>
      <c r="F27" s="160">
        <v>5400000</v>
      </c>
      <c r="G27" s="160">
        <v>5400000</v>
      </c>
      <c r="H27" s="160">
        <v>0</v>
      </c>
      <c r="I27" s="160">
        <v>1000000</v>
      </c>
      <c r="J27" s="160">
        <v>0</v>
      </c>
      <c r="K27" s="160">
        <v>3882645</v>
      </c>
      <c r="L27" s="160">
        <v>3882645</v>
      </c>
      <c r="M27" s="160">
        <v>517355</v>
      </c>
      <c r="N27" s="160">
        <v>517355</v>
      </c>
    </row>
    <row r="28" spans="1:14" x14ac:dyDescent="0.25">
      <c r="A28" s="158" t="s">
        <v>565</v>
      </c>
      <c r="B28" s="158" t="s">
        <v>148</v>
      </c>
      <c r="C28" s="158" t="s">
        <v>149</v>
      </c>
      <c r="D28" s="158" t="s">
        <v>564</v>
      </c>
      <c r="E28" s="160">
        <v>52000000</v>
      </c>
      <c r="F28" s="160">
        <v>55000000</v>
      </c>
      <c r="G28" s="160">
        <v>55000000</v>
      </c>
      <c r="H28" s="160">
        <v>0</v>
      </c>
      <c r="I28" s="160">
        <v>2739175</v>
      </c>
      <c r="J28" s="160">
        <v>0</v>
      </c>
      <c r="K28" s="160">
        <v>52260825</v>
      </c>
      <c r="L28" s="160">
        <v>47753110</v>
      </c>
      <c r="M28" s="160">
        <v>0</v>
      </c>
      <c r="N28" s="160">
        <v>0</v>
      </c>
    </row>
    <row r="29" spans="1:14" x14ac:dyDescent="0.25">
      <c r="A29" s="158" t="s">
        <v>565</v>
      </c>
      <c r="B29" s="158" t="s">
        <v>150</v>
      </c>
      <c r="C29" s="158" t="s">
        <v>151</v>
      </c>
      <c r="D29" s="158" t="s">
        <v>564</v>
      </c>
      <c r="E29" s="160">
        <v>20000</v>
      </c>
      <c r="F29" s="160">
        <v>15000</v>
      </c>
      <c r="G29" s="160">
        <v>15000</v>
      </c>
      <c r="H29" s="160">
        <v>0</v>
      </c>
      <c r="I29" s="160">
        <v>0</v>
      </c>
      <c r="J29" s="160">
        <v>0</v>
      </c>
      <c r="K29" s="160">
        <v>15000</v>
      </c>
      <c r="L29" s="160">
        <v>15000</v>
      </c>
      <c r="M29" s="160">
        <v>0</v>
      </c>
      <c r="N29" s="160">
        <v>0</v>
      </c>
    </row>
    <row r="30" spans="1:14" x14ac:dyDescent="0.25">
      <c r="A30" s="158" t="s">
        <v>565</v>
      </c>
      <c r="B30" s="158" t="s">
        <v>152</v>
      </c>
      <c r="C30" s="158" t="s">
        <v>153</v>
      </c>
      <c r="D30" s="158" t="s">
        <v>564</v>
      </c>
      <c r="E30" s="160">
        <v>78000000</v>
      </c>
      <c r="F30" s="160">
        <v>73712660</v>
      </c>
      <c r="G30" s="160">
        <v>73712660</v>
      </c>
      <c r="H30" s="160">
        <v>0</v>
      </c>
      <c r="I30" s="160">
        <v>12477407.16</v>
      </c>
      <c r="J30" s="160">
        <v>0</v>
      </c>
      <c r="K30" s="160">
        <v>61235252.840000004</v>
      </c>
      <c r="L30" s="160">
        <v>61235252.840000004</v>
      </c>
      <c r="M30" s="160">
        <v>0</v>
      </c>
      <c r="N30" s="160">
        <v>0</v>
      </c>
    </row>
    <row r="31" spans="1:14" x14ac:dyDescent="0.25">
      <c r="A31" s="158" t="s">
        <v>565</v>
      </c>
      <c r="B31" s="158" t="s">
        <v>154</v>
      </c>
      <c r="C31" s="158" t="s">
        <v>155</v>
      </c>
      <c r="D31" s="158" t="s">
        <v>564</v>
      </c>
      <c r="E31" s="160">
        <v>600000</v>
      </c>
      <c r="F31" s="160">
        <v>312000</v>
      </c>
      <c r="G31" s="160">
        <v>312000</v>
      </c>
      <c r="H31" s="160">
        <v>0</v>
      </c>
      <c r="I31" s="160">
        <v>101782.5</v>
      </c>
      <c r="J31" s="160">
        <v>0</v>
      </c>
      <c r="K31" s="160">
        <v>208500</v>
      </c>
      <c r="L31" s="160">
        <v>208500</v>
      </c>
      <c r="M31" s="160">
        <v>1717.5</v>
      </c>
      <c r="N31" s="160">
        <v>1717.5</v>
      </c>
    </row>
    <row r="32" spans="1:14" x14ac:dyDescent="0.25">
      <c r="A32" s="158" t="s">
        <v>565</v>
      </c>
      <c r="B32" s="158" t="s">
        <v>156</v>
      </c>
      <c r="C32" s="158" t="s">
        <v>157</v>
      </c>
      <c r="D32" s="158" t="s">
        <v>564</v>
      </c>
      <c r="E32" s="160">
        <v>6100000</v>
      </c>
      <c r="F32" s="160">
        <v>12728006</v>
      </c>
      <c r="G32" s="160">
        <v>12728006</v>
      </c>
      <c r="H32" s="160">
        <v>0</v>
      </c>
      <c r="I32" s="160">
        <v>1785883</v>
      </c>
      <c r="J32" s="160">
        <v>0</v>
      </c>
      <c r="K32" s="160">
        <v>10529667.15</v>
      </c>
      <c r="L32" s="160">
        <v>9841397.1500000004</v>
      </c>
      <c r="M32" s="160">
        <v>412455.85</v>
      </c>
      <c r="N32" s="160">
        <v>412455.85</v>
      </c>
    </row>
    <row r="33" spans="1:14" x14ac:dyDescent="0.25">
      <c r="A33" s="158" t="s">
        <v>565</v>
      </c>
      <c r="B33" s="158" t="s">
        <v>158</v>
      </c>
      <c r="C33" s="158" t="s">
        <v>159</v>
      </c>
      <c r="D33" s="158" t="s">
        <v>564</v>
      </c>
      <c r="E33" s="160">
        <v>5000000</v>
      </c>
      <c r="F33" s="160">
        <v>11000000</v>
      </c>
      <c r="G33" s="160">
        <v>11000000</v>
      </c>
      <c r="H33" s="160">
        <v>0</v>
      </c>
      <c r="I33" s="160">
        <v>1722181</v>
      </c>
      <c r="J33" s="160">
        <v>0</v>
      </c>
      <c r="K33" s="160">
        <v>9125364</v>
      </c>
      <c r="L33" s="160">
        <v>8442094</v>
      </c>
      <c r="M33" s="160">
        <v>152455</v>
      </c>
      <c r="N33" s="160">
        <v>152455</v>
      </c>
    </row>
    <row r="34" spans="1:14" x14ac:dyDescent="0.25">
      <c r="A34" s="158" t="s">
        <v>565</v>
      </c>
      <c r="B34" s="158" t="s">
        <v>160</v>
      </c>
      <c r="C34" s="158" t="s">
        <v>161</v>
      </c>
      <c r="D34" s="158" t="s">
        <v>564</v>
      </c>
      <c r="E34" s="160">
        <v>1000000</v>
      </c>
      <c r="F34" s="160">
        <v>1712000</v>
      </c>
      <c r="G34" s="160">
        <v>1712000</v>
      </c>
      <c r="H34" s="160">
        <v>0</v>
      </c>
      <c r="I34" s="160">
        <v>63702</v>
      </c>
      <c r="J34" s="160">
        <v>0</v>
      </c>
      <c r="K34" s="160">
        <v>1388298</v>
      </c>
      <c r="L34" s="160">
        <v>1383298</v>
      </c>
      <c r="M34" s="160">
        <v>260000</v>
      </c>
      <c r="N34" s="160">
        <v>260000</v>
      </c>
    </row>
    <row r="35" spans="1:14" x14ac:dyDescent="0.25">
      <c r="A35" s="158" t="s">
        <v>565</v>
      </c>
      <c r="B35" s="158" t="s">
        <v>162</v>
      </c>
      <c r="C35" s="158" t="s">
        <v>163</v>
      </c>
      <c r="D35" s="158" t="s">
        <v>564</v>
      </c>
      <c r="E35" s="160">
        <v>100000</v>
      </c>
      <c r="F35" s="160">
        <v>16006</v>
      </c>
      <c r="G35" s="160">
        <v>16006</v>
      </c>
      <c r="H35" s="160">
        <v>0</v>
      </c>
      <c r="I35" s="160">
        <v>0</v>
      </c>
      <c r="J35" s="160">
        <v>0</v>
      </c>
      <c r="K35" s="160">
        <v>16005.15</v>
      </c>
      <c r="L35" s="160">
        <v>16005.15</v>
      </c>
      <c r="M35" s="160">
        <v>0.85</v>
      </c>
      <c r="N35" s="160">
        <v>0.85</v>
      </c>
    </row>
    <row r="36" spans="1:14" x14ac:dyDescent="0.25">
      <c r="A36" s="158" t="s">
        <v>565</v>
      </c>
      <c r="B36" s="158" t="s">
        <v>164</v>
      </c>
      <c r="C36" s="158" t="s">
        <v>165</v>
      </c>
      <c r="D36" s="158" t="s">
        <v>564</v>
      </c>
      <c r="E36" s="160">
        <v>32400000</v>
      </c>
      <c r="F36" s="160">
        <v>25268000</v>
      </c>
      <c r="G36" s="160">
        <v>25268000</v>
      </c>
      <c r="H36" s="160">
        <v>0</v>
      </c>
      <c r="I36" s="160">
        <v>222300</v>
      </c>
      <c r="J36" s="160">
        <v>0</v>
      </c>
      <c r="K36" s="160">
        <v>24605623.399999999</v>
      </c>
      <c r="L36" s="160">
        <v>3911073.4</v>
      </c>
      <c r="M36" s="160">
        <v>440076.6</v>
      </c>
      <c r="N36" s="160">
        <v>440076.6</v>
      </c>
    </row>
    <row r="37" spans="1:14" x14ac:dyDescent="0.25">
      <c r="A37" s="158" t="s">
        <v>565</v>
      </c>
      <c r="B37" s="158" t="s">
        <v>166</v>
      </c>
      <c r="C37" s="158" t="s">
        <v>167</v>
      </c>
      <c r="D37" s="158" t="s">
        <v>564</v>
      </c>
      <c r="E37" s="160">
        <v>30000000</v>
      </c>
      <c r="F37" s="160">
        <v>20200000</v>
      </c>
      <c r="G37" s="160">
        <v>20200000</v>
      </c>
      <c r="H37" s="160">
        <v>0</v>
      </c>
      <c r="I37" s="160">
        <v>0</v>
      </c>
      <c r="J37" s="160">
        <v>0</v>
      </c>
      <c r="K37" s="160">
        <v>20200000</v>
      </c>
      <c r="L37" s="160">
        <v>0</v>
      </c>
      <c r="M37" s="160">
        <v>0</v>
      </c>
      <c r="N37" s="160">
        <v>0</v>
      </c>
    </row>
    <row r="38" spans="1:14" x14ac:dyDescent="0.25">
      <c r="A38" s="158" t="s">
        <v>565</v>
      </c>
      <c r="B38" s="158" t="s">
        <v>168</v>
      </c>
      <c r="C38" s="158" t="s">
        <v>169</v>
      </c>
      <c r="D38" s="158" t="s">
        <v>564</v>
      </c>
      <c r="E38" s="160">
        <v>900000</v>
      </c>
      <c r="F38" s="160">
        <v>1300000</v>
      </c>
      <c r="G38" s="160">
        <v>1300000</v>
      </c>
      <c r="H38" s="160">
        <v>0</v>
      </c>
      <c r="I38" s="160">
        <v>222300</v>
      </c>
      <c r="J38" s="160">
        <v>0</v>
      </c>
      <c r="K38" s="160">
        <v>1075200</v>
      </c>
      <c r="L38" s="160">
        <v>1075200</v>
      </c>
      <c r="M38" s="160">
        <v>2500</v>
      </c>
      <c r="N38" s="160">
        <v>2500</v>
      </c>
    </row>
    <row r="39" spans="1:14" x14ac:dyDescent="0.25">
      <c r="A39" s="158" t="s">
        <v>565</v>
      </c>
      <c r="B39" s="158" t="s">
        <v>170</v>
      </c>
      <c r="C39" s="158" t="s">
        <v>171</v>
      </c>
      <c r="D39" s="158" t="s">
        <v>564</v>
      </c>
      <c r="E39" s="160">
        <v>1500000</v>
      </c>
      <c r="F39" s="160">
        <v>3768000</v>
      </c>
      <c r="G39" s="160">
        <v>3768000</v>
      </c>
      <c r="H39" s="160">
        <v>0</v>
      </c>
      <c r="I39" s="160">
        <v>0</v>
      </c>
      <c r="J39" s="160">
        <v>0</v>
      </c>
      <c r="K39" s="160">
        <v>3330423.4</v>
      </c>
      <c r="L39" s="160">
        <v>2835873.4</v>
      </c>
      <c r="M39" s="160">
        <v>437576.6</v>
      </c>
      <c r="N39" s="160">
        <v>437576.6</v>
      </c>
    </row>
    <row r="40" spans="1:14" x14ac:dyDescent="0.25">
      <c r="A40" s="158" t="s">
        <v>565</v>
      </c>
      <c r="B40" s="158" t="s">
        <v>172</v>
      </c>
      <c r="C40" s="158" t="s">
        <v>173</v>
      </c>
      <c r="D40" s="158" t="s">
        <v>564</v>
      </c>
      <c r="E40" s="160">
        <v>16250000</v>
      </c>
      <c r="F40" s="160">
        <v>27745301</v>
      </c>
      <c r="G40" s="160">
        <v>27745301</v>
      </c>
      <c r="H40" s="160">
        <v>32550</v>
      </c>
      <c r="I40" s="160">
        <v>1063044.49</v>
      </c>
      <c r="J40" s="160">
        <v>0</v>
      </c>
      <c r="K40" s="160">
        <v>18870641.640000001</v>
      </c>
      <c r="L40" s="160">
        <v>18195452.170000002</v>
      </c>
      <c r="M40" s="160">
        <v>7779064.8700000001</v>
      </c>
      <c r="N40" s="160">
        <v>7779064.8700000001</v>
      </c>
    </row>
    <row r="41" spans="1:14" x14ac:dyDescent="0.25">
      <c r="A41" s="158" t="s">
        <v>565</v>
      </c>
      <c r="B41" s="158" t="s">
        <v>174</v>
      </c>
      <c r="C41" s="158" t="s">
        <v>175</v>
      </c>
      <c r="D41" s="158" t="s">
        <v>564</v>
      </c>
      <c r="E41" s="160">
        <v>250000</v>
      </c>
      <c r="F41" s="160">
        <v>77500</v>
      </c>
      <c r="G41" s="160">
        <v>77500</v>
      </c>
      <c r="H41" s="160">
        <v>0</v>
      </c>
      <c r="I41" s="160">
        <v>0</v>
      </c>
      <c r="J41" s="160">
        <v>0</v>
      </c>
      <c r="K41" s="160">
        <v>1350</v>
      </c>
      <c r="L41" s="160">
        <v>1350</v>
      </c>
      <c r="M41" s="160">
        <v>76150</v>
      </c>
      <c r="N41" s="160">
        <v>76150</v>
      </c>
    </row>
    <row r="42" spans="1:14" x14ac:dyDescent="0.25">
      <c r="A42" s="158" t="s">
        <v>565</v>
      </c>
      <c r="B42" s="158" t="s">
        <v>176</v>
      </c>
      <c r="C42" s="158" t="s">
        <v>177</v>
      </c>
      <c r="D42" s="158" t="s">
        <v>564</v>
      </c>
      <c r="E42" s="160">
        <v>10000000</v>
      </c>
      <c r="F42" s="160">
        <v>8933000</v>
      </c>
      <c r="G42" s="160">
        <v>8933000</v>
      </c>
      <c r="H42" s="160">
        <v>32550</v>
      </c>
      <c r="I42" s="160">
        <v>464100</v>
      </c>
      <c r="J42" s="160">
        <v>0</v>
      </c>
      <c r="K42" s="160">
        <v>6337620</v>
      </c>
      <c r="L42" s="160">
        <v>6556220</v>
      </c>
      <c r="M42" s="160">
        <v>2098730</v>
      </c>
      <c r="N42" s="160">
        <v>2098730</v>
      </c>
    </row>
    <row r="43" spans="1:14" x14ac:dyDescent="0.25">
      <c r="A43" s="158" t="s">
        <v>565</v>
      </c>
      <c r="B43" s="158" t="s">
        <v>178</v>
      </c>
      <c r="C43" s="158" t="s">
        <v>179</v>
      </c>
      <c r="D43" s="158" t="s">
        <v>564</v>
      </c>
      <c r="E43" s="160">
        <v>3000000</v>
      </c>
      <c r="F43" s="160">
        <v>8649000</v>
      </c>
      <c r="G43" s="160">
        <v>8649000</v>
      </c>
      <c r="H43" s="160">
        <v>0</v>
      </c>
      <c r="I43" s="160">
        <v>51150.23</v>
      </c>
      <c r="J43" s="160">
        <v>0</v>
      </c>
      <c r="K43" s="160">
        <v>6468803.04</v>
      </c>
      <c r="L43" s="160">
        <v>5575013.5700000003</v>
      </c>
      <c r="M43" s="160">
        <v>2129046.73</v>
      </c>
      <c r="N43" s="160">
        <v>2129046.73</v>
      </c>
    </row>
    <row r="44" spans="1:14" x14ac:dyDescent="0.25">
      <c r="A44" s="158" t="s">
        <v>565</v>
      </c>
      <c r="B44" s="158" t="s">
        <v>180</v>
      </c>
      <c r="C44" s="158" t="s">
        <v>181</v>
      </c>
      <c r="D44" s="158" t="s">
        <v>564</v>
      </c>
      <c r="E44" s="160">
        <v>3000000</v>
      </c>
      <c r="F44" s="160">
        <v>10085801</v>
      </c>
      <c r="G44" s="160">
        <v>10085801</v>
      </c>
      <c r="H44" s="160">
        <v>0</v>
      </c>
      <c r="I44" s="160">
        <v>547794.26</v>
      </c>
      <c r="J44" s="160">
        <v>0</v>
      </c>
      <c r="K44" s="160">
        <v>6062868.5999999996</v>
      </c>
      <c r="L44" s="160">
        <v>6062868.5999999996</v>
      </c>
      <c r="M44" s="160">
        <v>3475138.14</v>
      </c>
      <c r="N44" s="160">
        <v>3475138.14</v>
      </c>
    </row>
    <row r="45" spans="1:14" x14ac:dyDescent="0.25">
      <c r="A45" s="158" t="s">
        <v>565</v>
      </c>
      <c r="B45" s="158" t="s">
        <v>182</v>
      </c>
      <c r="C45" s="158" t="s">
        <v>183</v>
      </c>
      <c r="D45" s="158" t="s">
        <v>564</v>
      </c>
      <c r="E45" s="160">
        <v>48000000</v>
      </c>
      <c r="F45" s="160">
        <v>44156234</v>
      </c>
      <c r="G45" s="160">
        <v>44156234</v>
      </c>
      <c r="H45" s="160">
        <v>0</v>
      </c>
      <c r="I45" s="160">
        <v>500000</v>
      </c>
      <c r="J45" s="160">
        <v>0</v>
      </c>
      <c r="K45" s="160">
        <v>37575281.990000002</v>
      </c>
      <c r="L45" s="160">
        <v>37575281.990000002</v>
      </c>
      <c r="M45" s="160">
        <v>6080952.0099999998</v>
      </c>
      <c r="N45" s="160">
        <v>6080952.0099999998</v>
      </c>
    </row>
    <row r="46" spans="1:14" x14ac:dyDescent="0.25">
      <c r="A46" s="158" t="s">
        <v>565</v>
      </c>
      <c r="B46" s="158" t="s">
        <v>184</v>
      </c>
      <c r="C46" s="158" t="s">
        <v>185</v>
      </c>
      <c r="D46" s="158" t="s">
        <v>564</v>
      </c>
      <c r="E46" s="160">
        <v>48000000</v>
      </c>
      <c r="F46" s="160">
        <v>44156234</v>
      </c>
      <c r="G46" s="160">
        <v>44156234</v>
      </c>
      <c r="H46" s="160">
        <v>0</v>
      </c>
      <c r="I46" s="160">
        <v>500000</v>
      </c>
      <c r="J46" s="160">
        <v>0</v>
      </c>
      <c r="K46" s="160">
        <v>37575281.990000002</v>
      </c>
      <c r="L46" s="160">
        <v>37575281.990000002</v>
      </c>
      <c r="M46" s="160">
        <v>6080952.0099999998</v>
      </c>
      <c r="N46" s="160">
        <v>6080952.0099999998</v>
      </c>
    </row>
    <row r="47" spans="1:14" x14ac:dyDescent="0.25">
      <c r="A47" s="158" t="s">
        <v>565</v>
      </c>
      <c r="B47" s="158" t="s">
        <v>186</v>
      </c>
      <c r="C47" s="158" t="s">
        <v>187</v>
      </c>
      <c r="D47" s="158" t="s">
        <v>564</v>
      </c>
      <c r="E47" s="160">
        <v>5000000</v>
      </c>
      <c r="F47" s="160">
        <v>3509833</v>
      </c>
      <c r="G47" s="160">
        <v>3509833</v>
      </c>
      <c r="H47" s="160">
        <v>0</v>
      </c>
      <c r="I47" s="160">
        <v>100000</v>
      </c>
      <c r="J47" s="160">
        <v>0</v>
      </c>
      <c r="K47" s="160">
        <v>2626982.84</v>
      </c>
      <c r="L47" s="160">
        <v>2452452.6</v>
      </c>
      <c r="M47" s="160">
        <v>782850.16</v>
      </c>
      <c r="N47" s="160">
        <v>782850.16</v>
      </c>
    </row>
    <row r="48" spans="1:14" x14ac:dyDescent="0.25">
      <c r="A48" s="158" t="s">
        <v>565</v>
      </c>
      <c r="B48" s="158" t="s">
        <v>327</v>
      </c>
      <c r="C48" s="158" t="s">
        <v>328</v>
      </c>
      <c r="D48" s="158" t="s">
        <v>564</v>
      </c>
      <c r="E48" s="160">
        <v>0</v>
      </c>
      <c r="F48" s="160">
        <v>290000</v>
      </c>
      <c r="G48" s="160">
        <v>290000</v>
      </c>
      <c r="H48" s="160">
        <v>0</v>
      </c>
      <c r="I48" s="160">
        <v>0</v>
      </c>
      <c r="J48" s="160">
        <v>0</v>
      </c>
      <c r="K48" s="160">
        <v>279939</v>
      </c>
      <c r="L48" s="160">
        <v>279939</v>
      </c>
      <c r="M48" s="160">
        <v>10061</v>
      </c>
      <c r="N48" s="160">
        <v>10061</v>
      </c>
    </row>
    <row r="49" spans="1:14" x14ac:dyDescent="0.25">
      <c r="A49" s="158" t="s">
        <v>565</v>
      </c>
      <c r="B49" s="158" t="s">
        <v>188</v>
      </c>
      <c r="C49" s="158" t="s">
        <v>189</v>
      </c>
      <c r="D49" s="158" t="s">
        <v>564</v>
      </c>
      <c r="E49" s="160">
        <v>4000000</v>
      </c>
      <c r="F49" s="160">
        <v>2219833</v>
      </c>
      <c r="G49" s="160">
        <v>2219833</v>
      </c>
      <c r="H49" s="160">
        <v>0</v>
      </c>
      <c r="I49" s="160">
        <v>0</v>
      </c>
      <c r="J49" s="160">
        <v>0</v>
      </c>
      <c r="K49" s="160">
        <v>1919832.64</v>
      </c>
      <c r="L49" s="160">
        <v>1745302.4</v>
      </c>
      <c r="M49" s="160">
        <v>300000.36</v>
      </c>
      <c r="N49" s="160">
        <v>300000.36</v>
      </c>
    </row>
    <row r="50" spans="1:14" x14ac:dyDescent="0.25">
      <c r="A50" s="158" t="s">
        <v>565</v>
      </c>
      <c r="B50" s="158" t="s">
        <v>190</v>
      </c>
      <c r="C50" s="158" t="s">
        <v>191</v>
      </c>
      <c r="D50" s="158" t="s">
        <v>564</v>
      </c>
      <c r="E50" s="160">
        <v>1000000</v>
      </c>
      <c r="F50" s="160">
        <v>1000000</v>
      </c>
      <c r="G50" s="160">
        <v>1000000</v>
      </c>
      <c r="H50" s="160">
        <v>0</v>
      </c>
      <c r="I50" s="160">
        <v>100000</v>
      </c>
      <c r="J50" s="160">
        <v>0</v>
      </c>
      <c r="K50" s="160">
        <v>427211.2</v>
      </c>
      <c r="L50" s="160">
        <v>427211.2</v>
      </c>
      <c r="M50" s="160">
        <v>472788.8</v>
      </c>
      <c r="N50" s="160">
        <v>472788.8</v>
      </c>
    </row>
    <row r="51" spans="1:14" x14ac:dyDescent="0.25">
      <c r="A51" s="158" t="s">
        <v>565</v>
      </c>
      <c r="B51" s="158" t="s">
        <v>192</v>
      </c>
      <c r="C51" s="158" t="s">
        <v>193</v>
      </c>
      <c r="D51" s="158" t="s">
        <v>564</v>
      </c>
      <c r="E51" s="160">
        <v>16290000</v>
      </c>
      <c r="F51" s="160">
        <v>13459460</v>
      </c>
      <c r="G51" s="160">
        <v>13459460</v>
      </c>
      <c r="H51" s="160">
        <v>0</v>
      </c>
      <c r="I51" s="160">
        <v>1070000</v>
      </c>
      <c r="J51" s="160">
        <v>0</v>
      </c>
      <c r="K51" s="160">
        <v>10957399.09</v>
      </c>
      <c r="L51" s="160">
        <v>5174343.8099999996</v>
      </c>
      <c r="M51" s="160">
        <v>1432060.91</v>
      </c>
      <c r="N51" s="160">
        <v>1432060.91</v>
      </c>
    </row>
    <row r="52" spans="1:14" x14ac:dyDescent="0.25">
      <c r="A52" s="158" t="s">
        <v>565</v>
      </c>
      <c r="B52" s="158" t="s">
        <v>194</v>
      </c>
      <c r="C52" s="158" t="s">
        <v>195</v>
      </c>
      <c r="D52" s="158" t="s">
        <v>564</v>
      </c>
      <c r="E52" s="160">
        <v>3000000</v>
      </c>
      <c r="F52" s="160">
        <v>3000000</v>
      </c>
      <c r="G52" s="160">
        <v>3000000</v>
      </c>
      <c r="H52" s="160">
        <v>0</v>
      </c>
      <c r="I52" s="160">
        <v>0</v>
      </c>
      <c r="J52" s="160">
        <v>0</v>
      </c>
      <c r="K52" s="160">
        <v>2837000</v>
      </c>
      <c r="L52" s="160">
        <v>0</v>
      </c>
      <c r="M52" s="160">
        <v>163000</v>
      </c>
      <c r="N52" s="160">
        <v>163000</v>
      </c>
    </row>
    <row r="53" spans="1:14" x14ac:dyDescent="0.25">
      <c r="A53" s="158" t="s">
        <v>565</v>
      </c>
      <c r="B53" s="158" t="s">
        <v>352</v>
      </c>
      <c r="C53" s="158" t="s">
        <v>353</v>
      </c>
      <c r="D53" s="158" t="s">
        <v>564</v>
      </c>
      <c r="E53" s="160">
        <v>0</v>
      </c>
      <c r="F53" s="160">
        <v>0</v>
      </c>
      <c r="G53" s="160">
        <v>0</v>
      </c>
      <c r="H53" s="160">
        <v>0</v>
      </c>
      <c r="I53" s="160">
        <v>0</v>
      </c>
      <c r="J53" s="160">
        <v>0</v>
      </c>
      <c r="K53" s="160">
        <v>0</v>
      </c>
      <c r="L53" s="160">
        <v>0</v>
      </c>
      <c r="M53" s="160">
        <v>0</v>
      </c>
      <c r="N53" s="160">
        <v>0</v>
      </c>
    </row>
    <row r="54" spans="1:14" x14ac:dyDescent="0.25">
      <c r="A54" s="158" t="s">
        <v>565</v>
      </c>
      <c r="B54" s="158" t="s">
        <v>196</v>
      </c>
      <c r="C54" s="158" t="s">
        <v>197</v>
      </c>
      <c r="D54" s="158" t="s">
        <v>564</v>
      </c>
      <c r="E54" s="160">
        <v>5000000</v>
      </c>
      <c r="F54" s="160">
        <v>5000000</v>
      </c>
      <c r="G54" s="160">
        <v>5000000</v>
      </c>
      <c r="H54" s="160">
        <v>0</v>
      </c>
      <c r="I54" s="160">
        <v>100000</v>
      </c>
      <c r="J54" s="160">
        <v>0</v>
      </c>
      <c r="K54" s="160">
        <v>4746579.93</v>
      </c>
      <c r="L54" s="160">
        <v>2988032.31</v>
      </c>
      <c r="M54" s="160">
        <v>153420.07</v>
      </c>
      <c r="N54" s="160">
        <v>153420.07</v>
      </c>
    </row>
    <row r="55" spans="1:14" x14ac:dyDescent="0.25">
      <c r="A55" s="158" t="s">
        <v>565</v>
      </c>
      <c r="B55" s="158" t="s">
        <v>198</v>
      </c>
      <c r="C55" s="158" t="s">
        <v>199</v>
      </c>
      <c r="D55" s="158" t="s">
        <v>564</v>
      </c>
      <c r="E55" s="160">
        <v>500000</v>
      </c>
      <c r="F55" s="160">
        <v>0</v>
      </c>
      <c r="G55" s="160">
        <v>0</v>
      </c>
      <c r="H55" s="160">
        <v>0</v>
      </c>
      <c r="I55" s="160">
        <v>0</v>
      </c>
      <c r="J55" s="160">
        <v>0</v>
      </c>
      <c r="K55" s="160">
        <v>0</v>
      </c>
      <c r="L55" s="160">
        <v>0</v>
      </c>
      <c r="M55" s="160">
        <v>0</v>
      </c>
      <c r="N55" s="160">
        <v>0</v>
      </c>
    </row>
    <row r="56" spans="1:14" x14ac:dyDescent="0.25">
      <c r="A56" s="158" t="s">
        <v>565</v>
      </c>
      <c r="B56" s="158" t="s">
        <v>200</v>
      </c>
      <c r="C56" s="158" t="s">
        <v>201</v>
      </c>
      <c r="D56" s="158" t="s">
        <v>564</v>
      </c>
      <c r="E56" s="160">
        <v>6000000</v>
      </c>
      <c r="F56" s="160">
        <v>3379460</v>
      </c>
      <c r="G56" s="160">
        <v>3379460</v>
      </c>
      <c r="H56" s="160">
        <v>0</v>
      </c>
      <c r="I56" s="160">
        <v>70000</v>
      </c>
      <c r="J56" s="160">
        <v>0</v>
      </c>
      <c r="K56" s="160">
        <v>2614511.5</v>
      </c>
      <c r="L56" s="160">
        <v>1896311.5</v>
      </c>
      <c r="M56" s="160">
        <v>694948.5</v>
      </c>
      <c r="N56" s="160">
        <v>694948.5</v>
      </c>
    </row>
    <row r="57" spans="1:14" x14ac:dyDescent="0.25">
      <c r="A57" s="158" t="s">
        <v>565</v>
      </c>
      <c r="B57" s="158" t="s">
        <v>202</v>
      </c>
      <c r="C57" s="158" t="s">
        <v>203</v>
      </c>
      <c r="D57" s="158" t="s">
        <v>564</v>
      </c>
      <c r="E57" s="160">
        <v>290000</v>
      </c>
      <c r="F57" s="160">
        <v>580000</v>
      </c>
      <c r="G57" s="160">
        <v>580000</v>
      </c>
      <c r="H57" s="160">
        <v>0</v>
      </c>
      <c r="I57" s="160">
        <v>0</v>
      </c>
      <c r="J57" s="160">
        <v>0</v>
      </c>
      <c r="K57" s="160">
        <v>580000</v>
      </c>
      <c r="L57" s="160">
        <v>290000</v>
      </c>
      <c r="M57" s="160">
        <v>0</v>
      </c>
      <c r="N57" s="160">
        <v>0</v>
      </c>
    </row>
    <row r="58" spans="1:14" x14ac:dyDescent="0.25">
      <c r="A58" s="158" t="s">
        <v>565</v>
      </c>
      <c r="B58" s="158" t="s">
        <v>204</v>
      </c>
      <c r="C58" s="158" t="s">
        <v>205</v>
      </c>
      <c r="D58" s="158" t="s">
        <v>564</v>
      </c>
      <c r="E58" s="160">
        <v>1500000</v>
      </c>
      <c r="F58" s="160">
        <v>1500000</v>
      </c>
      <c r="G58" s="160">
        <v>1500000</v>
      </c>
      <c r="H58" s="160">
        <v>0</v>
      </c>
      <c r="I58" s="160">
        <v>900000</v>
      </c>
      <c r="J58" s="160">
        <v>0</v>
      </c>
      <c r="K58" s="160">
        <v>179307.66</v>
      </c>
      <c r="L58" s="160">
        <v>0</v>
      </c>
      <c r="M58" s="160">
        <v>420692.34</v>
      </c>
      <c r="N58" s="160">
        <v>420692.34</v>
      </c>
    </row>
    <row r="59" spans="1:14" x14ac:dyDescent="0.25">
      <c r="A59" s="158" t="s">
        <v>565</v>
      </c>
      <c r="B59" s="158" t="s">
        <v>206</v>
      </c>
      <c r="C59" s="158" t="s">
        <v>207</v>
      </c>
      <c r="D59" s="158" t="s">
        <v>564</v>
      </c>
      <c r="E59" s="160">
        <v>1500000</v>
      </c>
      <c r="F59" s="160">
        <v>1500000</v>
      </c>
      <c r="G59" s="160">
        <v>1500000</v>
      </c>
      <c r="H59" s="160">
        <v>0</v>
      </c>
      <c r="I59" s="160">
        <v>13682</v>
      </c>
      <c r="J59" s="160">
        <v>0</v>
      </c>
      <c r="K59" s="160">
        <v>1486318</v>
      </c>
      <c r="L59" s="160">
        <v>735357</v>
      </c>
      <c r="M59" s="160">
        <v>0</v>
      </c>
      <c r="N59" s="160">
        <v>0</v>
      </c>
    </row>
    <row r="60" spans="1:14" x14ac:dyDescent="0.25">
      <c r="A60" s="158" t="s">
        <v>565</v>
      </c>
      <c r="B60" s="158" t="s">
        <v>208</v>
      </c>
      <c r="C60" s="158" t="s">
        <v>209</v>
      </c>
      <c r="D60" s="158" t="s">
        <v>564</v>
      </c>
      <c r="E60" s="160">
        <v>1500000</v>
      </c>
      <c r="F60" s="160">
        <v>1500000</v>
      </c>
      <c r="G60" s="160">
        <v>1500000</v>
      </c>
      <c r="H60" s="160">
        <v>0</v>
      </c>
      <c r="I60" s="160">
        <v>13682</v>
      </c>
      <c r="J60" s="160">
        <v>0</v>
      </c>
      <c r="K60" s="160">
        <v>1486318</v>
      </c>
      <c r="L60" s="160">
        <v>735357</v>
      </c>
      <c r="M60" s="160">
        <v>0</v>
      </c>
      <c r="N60" s="160">
        <v>0</v>
      </c>
    </row>
    <row r="61" spans="1:14" x14ac:dyDescent="0.25">
      <c r="A61" s="158" t="s">
        <v>565</v>
      </c>
      <c r="B61" s="158" t="s">
        <v>210</v>
      </c>
      <c r="C61" s="158" t="s">
        <v>211</v>
      </c>
      <c r="D61" s="158" t="s">
        <v>564</v>
      </c>
      <c r="E61" s="160">
        <v>1000000</v>
      </c>
      <c r="F61" s="160">
        <v>1000000</v>
      </c>
      <c r="G61" s="160">
        <v>1000000</v>
      </c>
      <c r="H61" s="160">
        <v>0</v>
      </c>
      <c r="I61" s="160">
        <v>750000</v>
      </c>
      <c r="J61" s="160">
        <v>0</v>
      </c>
      <c r="K61" s="160">
        <v>210000</v>
      </c>
      <c r="L61" s="160">
        <v>210000</v>
      </c>
      <c r="M61" s="160">
        <v>40000</v>
      </c>
      <c r="N61" s="160">
        <v>40000</v>
      </c>
    </row>
    <row r="62" spans="1:14" x14ac:dyDescent="0.25">
      <c r="A62" s="158" t="s">
        <v>565</v>
      </c>
      <c r="B62" s="158" t="s">
        <v>212</v>
      </c>
      <c r="C62" s="158" t="s">
        <v>213</v>
      </c>
      <c r="D62" s="158" t="s">
        <v>564</v>
      </c>
      <c r="E62" s="160">
        <v>1000000</v>
      </c>
      <c r="F62" s="160">
        <v>1000000</v>
      </c>
      <c r="G62" s="160">
        <v>1000000</v>
      </c>
      <c r="H62" s="160">
        <v>0</v>
      </c>
      <c r="I62" s="160">
        <v>750000</v>
      </c>
      <c r="J62" s="160">
        <v>0</v>
      </c>
      <c r="K62" s="160">
        <v>210000</v>
      </c>
      <c r="L62" s="160">
        <v>210000</v>
      </c>
      <c r="M62" s="160">
        <v>40000</v>
      </c>
      <c r="N62" s="160">
        <v>40000</v>
      </c>
    </row>
    <row r="63" spans="1:14" x14ac:dyDescent="0.25">
      <c r="A63" s="158" t="s">
        <v>565</v>
      </c>
      <c r="B63" s="158" t="s">
        <v>214</v>
      </c>
      <c r="C63" s="158" t="s">
        <v>215</v>
      </c>
      <c r="D63" s="158" t="s">
        <v>564</v>
      </c>
      <c r="E63" s="160">
        <v>76029000</v>
      </c>
      <c r="F63" s="160">
        <v>59769621</v>
      </c>
      <c r="G63" s="160">
        <v>59769621</v>
      </c>
      <c r="H63" s="160">
        <v>0</v>
      </c>
      <c r="I63" s="160">
        <v>2505816.5</v>
      </c>
      <c r="J63" s="160">
        <v>0</v>
      </c>
      <c r="K63" s="160">
        <v>52910393.350000001</v>
      </c>
      <c r="L63" s="160">
        <v>51551577.350000001</v>
      </c>
      <c r="M63" s="160">
        <v>4353411.1500000004</v>
      </c>
      <c r="N63" s="160">
        <v>4353411.1500000004</v>
      </c>
    </row>
    <row r="64" spans="1:14" x14ac:dyDescent="0.25">
      <c r="A64" s="158" t="s">
        <v>565</v>
      </c>
      <c r="B64" s="158" t="s">
        <v>216</v>
      </c>
      <c r="C64" s="158" t="s">
        <v>217</v>
      </c>
      <c r="D64" s="158" t="s">
        <v>564</v>
      </c>
      <c r="E64" s="160">
        <v>33171000</v>
      </c>
      <c r="F64" s="160">
        <v>22625788</v>
      </c>
      <c r="G64" s="160">
        <v>22625788</v>
      </c>
      <c r="H64" s="160">
        <v>0</v>
      </c>
      <c r="I64" s="160">
        <v>2000000</v>
      </c>
      <c r="J64" s="160">
        <v>0</v>
      </c>
      <c r="K64" s="160">
        <v>17988400.379999999</v>
      </c>
      <c r="L64" s="160">
        <v>17773400.379999999</v>
      </c>
      <c r="M64" s="160">
        <v>2637387.62</v>
      </c>
      <c r="N64" s="160">
        <v>2637387.62</v>
      </c>
    </row>
    <row r="65" spans="1:14" x14ac:dyDescent="0.25">
      <c r="A65" s="158" t="s">
        <v>565</v>
      </c>
      <c r="B65" s="158" t="s">
        <v>218</v>
      </c>
      <c r="C65" s="158" t="s">
        <v>219</v>
      </c>
      <c r="D65" s="158" t="s">
        <v>564</v>
      </c>
      <c r="E65" s="160">
        <v>28000000</v>
      </c>
      <c r="F65" s="160">
        <v>17083139</v>
      </c>
      <c r="G65" s="160">
        <v>17083139</v>
      </c>
      <c r="H65" s="160">
        <v>0</v>
      </c>
      <c r="I65" s="160">
        <v>2000000</v>
      </c>
      <c r="J65" s="160">
        <v>0</v>
      </c>
      <c r="K65" s="160">
        <v>12894919.789999999</v>
      </c>
      <c r="L65" s="160">
        <v>12679919.789999999</v>
      </c>
      <c r="M65" s="160">
        <v>2188219.21</v>
      </c>
      <c r="N65" s="160">
        <v>2188219.21</v>
      </c>
    </row>
    <row r="66" spans="1:14" x14ac:dyDescent="0.25">
      <c r="A66" s="158" t="s">
        <v>565</v>
      </c>
      <c r="B66" s="158" t="s">
        <v>220</v>
      </c>
      <c r="C66" s="158" t="s">
        <v>221</v>
      </c>
      <c r="D66" s="158" t="s">
        <v>564</v>
      </c>
      <c r="E66" s="160">
        <v>4500000</v>
      </c>
      <c r="F66" s="160">
        <v>4479649</v>
      </c>
      <c r="G66" s="160">
        <v>4479649</v>
      </c>
      <c r="H66" s="160">
        <v>0</v>
      </c>
      <c r="I66" s="160">
        <v>0</v>
      </c>
      <c r="J66" s="160">
        <v>0</v>
      </c>
      <c r="K66" s="160">
        <v>4443035.12</v>
      </c>
      <c r="L66" s="160">
        <v>4443035.12</v>
      </c>
      <c r="M66" s="160">
        <v>36613.879999999997</v>
      </c>
      <c r="N66" s="160">
        <v>36613.879999999997</v>
      </c>
    </row>
    <row r="67" spans="1:14" x14ac:dyDescent="0.25">
      <c r="A67" s="158" t="s">
        <v>565</v>
      </c>
      <c r="B67" s="158" t="s">
        <v>222</v>
      </c>
      <c r="C67" s="158" t="s">
        <v>223</v>
      </c>
      <c r="D67" s="158" t="s">
        <v>564</v>
      </c>
      <c r="E67" s="160">
        <v>171000</v>
      </c>
      <c r="F67" s="160">
        <v>814000</v>
      </c>
      <c r="G67" s="160">
        <v>814000</v>
      </c>
      <c r="H67" s="160">
        <v>0</v>
      </c>
      <c r="I67" s="160">
        <v>0</v>
      </c>
      <c r="J67" s="160">
        <v>0</v>
      </c>
      <c r="K67" s="160">
        <v>401445.47</v>
      </c>
      <c r="L67" s="160">
        <v>401445.47</v>
      </c>
      <c r="M67" s="160">
        <v>412554.53</v>
      </c>
      <c r="N67" s="160">
        <v>412554.53</v>
      </c>
    </row>
    <row r="68" spans="1:14" x14ac:dyDescent="0.25">
      <c r="A68" s="158" t="s">
        <v>565</v>
      </c>
      <c r="B68" s="158" t="s">
        <v>224</v>
      </c>
      <c r="C68" s="158" t="s">
        <v>225</v>
      </c>
      <c r="D68" s="158" t="s">
        <v>564</v>
      </c>
      <c r="E68" s="160">
        <v>500000</v>
      </c>
      <c r="F68" s="160">
        <v>249000</v>
      </c>
      <c r="G68" s="160">
        <v>249000</v>
      </c>
      <c r="H68" s="160">
        <v>0</v>
      </c>
      <c r="I68" s="160">
        <v>0</v>
      </c>
      <c r="J68" s="160">
        <v>0</v>
      </c>
      <c r="K68" s="160">
        <v>249000</v>
      </c>
      <c r="L68" s="160">
        <v>249000</v>
      </c>
      <c r="M68" s="160">
        <v>0</v>
      </c>
      <c r="N68" s="160">
        <v>0</v>
      </c>
    </row>
    <row r="69" spans="1:14" x14ac:dyDescent="0.25">
      <c r="A69" s="158" t="s">
        <v>565</v>
      </c>
      <c r="B69" s="158" t="s">
        <v>226</v>
      </c>
      <c r="C69" s="158" t="s">
        <v>227</v>
      </c>
      <c r="D69" s="158" t="s">
        <v>564</v>
      </c>
      <c r="E69" s="160">
        <v>2900000</v>
      </c>
      <c r="F69" s="160">
        <v>2900000</v>
      </c>
      <c r="G69" s="160">
        <v>2900000</v>
      </c>
      <c r="H69" s="160">
        <v>0</v>
      </c>
      <c r="I69" s="160">
        <v>70816.5</v>
      </c>
      <c r="J69" s="160">
        <v>0</v>
      </c>
      <c r="K69" s="160">
        <v>2773283.5</v>
      </c>
      <c r="L69" s="160">
        <v>2181467.5</v>
      </c>
      <c r="M69" s="160">
        <v>55900</v>
      </c>
      <c r="N69" s="160">
        <v>55900</v>
      </c>
    </row>
    <row r="70" spans="1:14" x14ac:dyDescent="0.25">
      <c r="A70" s="158" t="s">
        <v>565</v>
      </c>
      <c r="B70" s="158" t="s">
        <v>228</v>
      </c>
      <c r="C70" s="158" t="s">
        <v>229</v>
      </c>
      <c r="D70" s="158" t="s">
        <v>564</v>
      </c>
      <c r="E70" s="160">
        <v>2900000</v>
      </c>
      <c r="F70" s="160">
        <v>2900000</v>
      </c>
      <c r="G70" s="160">
        <v>2900000</v>
      </c>
      <c r="H70" s="160">
        <v>0</v>
      </c>
      <c r="I70" s="160">
        <v>70816.5</v>
      </c>
      <c r="J70" s="160">
        <v>0</v>
      </c>
      <c r="K70" s="160">
        <v>2773283.5</v>
      </c>
      <c r="L70" s="160">
        <v>2181467.5</v>
      </c>
      <c r="M70" s="160">
        <v>55900</v>
      </c>
      <c r="N70" s="160">
        <v>55900</v>
      </c>
    </row>
    <row r="71" spans="1:14" x14ac:dyDescent="0.25">
      <c r="A71" s="158" t="s">
        <v>565</v>
      </c>
      <c r="B71" s="158" t="s">
        <v>230</v>
      </c>
      <c r="C71" s="158" t="s">
        <v>231</v>
      </c>
      <c r="D71" s="158" t="s">
        <v>564</v>
      </c>
      <c r="E71" s="160">
        <v>14400000</v>
      </c>
      <c r="F71" s="160">
        <v>11992915</v>
      </c>
      <c r="G71" s="160">
        <v>11992915</v>
      </c>
      <c r="H71" s="160">
        <v>0</v>
      </c>
      <c r="I71" s="160">
        <v>435000</v>
      </c>
      <c r="J71" s="160">
        <v>0</v>
      </c>
      <c r="K71" s="160">
        <v>11151852.84</v>
      </c>
      <c r="L71" s="160">
        <v>11151852.84</v>
      </c>
      <c r="M71" s="160">
        <v>406062.16</v>
      </c>
      <c r="N71" s="160">
        <v>406062.16</v>
      </c>
    </row>
    <row r="72" spans="1:14" x14ac:dyDescent="0.25">
      <c r="A72" s="158" t="s">
        <v>565</v>
      </c>
      <c r="B72" s="158" t="s">
        <v>232</v>
      </c>
      <c r="C72" s="158" t="s">
        <v>233</v>
      </c>
      <c r="D72" s="158" t="s">
        <v>564</v>
      </c>
      <c r="E72" s="160">
        <v>2800000</v>
      </c>
      <c r="F72" s="160">
        <v>1395205</v>
      </c>
      <c r="G72" s="160">
        <v>1395205</v>
      </c>
      <c r="H72" s="160">
        <v>0</v>
      </c>
      <c r="I72" s="160">
        <v>0</v>
      </c>
      <c r="J72" s="160">
        <v>0</v>
      </c>
      <c r="K72" s="160">
        <v>1394878.91</v>
      </c>
      <c r="L72" s="160">
        <v>1394878.91</v>
      </c>
      <c r="M72" s="160">
        <v>326.08999999999997</v>
      </c>
      <c r="N72" s="160">
        <v>326.08999999999997</v>
      </c>
    </row>
    <row r="73" spans="1:14" x14ac:dyDescent="0.25">
      <c r="A73" s="158" t="s">
        <v>565</v>
      </c>
      <c r="B73" s="158" t="s">
        <v>234</v>
      </c>
      <c r="C73" s="158" t="s">
        <v>235</v>
      </c>
      <c r="D73" s="158" t="s">
        <v>564</v>
      </c>
      <c r="E73" s="160">
        <v>7000000</v>
      </c>
      <c r="F73" s="160">
        <v>6616110</v>
      </c>
      <c r="G73" s="160">
        <v>6616110</v>
      </c>
      <c r="H73" s="160">
        <v>0</v>
      </c>
      <c r="I73" s="160">
        <v>435000</v>
      </c>
      <c r="J73" s="160">
        <v>0</v>
      </c>
      <c r="K73" s="160">
        <v>5775373.9299999997</v>
      </c>
      <c r="L73" s="160">
        <v>5775373.9299999997</v>
      </c>
      <c r="M73" s="160">
        <v>405736.07</v>
      </c>
      <c r="N73" s="160">
        <v>405736.07</v>
      </c>
    </row>
    <row r="74" spans="1:14" x14ac:dyDescent="0.25">
      <c r="A74" s="158" t="s">
        <v>565</v>
      </c>
      <c r="B74" s="158" t="s">
        <v>236</v>
      </c>
      <c r="C74" s="158" t="s">
        <v>237</v>
      </c>
      <c r="D74" s="158" t="s">
        <v>564</v>
      </c>
      <c r="E74" s="160">
        <v>300000</v>
      </c>
      <c r="F74" s="160">
        <v>0</v>
      </c>
      <c r="G74" s="160">
        <v>0</v>
      </c>
      <c r="H74" s="160">
        <v>0</v>
      </c>
      <c r="I74" s="160">
        <v>0</v>
      </c>
      <c r="J74" s="160">
        <v>0</v>
      </c>
      <c r="K74" s="160">
        <v>0</v>
      </c>
      <c r="L74" s="160">
        <v>0</v>
      </c>
      <c r="M74" s="160">
        <v>0</v>
      </c>
      <c r="N74" s="160">
        <v>0</v>
      </c>
    </row>
    <row r="75" spans="1:14" x14ac:dyDescent="0.25">
      <c r="A75" s="158" t="s">
        <v>565</v>
      </c>
      <c r="B75" s="158" t="s">
        <v>238</v>
      </c>
      <c r="C75" s="158" t="s">
        <v>239</v>
      </c>
      <c r="D75" s="158" t="s">
        <v>564</v>
      </c>
      <c r="E75" s="160">
        <v>300000</v>
      </c>
      <c r="F75" s="160">
        <v>0</v>
      </c>
      <c r="G75" s="160">
        <v>0</v>
      </c>
      <c r="H75" s="160">
        <v>0</v>
      </c>
      <c r="I75" s="160">
        <v>0</v>
      </c>
      <c r="J75" s="160">
        <v>0</v>
      </c>
      <c r="K75" s="160">
        <v>0</v>
      </c>
      <c r="L75" s="160">
        <v>0</v>
      </c>
      <c r="M75" s="160">
        <v>0</v>
      </c>
      <c r="N75" s="160">
        <v>0</v>
      </c>
    </row>
    <row r="76" spans="1:14" x14ac:dyDescent="0.25">
      <c r="A76" s="158" t="s">
        <v>565</v>
      </c>
      <c r="B76" s="158" t="s">
        <v>240</v>
      </c>
      <c r="C76" s="158" t="s">
        <v>241</v>
      </c>
      <c r="D76" s="158" t="s">
        <v>564</v>
      </c>
      <c r="E76" s="160">
        <v>4000000</v>
      </c>
      <c r="F76" s="160">
        <v>3981600</v>
      </c>
      <c r="G76" s="160">
        <v>3981600</v>
      </c>
      <c r="H76" s="160">
        <v>0</v>
      </c>
      <c r="I76" s="160">
        <v>0</v>
      </c>
      <c r="J76" s="160">
        <v>0</v>
      </c>
      <c r="K76" s="160">
        <v>3981600</v>
      </c>
      <c r="L76" s="160">
        <v>3981600</v>
      </c>
      <c r="M76" s="160">
        <v>0</v>
      </c>
      <c r="N76" s="160">
        <v>0</v>
      </c>
    </row>
    <row r="77" spans="1:14" x14ac:dyDescent="0.25">
      <c r="A77" s="158" t="s">
        <v>565</v>
      </c>
      <c r="B77" s="158" t="s">
        <v>242</v>
      </c>
      <c r="C77" s="158" t="s">
        <v>243</v>
      </c>
      <c r="D77" s="158" t="s">
        <v>564</v>
      </c>
      <c r="E77" s="160">
        <v>3500000</v>
      </c>
      <c r="F77" s="160">
        <v>2315800</v>
      </c>
      <c r="G77" s="160">
        <v>2315800</v>
      </c>
      <c r="H77" s="160">
        <v>0</v>
      </c>
      <c r="I77" s="160">
        <v>0</v>
      </c>
      <c r="J77" s="160">
        <v>0</v>
      </c>
      <c r="K77" s="160">
        <v>1249261.8799999999</v>
      </c>
      <c r="L77" s="160">
        <v>1249261.8799999999</v>
      </c>
      <c r="M77" s="160">
        <v>1066538.1200000001</v>
      </c>
      <c r="N77" s="160">
        <v>1066538.1200000001</v>
      </c>
    </row>
    <row r="78" spans="1:14" x14ac:dyDescent="0.25">
      <c r="A78" s="158" t="s">
        <v>565</v>
      </c>
      <c r="B78" s="158" t="s">
        <v>244</v>
      </c>
      <c r="C78" s="158" t="s">
        <v>245</v>
      </c>
      <c r="D78" s="158" t="s">
        <v>564</v>
      </c>
      <c r="E78" s="160">
        <v>1400000</v>
      </c>
      <c r="F78" s="160">
        <v>615800</v>
      </c>
      <c r="G78" s="160">
        <v>615800</v>
      </c>
      <c r="H78" s="160">
        <v>0</v>
      </c>
      <c r="I78" s="160">
        <v>0</v>
      </c>
      <c r="J78" s="160">
        <v>0</v>
      </c>
      <c r="K78" s="160">
        <v>615787.07999999996</v>
      </c>
      <c r="L78" s="160">
        <v>615787.07999999996</v>
      </c>
      <c r="M78" s="160">
        <v>12.92</v>
      </c>
      <c r="N78" s="160">
        <v>12.92</v>
      </c>
    </row>
    <row r="79" spans="1:14" x14ac:dyDescent="0.25">
      <c r="A79" s="158" t="s">
        <v>565</v>
      </c>
      <c r="B79" s="158" t="s">
        <v>246</v>
      </c>
      <c r="C79" s="158" t="s">
        <v>247</v>
      </c>
      <c r="D79" s="158" t="s">
        <v>564</v>
      </c>
      <c r="E79" s="160">
        <v>2100000</v>
      </c>
      <c r="F79" s="160">
        <v>1700000</v>
      </c>
      <c r="G79" s="160">
        <v>1700000</v>
      </c>
      <c r="H79" s="160">
        <v>0</v>
      </c>
      <c r="I79" s="160">
        <v>0</v>
      </c>
      <c r="J79" s="160">
        <v>0</v>
      </c>
      <c r="K79" s="160">
        <v>633474.80000000005</v>
      </c>
      <c r="L79" s="160">
        <v>633474.80000000005</v>
      </c>
      <c r="M79" s="160">
        <v>1066525.2</v>
      </c>
      <c r="N79" s="160">
        <v>1066525.2</v>
      </c>
    </row>
    <row r="80" spans="1:14" x14ac:dyDescent="0.25">
      <c r="A80" s="158" t="s">
        <v>565</v>
      </c>
      <c r="B80" s="158" t="s">
        <v>248</v>
      </c>
      <c r="C80" s="158" t="s">
        <v>249</v>
      </c>
      <c r="D80" s="158" t="s">
        <v>564</v>
      </c>
      <c r="E80" s="160">
        <v>22058000</v>
      </c>
      <c r="F80" s="160">
        <v>19935118</v>
      </c>
      <c r="G80" s="160">
        <v>19935118</v>
      </c>
      <c r="H80" s="160">
        <v>0</v>
      </c>
      <c r="I80" s="160">
        <v>0</v>
      </c>
      <c r="J80" s="160">
        <v>0</v>
      </c>
      <c r="K80" s="160">
        <v>19747594.75</v>
      </c>
      <c r="L80" s="160">
        <v>19195594.75</v>
      </c>
      <c r="M80" s="160">
        <v>187523.25</v>
      </c>
      <c r="N80" s="160">
        <v>187523.25</v>
      </c>
    </row>
    <row r="81" spans="1:14" x14ac:dyDescent="0.25">
      <c r="A81" s="158" t="s">
        <v>565</v>
      </c>
      <c r="B81" s="158" t="s">
        <v>250</v>
      </c>
      <c r="C81" s="158" t="s">
        <v>251</v>
      </c>
      <c r="D81" s="158" t="s">
        <v>564</v>
      </c>
      <c r="E81" s="160">
        <v>3500000</v>
      </c>
      <c r="F81" s="160">
        <v>3167000</v>
      </c>
      <c r="G81" s="160">
        <v>3167000</v>
      </c>
      <c r="H81" s="160">
        <v>0</v>
      </c>
      <c r="I81" s="160">
        <v>0</v>
      </c>
      <c r="J81" s="160">
        <v>0</v>
      </c>
      <c r="K81" s="160">
        <v>3019642.91</v>
      </c>
      <c r="L81" s="160">
        <v>2467642.91</v>
      </c>
      <c r="M81" s="160">
        <v>147357.09</v>
      </c>
      <c r="N81" s="160">
        <v>147357.09</v>
      </c>
    </row>
    <row r="82" spans="1:14" x14ac:dyDescent="0.25">
      <c r="A82" s="158" t="s">
        <v>565</v>
      </c>
      <c r="B82" s="158" t="s">
        <v>252</v>
      </c>
      <c r="C82" s="158" t="s">
        <v>253</v>
      </c>
      <c r="D82" s="158" t="s">
        <v>564</v>
      </c>
      <c r="E82" s="160">
        <v>1500000</v>
      </c>
      <c r="F82" s="160">
        <v>1494557</v>
      </c>
      <c r="G82" s="160">
        <v>1494557</v>
      </c>
      <c r="H82" s="160">
        <v>0</v>
      </c>
      <c r="I82" s="160">
        <v>0</v>
      </c>
      <c r="J82" s="160">
        <v>0</v>
      </c>
      <c r="K82" s="160">
        <v>1457941.96</v>
      </c>
      <c r="L82" s="160">
        <v>1457941.96</v>
      </c>
      <c r="M82" s="160">
        <v>36615.040000000001</v>
      </c>
      <c r="N82" s="160">
        <v>36615.040000000001</v>
      </c>
    </row>
    <row r="83" spans="1:14" x14ac:dyDescent="0.25">
      <c r="A83" s="158" t="s">
        <v>565</v>
      </c>
      <c r="B83" s="158" t="s">
        <v>254</v>
      </c>
      <c r="C83" s="158" t="s">
        <v>255</v>
      </c>
      <c r="D83" s="158" t="s">
        <v>564</v>
      </c>
      <c r="E83" s="160">
        <v>13000000</v>
      </c>
      <c r="F83" s="160">
        <v>11843835</v>
      </c>
      <c r="G83" s="160">
        <v>11843835</v>
      </c>
      <c r="H83" s="160">
        <v>0</v>
      </c>
      <c r="I83" s="160">
        <v>0</v>
      </c>
      <c r="J83" s="160">
        <v>0</v>
      </c>
      <c r="K83" s="160">
        <v>11843834.5</v>
      </c>
      <c r="L83" s="160">
        <v>11843834.5</v>
      </c>
      <c r="M83" s="160">
        <v>0.5</v>
      </c>
      <c r="N83" s="160">
        <v>0.5</v>
      </c>
    </row>
    <row r="84" spans="1:14" x14ac:dyDescent="0.25">
      <c r="A84" s="158" t="s">
        <v>565</v>
      </c>
      <c r="B84" s="158" t="s">
        <v>256</v>
      </c>
      <c r="C84" s="158" t="s">
        <v>257</v>
      </c>
      <c r="D84" s="158" t="s">
        <v>564</v>
      </c>
      <c r="E84" s="160">
        <v>1346000</v>
      </c>
      <c r="F84" s="160">
        <v>1246000</v>
      </c>
      <c r="G84" s="160">
        <v>1246000</v>
      </c>
      <c r="H84" s="160">
        <v>0</v>
      </c>
      <c r="I84" s="160">
        <v>0</v>
      </c>
      <c r="J84" s="160">
        <v>0</v>
      </c>
      <c r="K84" s="160">
        <v>1245410</v>
      </c>
      <c r="L84" s="160">
        <v>1245410</v>
      </c>
      <c r="M84" s="160">
        <v>590</v>
      </c>
      <c r="N84" s="160">
        <v>590</v>
      </c>
    </row>
    <row r="85" spans="1:14" x14ac:dyDescent="0.25">
      <c r="A85" s="158" t="s">
        <v>565</v>
      </c>
      <c r="B85" s="158" t="s">
        <v>258</v>
      </c>
      <c r="C85" s="158" t="s">
        <v>259</v>
      </c>
      <c r="D85" s="158" t="s">
        <v>564</v>
      </c>
      <c r="E85" s="160">
        <v>1900000</v>
      </c>
      <c r="F85" s="160">
        <v>1655476</v>
      </c>
      <c r="G85" s="160">
        <v>1655476</v>
      </c>
      <c r="H85" s="160">
        <v>0</v>
      </c>
      <c r="I85" s="160">
        <v>0</v>
      </c>
      <c r="J85" s="160">
        <v>0</v>
      </c>
      <c r="K85" s="160">
        <v>1655475.38</v>
      </c>
      <c r="L85" s="160">
        <v>1655475.38</v>
      </c>
      <c r="M85" s="160">
        <v>0.62</v>
      </c>
      <c r="N85" s="160">
        <v>0.62</v>
      </c>
    </row>
    <row r="86" spans="1:14" x14ac:dyDescent="0.25">
      <c r="A86" s="158" t="s">
        <v>565</v>
      </c>
      <c r="B86" s="158" t="s">
        <v>260</v>
      </c>
      <c r="C86" s="158" t="s">
        <v>261</v>
      </c>
      <c r="D86" s="158" t="s">
        <v>564</v>
      </c>
      <c r="E86" s="160">
        <v>444000</v>
      </c>
      <c r="F86" s="160">
        <v>294000</v>
      </c>
      <c r="G86" s="160">
        <v>294000</v>
      </c>
      <c r="H86" s="160">
        <v>0</v>
      </c>
      <c r="I86" s="160">
        <v>0</v>
      </c>
      <c r="J86" s="160">
        <v>0</v>
      </c>
      <c r="K86" s="160">
        <v>292455</v>
      </c>
      <c r="L86" s="160">
        <v>292455</v>
      </c>
      <c r="M86" s="160">
        <v>1545</v>
      </c>
      <c r="N86" s="160">
        <v>1545</v>
      </c>
    </row>
    <row r="87" spans="1:14" x14ac:dyDescent="0.25">
      <c r="A87" s="158" t="s">
        <v>565</v>
      </c>
      <c r="B87" s="158" t="s">
        <v>262</v>
      </c>
      <c r="C87" s="158" t="s">
        <v>263</v>
      </c>
      <c r="D87" s="158" t="s">
        <v>564</v>
      </c>
      <c r="E87" s="160">
        <v>170000</v>
      </c>
      <c r="F87" s="160">
        <v>36250</v>
      </c>
      <c r="G87" s="160">
        <v>36250</v>
      </c>
      <c r="H87" s="160">
        <v>0</v>
      </c>
      <c r="I87" s="160">
        <v>0</v>
      </c>
      <c r="J87" s="160">
        <v>0</v>
      </c>
      <c r="K87" s="160">
        <v>36250</v>
      </c>
      <c r="L87" s="160">
        <v>36250</v>
      </c>
      <c r="M87" s="160">
        <v>0</v>
      </c>
      <c r="N87" s="160">
        <v>0</v>
      </c>
    </row>
    <row r="88" spans="1:14" x14ac:dyDescent="0.25">
      <c r="A88" s="158" t="s">
        <v>565</v>
      </c>
      <c r="B88" s="158" t="s">
        <v>264</v>
      </c>
      <c r="C88" s="158" t="s">
        <v>265</v>
      </c>
      <c r="D88" s="158" t="s">
        <v>564</v>
      </c>
      <c r="E88" s="160">
        <v>198000</v>
      </c>
      <c r="F88" s="160">
        <v>198000</v>
      </c>
      <c r="G88" s="160">
        <v>198000</v>
      </c>
      <c r="H88" s="160">
        <v>0</v>
      </c>
      <c r="I88" s="160">
        <v>0</v>
      </c>
      <c r="J88" s="160">
        <v>0</v>
      </c>
      <c r="K88" s="160">
        <v>196585</v>
      </c>
      <c r="L88" s="160">
        <v>196585</v>
      </c>
      <c r="M88" s="160">
        <v>1415</v>
      </c>
      <c r="N88" s="160">
        <v>1415</v>
      </c>
    </row>
    <row r="89" spans="1:14" x14ac:dyDescent="0.25">
      <c r="A89" s="158" t="s">
        <v>565</v>
      </c>
      <c r="B89" s="158" t="s">
        <v>296</v>
      </c>
      <c r="C89" s="158" t="s">
        <v>297</v>
      </c>
      <c r="D89" s="158" t="s">
        <v>564</v>
      </c>
      <c r="E89" s="160">
        <v>38136000</v>
      </c>
      <c r="F89" s="160">
        <v>33686800</v>
      </c>
      <c r="G89" s="160">
        <v>33686800</v>
      </c>
      <c r="H89" s="160">
        <v>0</v>
      </c>
      <c r="I89" s="160">
        <v>9452868.9499999993</v>
      </c>
      <c r="J89" s="160">
        <v>0</v>
      </c>
      <c r="K89" s="160">
        <v>13440198.960000001</v>
      </c>
      <c r="L89" s="160">
        <v>13440198.960000001</v>
      </c>
      <c r="M89" s="160">
        <v>10793732.09</v>
      </c>
      <c r="N89" s="160">
        <v>10793732.09</v>
      </c>
    </row>
    <row r="90" spans="1:14" x14ac:dyDescent="0.25">
      <c r="A90" s="158" t="s">
        <v>565</v>
      </c>
      <c r="B90" s="158" t="s">
        <v>298</v>
      </c>
      <c r="C90" s="158" t="s">
        <v>299</v>
      </c>
      <c r="D90" s="158" t="s">
        <v>564</v>
      </c>
      <c r="E90" s="160">
        <v>18136000</v>
      </c>
      <c r="F90" s="160">
        <v>32906800</v>
      </c>
      <c r="G90" s="160">
        <v>32906800</v>
      </c>
      <c r="H90" s="160">
        <v>0</v>
      </c>
      <c r="I90" s="160">
        <v>9452868.9499999993</v>
      </c>
      <c r="J90" s="160">
        <v>0</v>
      </c>
      <c r="K90" s="160">
        <v>13440198.960000001</v>
      </c>
      <c r="L90" s="160">
        <v>13440198.960000001</v>
      </c>
      <c r="M90" s="160">
        <v>10013732.09</v>
      </c>
      <c r="N90" s="160">
        <v>10013732.09</v>
      </c>
    </row>
    <row r="91" spans="1:14" x14ac:dyDescent="0.25">
      <c r="A91" s="158" t="s">
        <v>565</v>
      </c>
      <c r="B91" s="158" t="s">
        <v>304</v>
      </c>
      <c r="C91" s="158" t="s">
        <v>305</v>
      </c>
      <c r="D91" s="158" t="s">
        <v>564</v>
      </c>
      <c r="E91" s="160">
        <v>0</v>
      </c>
      <c r="F91" s="160">
        <v>17550800</v>
      </c>
      <c r="G91" s="160">
        <v>17550800</v>
      </c>
      <c r="H91" s="160">
        <v>0</v>
      </c>
      <c r="I91" s="160">
        <v>9070868.9499999993</v>
      </c>
      <c r="J91" s="160">
        <v>0</v>
      </c>
      <c r="K91" s="160">
        <v>0</v>
      </c>
      <c r="L91" s="160">
        <v>0</v>
      </c>
      <c r="M91" s="160">
        <v>8479931.0500000007</v>
      </c>
      <c r="N91" s="160">
        <v>8479931.0500000007</v>
      </c>
    </row>
    <row r="92" spans="1:14" x14ac:dyDescent="0.25">
      <c r="A92" s="158" t="s">
        <v>565</v>
      </c>
      <c r="B92" s="158" t="s">
        <v>300</v>
      </c>
      <c r="C92" s="158" t="s">
        <v>301</v>
      </c>
      <c r="D92" s="158" t="s">
        <v>566</v>
      </c>
      <c r="E92" s="160">
        <v>180000</v>
      </c>
      <c r="F92" s="160">
        <v>180000</v>
      </c>
      <c r="G92" s="160">
        <v>180000</v>
      </c>
      <c r="H92" s="160">
        <v>0</v>
      </c>
      <c r="I92" s="160">
        <v>0</v>
      </c>
      <c r="J92" s="160">
        <v>0</v>
      </c>
      <c r="K92" s="160">
        <v>129400</v>
      </c>
      <c r="L92" s="160">
        <v>129400</v>
      </c>
      <c r="M92" s="160">
        <v>50600</v>
      </c>
      <c r="N92" s="160">
        <v>50600</v>
      </c>
    </row>
    <row r="93" spans="1:14" x14ac:dyDescent="0.25">
      <c r="A93" s="158" t="s">
        <v>565</v>
      </c>
      <c r="B93" s="158" t="s">
        <v>302</v>
      </c>
      <c r="C93" s="158" t="s">
        <v>303</v>
      </c>
      <c r="D93" s="158" t="s">
        <v>566</v>
      </c>
      <c r="E93" s="160">
        <v>3290000</v>
      </c>
      <c r="F93" s="160">
        <v>3290000</v>
      </c>
      <c r="G93" s="160">
        <v>3290000</v>
      </c>
      <c r="H93" s="160">
        <v>0</v>
      </c>
      <c r="I93" s="160">
        <v>300000</v>
      </c>
      <c r="J93" s="160">
        <v>0</v>
      </c>
      <c r="K93" s="160">
        <v>2507480.9300000002</v>
      </c>
      <c r="L93" s="160">
        <v>2507480.9300000002</v>
      </c>
      <c r="M93" s="160">
        <v>482519.07</v>
      </c>
      <c r="N93" s="160">
        <v>482519.07</v>
      </c>
    </row>
    <row r="94" spans="1:14" x14ac:dyDescent="0.25">
      <c r="A94" s="158" t="s">
        <v>565</v>
      </c>
      <c r="B94" s="158" t="s">
        <v>304</v>
      </c>
      <c r="C94" s="158" t="s">
        <v>305</v>
      </c>
      <c r="D94" s="158" t="s">
        <v>566</v>
      </c>
      <c r="E94" s="160">
        <v>10826000</v>
      </c>
      <c r="F94" s="160">
        <v>8046000</v>
      </c>
      <c r="G94" s="160">
        <v>8046000</v>
      </c>
      <c r="H94" s="160">
        <v>0</v>
      </c>
      <c r="I94" s="160">
        <v>0</v>
      </c>
      <c r="J94" s="160">
        <v>0</v>
      </c>
      <c r="K94" s="160">
        <v>8004831.5599999996</v>
      </c>
      <c r="L94" s="160">
        <v>8004831.5599999996</v>
      </c>
      <c r="M94" s="160">
        <v>41168.44</v>
      </c>
      <c r="N94" s="160">
        <v>41168.44</v>
      </c>
    </row>
    <row r="95" spans="1:14" x14ac:dyDescent="0.25">
      <c r="A95" s="158" t="s">
        <v>565</v>
      </c>
      <c r="B95" s="158" t="s">
        <v>306</v>
      </c>
      <c r="C95" s="158" t="s">
        <v>307</v>
      </c>
      <c r="D95" s="158" t="s">
        <v>566</v>
      </c>
      <c r="E95" s="160">
        <v>480000</v>
      </c>
      <c r="F95" s="160">
        <v>480000</v>
      </c>
      <c r="G95" s="160">
        <v>480000</v>
      </c>
      <c r="H95" s="160">
        <v>0</v>
      </c>
      <c r="I95" s="160">
        <v>0</v>
      </c>
      <c r="J95" s="160">
        <v>0</v>
      </c>
      <c r="K95" s="160">
        <v>449679.6</v>
      </c>
      <c r="L95" s="160">
        <v>449679.6</v>
      </c>
      <c r="M95" s="160">
        <v>30320.400000000001</v>
      </c>
      <c r="N95" s="160">
        <v>30320.400000000001</v>
      </c>
    </row>
    <row r="96" spans="1:14" x14ac:dyDescent="0.25">
      <c r="A96" s="158" t="s">
        <v>565</v>
      </c>
      <c r="B96" s="158" t="s">
        <v>308</v>
      </c>
      <c r="C96" s="158" t="s">
        <v>309</v>
      </c>
      <c r="D96" s="158" t="s">
        <v>566</v>
      </c>
      <c r="E96" s="160">
        <v>460000</v>
      </c>
      <c r="F96" s="160">
        <v>460000</v>
      </c>
      <c r="G96" s="160">
        <v>460000</v>
      </c>
      <c r="H96" s="160">
        <v>0</v>
      </c>
      <c r="I96" s="160">
        <v>0</v>
      </c>
      <c r="J96" s="160">
        <v>0</v>
      </c>
      <c r="K96" s="160">
        <v>357005.45</v>
      </c>
      <c r="L96" s="160">
        <v>357005.45</v>
      </c>
      <c r="M96" s="160">
        <v>102994.55</v>
      </c>
      <c r="N96" s="160">
        <v>102994.55</v>
      </c>
    </row>
    <row r="97" spans="1:14" x14ac:dyDescent="0.25">
      <c r="A97" s="158" t="s">
        <v>565</v>
      </c>
      <c r="B97" s="158" t="s">
        <v>310</v>
      </c>
      <c r="C97" s="158" t="s">
        <v>311</v>
      </c>
      <c r="D97" s="158" t="s">
        <v>566</v>
      </c>
      <c r="E97" s="160">
        <v>200000</v>
      </c>
      <c r="F97" s="160">
        <v>200000</v>
      </c>
      <c r="G97" s="160">
        <v>200000</v>
      </c>
      <c r="H97" s="160">
        <v>0</v>
      </c>
      <c r="I97" s="160">
        <v>0</v>
      </c>
      <c r="J97" s="160">
        <v>0</v>
      </c>
      <c r="K97" s="160">
        <v>198000</v>
      </c>
      <c r="L97" s="160">
        <v>198000</v>
      </c>
      <c r="M97" s="160">
        <v>2000</v>
      </c>
      <c r="N97" s="160">
        <v>2000</v>
      </c>
    </row>
    <row r="98" spans="1:14" x14ac:dyDescent="0.25">
      <c r="A98" s="158" t="s">
        <v>565</v>
      </c>
      <c r="B98" s="158" t="s">
        <v>312</v>
      </c>
      <c r="C98" s="158" t="s">
        <v>313</v>
      </c>
      <c r="D98" s="158" t="s">
        <v>566</v>
      </c>
      <c r="E98" s="160">
        <v>2700000</v>
      </c>
      <c r="F98" s="160">
        <v>2700000</v>
      </c>
      <c r="G98" s="160">
        <v>2700000</v>
      </c>
      <c r="H98" s="160">
        <v>0</v>
      </c>
      <c r="I98" s="160">
        <v>82000</v>
      </c>
      <c r="J98" s="160">
        <v>0</v>
      </c>
      <c r="K98" s="160">
        <v>1793801.42</v>
      </c>
      <c r="L98" s="160">
        <v>1793801.42</v>
      </c>
      <c r="M98" s="160">
        <v>824198.58</v>
      </c>
      <c r="N98" s="160">
        <v>824198.58</v>
      </c>
    </row>
    <row r="99" spans="1:14" x14ac:dyDescent="0.25">
      <c r="A99" s="158" t="s">
        <v>565</v>
      </c>
      <c r="B99" s="158" t="s">
        <v>314</v>
      </c>
      <c r="C99" s="158" t="s">
        <v>315</v>
      </c>
      <c r="D99" s="158" t="s">
        <v>566</v>
      </c>
      <c r="E99" s="160">
        <v>20000000</v>
      </c>
      <c r="F99" s="160">
        <v>780000</v>
      </c>
      <c r="G99" s="160">
        <v>780000</v>
      </c>
      <c r="H99" s="160">
        <v>0</v>
      </c>
      <c r="I99" s="160">
        <v>0</v>
      </c>
      <c r="J99" s="160">
        <v>0</v>
      </c>
      <c r="K99" s="160">
        <v>0</v>
      </c>
      <c r="L99" s="160">
        <v>0</v>
      </c>
      <c r="M99" s="160">
        <v>780000</v>
      </c>
      <c r="N99" s="160">
        <v>780000</v>
      </c>
    </row>
    <row r="100" spans="1:14" x14ac:dyDescent="0.25">
      <c r="A100" s="158" t="s">
        <v>565</v>
      </c>
      <c r="B100" s="158" t="s">
        <v>316</v>
      </c>
      <c r="C100" s="158" t="s">
        <v>317</v>
      </c>
      <c r="D100" s="158" t="s">
        <v>566</v>
      </c>
      <c r="E100" s="160">
        <v>20000000</v>
      </c>
      <c r="F100" s="160">
        <v>780000</v>
      </c>
      <c r="G100" s="160">
        <v>780000</v>
      </c>
      <c r="H100" s="160">
        <v>0</v>
      </c>
      <c r="I100" s="160">
        <v>0</v>
      </c>
      <c r="J100" s="160">
        <v>0</v>
      </c>
      <c r="K100" s="160">
        <v>0</v>
      </c>
      <c r="L100" s="160">
        <v>0</v>
      </c>
      <c r="M100" s="160">
        <v>780000</v>
      </c>
      <c r="N100" s="160">
        <v>780000</v>
      </c>
    </row>
    <row r="101" spans="1:14" x14ac:dyDescent="0.25">
      <c r="A101" s="158" t="s">
        <v>565</v>
      </c>
      <c r="B101" s="158" t="s">
        <v>266</v>
      </c>
      <c r="C101" s="158" t="s">
        <v>267</v>
      </c>
      <c r="D101" s="158" t="s">
        <v>564</v>
      </c>
      <c r="E101" s="160">
        <v>1323357000</v>
      </c>
      <c r="F101" s="160">
        <v>763501306</v>
      </c>
      <c r="G101" s="160">
        <v>763501305.97000003</v>
      </c>
      <c r="H101" s="160">
        <v>0</v>
      </c>
      <c r="I101" s="160">
        <v>0</v>
      </c>
      <c r="J101" s="160">
        <v>0</v>
      </c>
      <c r="K101" s="160">
        <v>600783462.12</v>
      </c>
      <c r="L101" s="160">
        <v>600405634.12</v>
      </c>
      <c r="M101" s="160">
        <v>162717843.88</v>
      </c>
      <c r="N101" s="160">
        <v>162717843.84999999</v>
      </c>
    </row>
    <row r="102" spans="1:14" x14ac:dyDescent="0.25">
      <c r="A102" s="158" t="s">
        <v>565</v>
      </c>
      <c r="B102" s="158" t="s">
        <v>268</v>
      </c>
      <c r="C102" s="158" t="s">
        <v>269</v>
      </c>
      <c r="D102" s="158" t="s">
        <v>564</v>
      </c>
      <c r="E102" s="160">
        <v>1013868000</v>
      </c>
      <c r="F102" s="160">
        <v>413522003</v>
      </c>
      <c r="G102" s="160">
        <v>413522002.97000003</v>
      </c>
      <c r="H102" s="160">
        <v>0</v>
      </c>
      <c r="I102" s="160">
        <v>0</v>
      </c>
      <c r="J102" s="160">
        <v>0</v>
      </c>
      <c r="K102" s="160">
        <v>253444816.53999999</v>
      </c>
      <c r="L102" s="160">
        <v>253444816.53999999</v>
      </c>
      <c r="M102" s="160">
        <v>160077186.46000001</v>
      </c>
      <c r="N102" s="160">
        <v>160077186.43000001</v>
      </c>
    </row>
    <row r="103" spans="1:14" x14ac:dyDescent="0.25">
      <c r="A103" s="158" t="s">
        <v>565</v>
      </c>
      <c r="B103" s="158" t="s">
        <v>270</v>
      </c>
      <c r="C103" s="158" t="s">
        <v>271</v>
      </c>
      <c r="D103" s="158" t="s">
        <v>564</v>
      </c>
      <c r="E103" s="160">
        <v>2000000</v>
      </c>
      <c r="F103" s="160">
        <v>2000000</v>
      </c>
      <c r="G103" s="160">
        <v>2000000</v>
      </c>
      <c r="H103" s="160">
        <v>0</v>
      </c>
      <c r="I103" s="160">
        <v>0</v>
      </c>
      <c r="J103" s="160">
        <v>0</v>
      </c>
      <c r="K103" s="160">
        <v>2000000</v>
      </c>
      <c r="L103" s="160">
        <v>2000000</v>
      </c>
      <c r="M103" s="160">
        <v>0</v>
      </c>
      <c r="N103" s="160">
        <v>0</v>
      </c>
    </row>
    <row r="104" spans="1:14" x14ac:dyDescent="0.25">
      <c r="A104" s="158" t="s">
        <v>565</v>
      </c>
      <c r="B104" s="158" t="s">
        <v>272</v>
      </c>
      <c r="C104" s="158" t="s">
        <v>273</v>
      </c>
      <c r="D104" s="158" t="s">
        <v>564</v>
      </c>
      <c r="E104" s="160">
        <v>1001500000</v>
      </c>
      <c r="F104" s="160">
        <v>401500000</v>
      </c>
      <c r="G104" s="160">
        <v>401499999.97000003</v>
      </c>
      <c r="H104" s="160">
        <v>0</v>
      </c>
      <c r="I104" s="160">
        <v>0</v>
      </c>
      <c r="J104" s="160">
        <v>0</v>
      </c>
      <c r="K104" s="160">
        <v>242138876.53999999</v>
      </c>
      <c r="L104" s="160">
        <v>242138876.53999999</v>
      </c>
      <c r="M104" s="160">
        <v>159361123.46000001</v>
      </c>
      <c r="N104" s="160">
        <v>159361123.43000001</v>
      </c>
    </row>
    <row r="105" spans="1:14" x14ac:dyDescent="0.25">
      <c r="A105" s="158" t="s">
        <v>565</v>
      </c>
      <c r="B105" s="158" t="s">
        <v>274</v>
      </c>
      <c r="C105" s="158" t="s">
        <v>275</v>
      </c>
      <c r="D105" s="158" t="s">
        <v>564</v>
      </c>
      <c r="E105" s="160">
        <v>7245000</v>
      </c>
      <c r="F105" s="160">
        <v>7003219</v>
      </c>
      <c r="G105" s="160">
        <v>7003219</v>
      </c>
      <c r="H105" s="160">
        <v>0</v>
      </c>
      <c r="I105" s="160">
        <v>0</v>
      </c>
      <c r="J105" s="160">
        <v>0</v>
      </c>
      <c r="K105" s="160">
        <v>6502948</v>
      </c>
      <c r="L105" s="160">
        <v>6502948</v>
      </c>
      <c r="M105" s="160">
        <v>500271</v>
      </c>
      <c r="N105" s="160">
        <v>500271</v>
      </c>
    </row>
    <row r="106" spans="1:14" x14ac:dyDescent="0.25">
      <c r="A106" s="158" t="s">
        <v>565</v>
      </c>
      <c r="B106" s="158" t="s">
        <v>276</v>
      </c>
      <c r="C106" s="158" t="s">
        <v>277</v>
      </c>
      <c r="D106" s="158" t="s">
        <v>564</v>
      </c>
      <c r="E106" s="160">
        <v>3123000</v>
      </c>
      <c r="F106" s="160">
        <v>3018784</v>
      </c>
      <c r="G106" s="160">
        <v>3018784</v>
      </c>
      <c r="H106" s="160">
        <v>0</v>
      </c>
      <c r="I106" s="160">
        <v>0</v>
      </c>
      <c r="J106" s="160">
        <v>0</v>
      </c>
      <c r="K106" s="160">
        <v>2802992</v>
      </c>
      <c r="L106" s="160">
        <v>2802992</v>
      </c>
      <c r="M106" s="160">
        <v>215792</v>
      </c>
      <c r="N106" s="160">
        <v>215792</v>
      </c>
    </row>
    <row r="107" spans="1:14" x14ac:dyDescent="0.25">
      <c r="A107" s="158" t="s">
        <v>565</v>
      </c>
      <c r="B107" s="158" t="s">
        <v>278</v>
      </c>
      <c r="C107" s="158" t="s">
        <v>279</v>
      </c>
      <c r="D107" s="158" t="s">
        <v>564</v>
      </c>
      <c r="E107" s="160">
        <v>14000000</v>
      </c>
      <c r="F107" s="160">
        <v>26815185</v>
      </c>
      <c r="G107" s="160">
        <v>26815185</v>
      </c>
      <c r="H107" s="160">
        <v>0</v>
      </c>
      <c r="I107" s="160">
        <v>0</v>
      </c>
      <c r="J107" s="160">
        <v>0</v>
      </c>
      <c r="K107" s="160">
        <v>24258124.620000001</v>
      </c>
      <c r="L107" s="160">
        <v>23880296.620000001</v>
      </c>
      <c r="M107" s="160">
        <v>2557060.38</v>
      </c>
      <c r="N107" s="160">
        <v>2557060.38</v>
      </c>
    </row>
    <row r="108" spans="1:14" x14ac:dyDescent="0.25">
      <c r="A108" s="158" t="s">
        <v>565</v>
      </c>
      <c r="B108" s="158" t="s">
        <v>280</v>
      </c>
      <c r="C108" s="158" t="s">
        <v>281</v>
      </c>
      <c r="D108" s="158" t="s">
        <v>564</v>
      </c>
      <c r="E108" s="160">
        <v>8000000</v>
      </c>
      <c r="F108" s="160">
        <v>20815185</v>
      </c>
      <c r="G108" s="160">
        <v>20815185</v>
      </c>
      <c r="H108" s="160">
        <v>0</v>
      </c>
      <c r="I108" s="160">
        <v>0</v>
      </c>
      <c r="J108" s="160">
        <v>0</v>
      </c>
      <c r="K108" s="160">
        <v>18737070.120000001</v>
      </c>
      <c r="L108" s="160">
        <v>18737070.120000001</v>
      </c>
      <c r="M108" s="160">
        <v>2078114.88</v>
      </c>
      <c r="N108" s="160">
        <v>2078114.88</v>
      </c>
    </row>
    <row r="109" spans="1:14" x14ac:dyDescent="0.25">
      <c r="A109" s="158" t="s">
        <v>565</v>
      </c>
      <c r="B109" s="158" t="s">
        <v>282</v>
      </c>
      <c r="C109" s="158" t="s">
        <v>283</v>
      </c>
      <c r="D109" s="158" t="s">
        <v>564</v>
      </c>
      <c r="E109" s="160">
        <v>6000000</v>
      </c>
      <c r="F109" s="160">
        <v>6000000</v>
      </c>
      <c r="G109" s="160">
        <v>6000000</v>
      </c>
      <c r="H109" s="160">
        <v>0</v>
      </c>
      <c r="I109" s="160">
        <v>0</v>
      </c>
      <c r="J109" s="160">
        <v>0</v>
      </c>
      <c r="K109" s="160">
        <v>5521054.5</v>
      </c>
      <c r="L109" s="160">
        <v>5143226.5</v>
      </c>
      <c r="M109" s="160">
        <v>478945.5</v>
      </c>
      <c r="N109" s="160">
        <v>478945.5</v>
      </c>
    </row>
    <row r="110" spans="1:14" x14ac:dyDescent="0.25">
      <c r="A110" s="158" t="s">
        <v>565</v>
      </c>
      <c r="B110" s="158" t="s">
        <v>284</v>
      </c>
      <c r="C110" s="158" t="s">
        <v>285</v>
      </c>
      <c r="D110" s="158" t="s">
        <v>564</v>
      </c>
      <c r="E110" s="160">
        <v>3000000</v>
      </c>
      <c r="F110" s="160">
        <v>0</v>
      </c>
      <c r="G110" s="160">
        <v>0</v>
      </c>
      <c r="H110" s="160">
        <v>0</v>
      </c>
      <c r="I110" s="160">
        <v>0</v>
      </c>
      <c r="J110" s="160">
        <v>0</v>
      </c>
      <c r="K110" s="160">
        <v>0</v>
      </c>
      <c r="L110" s="160">
        <v>0</v>
      </c>
      <c r="M110" s="160">
        <v>0</v>
      </c>
      <c r="N110" s="160">
        <v>0</v>
      </c>
    </row>
    <row r="111" spans="1:14" x14ac:dyDescent="0.25">
      <c r="A111" s="158" t="s">
        <v>565</v>
      </c>
      <c r="B111" s="158" t="s">
        <v>286</v>
      </c>
      <c r="C111" s="158" t="s">
        <v>287</v>
      </c>
      <c r="D111" s="158" t="s">
        <v>564</v>
      </c>
      <c r="E111" s="160">
        <v>1500000</v>
      </c>
      <c r="F111" s="160">
        <v>0</v>
      </c>
      <c r="G111" s="160">
        <v>0</v>
      </c>
      <c r="H111" s="160">
        <v>0</v>
      </c>
      <c r="I111" s="160">
        <v>0</v>
      </c>
      <c r="J111" s="160">
        <v>0</v>
      </c>
      <c r="K111" s="160">
        <v>0</v>
      </c>
      <c r="L111" s="160">
        <v>0</v>
      </c>
      <c r="M111" s="160">
        <v>0</v>
      </c>
      <c r="N111" s="160">
        <v>0</v>
      </c>
    </row>
    <row r="112" spans="1:14" x14ac:dyDescent="0.25">
      <c r="A112" s="158" t="s">
        <v>565</v>
      </c>
      <c r="B112" s="158" t="s">
        <v>288</v>
      </c>
      <c r="C112" s="158" t="s">
        <v>289</v>
      </c>
      <c r="D112" s="158" t="s">
        <v>564</v>
      </c>
      <c r="E112" s="160">
        <v>1500000</v>
      </c>
      <c r="F112" s="160">
        <v>0</v>
      </c>
      <c r="G112" s="160">
        <v>0</v>
      </c>
      <c r="H112" s="160">
        <v>0</v>
      </c>
      <c r="I112" s="160">
        <v>0</v>
      </c>
      <c r="J112" s="160">
        <v>0</v>
      </c>
      <c r="K112" s="160">
        <v>0</v>
      </c>
      <c r="L112" s="160">
        <v>0</v>
      </c>
      <c r="M112" s="160">
        <v>0</v>
      </c>
      <c r="N112" s="160">
        <v>0</v>
      </c>
    </row>
    <row r="113" spans="1:14" x14ac:dyDescent="0.25">
      <c r="A113" s="158" t="s">
        <v>565</v>
      </c>
      <c r="B113" s="158" t="s">
        <v>290</v>
      </c>
      <c r="C113" s="158" t="s">
        <v>291</v>
      </c>
      <c r="D113" s="158" t="s">
        <v>564</v>
      </c>
      <c r="E113" s="160">
        <v>292489000</v>
      </c>
      <c r="F113" s="160">
        <v>323164118</v>
      </c>
      <c r="G113" s="160">
        <v>323164118</v>
      </c>
      <c r="H113" s="160">
        <v>0</v>
      </c>
      <c r="I113" s="160">
        <v>0</v>
      </c>
      <c r="J113" s="160">
        <v>0</v>
      </c>
      <c r="K113" s="160">
        <v>323080520.95999998</v>
      </c>
      <c r="L113" s="160">
        <v>323080520.95999998</v>
      </c>
      <c r="M113" s="160">
        <v>83597.039999999994</v>
      </c>
      <c r="N113" s="160">
        <v>83597.039999999994</v>
      </c>
    </row>
    <row r="114" spans="1:14" x14ac:dyDescent="0.25">
      <c r="A114" s="158" t="s">
        <v>565</v>
      </c>
      <c r="B114" s="158" t="s">
        <v>425</v>
      </c>
      <c r="C114" s="158" t="s">
        <v>588</v>
      </c>
      <c r="D114" s="158" t="s">
        <v>564</v>
      </c>
      <c r="E114" s="160">
        <v>0</v>
      </c>
      <c r="F114" s="160">
        <v>0</v>
      </c>
      <c r="G114" s="160">
        <v>0</v>
      </c>
      <c r="H114" s="160">
        <v>0</v>
      </c>
      <c r="I114" s="160">
        <v>0</v>
      </c>
      <c r="J114" s="160">
        <v>0</v>
      </c>
      <c r="K114" s="160">
        <v>0</v>
      </c>
      <c r="L114" s="160">
        <v>0</v>
      </c>
      <c r="M114" s="160">
        <v>0</v>
      </c>
      <c r="N114" s="160">
        <v>0</v>
      </c>
    </row>
    <row r="115" spans="1:14" x14ac:dyDescent="0.25">
      <c r="A115" s="158" t="s">
        <v>565</v>
      </c>
      <c r="B115" s="158" t="s">
        <v>292</v>
      </c>
      <c r="C115" s="158" t="s">
        <v>293</v>
      </c>
      <c r="D115" s="158" t="s">
        <v>564</v>
      </c>
      <c r="E115" s="160">
        <v>289489000</v>
      </c>
      <c r="F115" s="160">
        <v>318404118</v>
      </c>
      <c r="G115" s="160">
        <v>318404118</v>
      </c>
      <c r="H115" s="160">
        <v>0</v>
      </c>
      <c r="I115" s="160">
        <v>0</v>
      </c>
      <c r="J115" s="160">
        <v>0</v>
      </c>
      <c r="K115" s="160">
        <v>318404118</v>
      </c>
      <c r="L115" s="160">
        <v>318404118</v>
      </c>
      <c r="M115" s="160">
        <v>0</v>
      </c>
      <c r="N115" s="160">
        <v>0</v>
      </c>
    </row>
    <row r="116" spans="1:14" x14ac:dyDescent="0.25">
      <c r="A116" s="158" t="s">
        <v>565</v>
      </c>
      <c r="B116" s="158" t="s">
        <v>591</v>
      </c>
      <c r="C116" s="158" t="s">
        <v>592</v>
      </c>
      <c r="D116" s="158" t="s">
        <v>564</v>
      </c>
      <c r="E116" s="160">
        <v>0</v>
      </c>
      <c r="F116" s="160">
        <v>1760000</v>
      </c>
      <c r="G116" s="160">
        <v>1760000</v>
      </c>
      <c r="H116" s="160">
        <v>0</v>
      </c>
      <c r="I116" s="160">
        <v>0</v>
      </c>
      <c r="J116" s="160">
        <v>0</v>
      </c>
      <c r="K116" s="160">
        <v>1678336.41</v>
      </c>
      <c r="L116" s="160">
        <v>1678336.41</v>
      </c>
      <c r="M116" s="160">
        <v>81663.59</v>
      </c>
      <c r="N116" s="160">
        <v>81663.59</v>
      </c>
    </row>
    <row r="117" spans="1:14" x14ac:dyDescent="0.25">
      <c r="A117" s="158" t="s">
        <v>565</v>
      </c>
      <c r="B117" s="158" t="s">
        <v>294</v>
      </c>
      <c r="C117" s="158" t="s">
        <v>295</v>
      </c>
      <c r="D117" s="158" t="s">
        <v>564</v>
      </c>
      <c r="E117" s="160">
        <v>3000000</v>
      </c>
      <c r="F117" s="160">
        <v>3000000</v>
      </c>
      <c r="G117" s="160">
        <v>3000000</v>
      </c>
      <c r="H117" s="160">
        <v>0</v>
      </c>
      <c r="I117" s="160">
        <v>0</v>
      </c>
      <c r="J117" s="160">
        <v>0</v>
      </c>
      <c r="K117" s="160">
        <v>2998066.55</v>
      </c>
      <c r="L117" s="160">
        <v>2998066.55</v>
      </c>
      <c r="M117" s="160">
        <v>1933.45</v>
      </c>
      <c r="N117" s="160">
        <v>1933.45</v>
      </c>
    </row>
    <row r="118" spans="1:14" s="65" customFormat="1" x14ac:dyDescent="0.25">
      <c r="A118" s="176">
        <v>214780</v>
      </c>
      <c r="B118" s="176"/>
      <c r="C118" s="176"/>
      <c r="D118" s="176" t="s">
        <v>564</v>
      </c>
      <c r="E118" s="177">
        <v>907489000</v>
      </c>
      <c r="F118" s="177">
        <v>874784347</v>
      </c>
      <c r="G118" s="177">
        <v>874774347</v>
      </c>
      <c r="H118" s="177">
        <v>0</v>
      </c>
      <c r="I118" s="177">
        <v>4725976.55</v>
      </c>
      <c r="J118" s="177">
        <v>0</v>
      </c>
      <c r="K118" s="177">
        <v>786800693.20000005</v>
      </c>
      <c r="L118" s="177">
        <v>656321518.59000003</v>
      </c>
      <c r="M118" s="177">
        <v>83257677.25</v>
      </c>
      <c r="N118" s="177">
        <v>83247677.25</v>
      </c>
    </row>
    <row r="119" spans="1:14" x14ac:dyDescent="0.25">
      <c r="A119" s="158" t="s">
        <v>567</v>
      </c>
      <c r="B119" s="158" t="s">
        <v>100</v>
      </c>
      <c r="C119" s="158" t="s">
        <v>101</v>
      </c>
      <c r="D119" s="158" t="s">
        <v>564</v>
      </c>
      <c r="E119" s="160">
        <v>717118000</v>
      </c>
      <c r="F119" s="160">
        <v>686110221</v>
      </c>
      <c r="G119" s="160">
        <v>686100221</v>
      </c>
      <c r="H119" s="160">
        <v>0</v>
      </c>
      <c r="I119" s="160">
        <v>0</v>
      </c>
      <c r="J119" s="160">
        <v>0</v>
      </c>
      <c r="K119" s="160">
        <v>656080884.82000005</v>
      </c>
      <c r="L119" s="160">
        <v>546229702.36000001</v>
      </c>
      <c r="M119" s="160">
        <v>30029336.18</v>
      </c>
      <c r="N119" s="160">
        <v>30019336.18</v>
      </c>
    </row>
    <row r="120" spans="1:14" x14ac:dyDescent="0.25">
      <c r="A120" s="158" t="s">
        <v>567</v>
      </c>
      <c r="B120" s="158" t="s">
        <v>102</v>
      </c>
      <c r="C120" s="158" t="s">
        <v>103</v>
      </c>
      <c r="D120" s="158" t="s">
        <v>564</v>
      </c>
      <c r="E120" s="160">
        <v>295767000</v>
      </c>
      <c r="F120" s="160">
        <v>293282100</v>
      </c>
      <c r="G120" s="160">
        <v>293272100</v>
      </c>
      <c r="H120" s="160">
        <v>0</v>
      </c>
      <c r="I120" s="160">
        <v>0</v>
      </c>
      <c r="J120" s="160">
        <v>0</v>
      </c>
      <c r="K120" s="160">
        <v>280304220.88</v>
      </c>
      <c r="L120" s="160">
        <v>236878614.81999999</v>
      </c>
      <c r="M120" s="160">
        <v>12977879.119999999</v>
      </c>
      <c r="N120" s="160">
        <v>12967879.119999999</v>
      </c>
    </row>
    <row r="121" spans="1:14" x14ac:dyDescent="0.25">
      <c r="A121" s="158" t="s">
        <v>567</v>
      </c>
      <c r="B121" s="158" t="s">
        <v>104</v>
      </c>
      <c r="C121" s="158" t="s">
        <v>105</v>
      </c>
      <c r="D121" s="158" t="s">
        <v>564</v>
      </c>
      <c r="E121" s="160">
        <v>295767000</v>
      </c>
      <c r="F121" s="160">
        <v>293282100</v>
      </c>
      <c r="G121" s="160">
        <v>293272100</v>
      </c>
      <c r="H121" s="160">
        <v>0</v>
      </c>
      <c r="I121" s="160">
        <v>0</v>
      </c>
      <c r="J121" s="160">
        <v>0</v>
      </c>
      <c r="K121" s="160">
        <v>280304220.88</v>
      </c>
      <c r="L121" s="160">
        <v>236878614.81999999</v>
      </c>
      <c r="M121" s="160">
        <v>12977879.119999999</v>
      </c>
      <c r="N121" s="160">
        <v>12967879.119999999</v>
      </c>
    </row>
    <row r="122" spans="1:14" x14ac:dyDescent="0.25">
      <c r="A122" s="158" t="s">
        <v>567</v>
      </c>
      <c r="B122" s="158" t="s">
        <v>106</v>
      </c>
      <c r="C122" s="158" t="s">
        <v>107</v>
      </c>
      <c r="D122" s="158" t="s">
        <v>564</v>
      </c>
      <c r="E122" s="160">
        <v>500000</v>
      </c>
      <c r="F122" s="160">
        <v>500000</v>
      </c>
      <c r="G122" s="160">
        <v>500000</v>
      </c>
      <c r="H122" s="160">
        <v>0</v>
      </c>
      <c r="I122" s="160">
        <v>0</v>
      </c>
      <c r="J122" s="160">
        <v>0</v>
      </c>
      <c r="K122" s="160">
        <v>0</v>
      </c>
      <c r="L122" s="160">
        <v>0</v>
      </c>
      <c r="M122" s="160">
        <v>500000</v>
      </c>
      <c r="N122" s="160">
        <v>500000</v>
      </c>
    </row>
    <row r="123" spans="1:14" x14ac:dyDescent="0.25">
      <c r="A123" s="158" t="s">
        <v>567</v>
      </c>
      <c r="B123" s="158" t="s">
        <v>108</v>
      </c>
      <c r="C123" s="158" t="s">
        <v>109</v>
      </c>
      <c r="D123" s="158" t="s">
        <v>564</v>
      </c>
      <c r="E123" s="160">
        <v>500000</v>
      </c>
      <c r="F123" s="160">
        <v>500000</v>
      </c>
      <c r="G123" s="160">
        <v>500000</v>
      </c>
      <c r="H123" s="160">
        <v>0</v>
      </c>
      <c r="I123" s="160">
        <v>0</v>
      </c>
      <c r="J123" s="160">
        <v>0</v>
      </c>
      <c r="K123" s="160">
        <v>0</v>
      </c>
      <c r="L123" s="160">
        <v>0</v>
      </c>
      <c r="M123" s="160">
        <v>500000</v>
      </c>
      <c r="N123" s="160">
        <v>500000</v>
      </c>
    </row>
    <row r="124" spans="1:14" x14ac:dyDescent="0.25">
      <c r="A124" s="158" t="s">
        <v>567</v>
      </c>
      <c r="B124" s="158" t="s">
        <v>110</v>
      </c>
      <c r="C124" s="158" t="s">
        <v>111</v>
      </c>
      <c r="D124" s="158" t="s">
        <v>564</v>
      </c>
      <c r="E124" s="160">
        <v>312461000</v>
      </c>
      <c r="F124" s="160">
        <v>288961000</v>
      </c>
      <c r="G124" s="160">
        <v>288961000</v>
      </c>
      <c r="H124" s="160">
        <v>0</v>
      </c>
      <c r="I124" s="160">
        <v>0</v>
      </c>
      <c r="J124" s="160">
        <v>0</v>
      </c>
      <c r="K124" s="160">
        <v>278994953.94</v>
      </c>
      <c r="L124" s="160">
        <v>212569377.53999999</v>
      </c>
      <c r="M124" s="160">
        <v>9966046.0600000005</v>
      </c>
      <c r="N124" s="160">
        <v>9966046.0600000005</v>
      </c>
    </row>
    <row r="125" spans="1:14" x14ac:dyDescent="0.25">
      <c r="A125" s="158" t="s">
        <v>567</v>
      </c>
      <c r="B125" s="158" t="s">
        <v>112</v>
      </c>
      <c r="C125" s="158" t="s">
        <v>113</v>
      </c>
      <c r="D125" s="158" t="s">
        <v>564</v>
      </c>
      <c r="E125" s="160">
        <v>52424000</v>
      </c>
      <c r="F125" s="160">
        <v>52424000</v>
      </c>
      <c r="G125" s="160">
        <v>52424000</v>
      </c>
      <c r="H125" s="160">
        <v>0</v>
      </c>
      <c r="I125" s="160">
        <v>0</v>
      </c>
      <c r="J125" s="160">
        <v>0</v>
      </c>
      <c r="K125" s="160">
        <v>52188994.140000001</v>
      </c>
      <c r="L125" s="160">
        <v>43975329.93</v>
      </c>
      <c r="M125" s="160">
        <v>235005.86</v>
      </c>
      <c r="N125" s="160">
        <v>235005.86</v>
      </c>
    </row>
    <row r="126" spans="1:14" x14ac:dyDescent="0.25">
      <c r="A126" s="158" t="s">
        <v>567</v>
      </c>
      <c r="B126" s="158" t="s">
        <v>114</v>
      </c>
      <c r="C126" s="158" t="s">
        <v>115</v>
      </c>
      <c r="D126" s="158" t="s">
        <v>564</v>
      </c>
      <c r="E126" s="160">
        <v>147239000</v>
      </c>
      <c r="F126" s="160">
        <v>128239000</v>
      </c>
      <c r="G126" s="160">
        <v>128239000</v>
      </c>
      <c r="H126" s="160">
        <v>0</v>
      </c>
      <c r="I126" s="160">
        <v>0</v>
      </c>
      <c r="J126" s="160">
        <v>0</v>
      </c>
      <c r="K126" s="160">
        <v>126508660.73999999</v>
      </c>
      <c r="L126" s="160">
        <v>107406827.98</v>
      </c>
      <c r="M126" s="160">
        <v>1730339.26</v>
      </c>
      <c r="N126" s="160">
        <v>1730339.26</v>
      </c>
    </row>
    <row r="127" spans="1:14" x14ac:dyDescent="0.25">
      <c r="A127" s="158" t="s">
        <v>567</v>
      </c>
      <c r="B127" s="158" t="s">
        <v>116</v>
      </c>
      <c r="C127" s="158" t="s">
        <v>117</v>
      </c>
      <c r="D127" s="158" t="s">
        <v>564</v>
      </c>
      <c r="E127" s="160">
        <v>39000000</v>
      </c>
      <c r="F127" s="160">
        <v>36300000</v>
      </c>
      <c r="G127" s="160">
        <v>36300000</v>
      </c>
      <c r="H127" s="160">
        <v>0</v>
      </c>
      <c r="I127" s="160">
        <v>0</v>
      </c>
      <c r="J127" s="160">
        <v>0</v>
      </c>
      <c r="K127" s="160">
        <v>35395982.289999999</v>
      </c>
      <c r="L127" s="160">
        <v>0</v>
      </c>
      <c r="M127" s="160">
        <v>904017.71</v>
      </c>
      <c r="N127" s="160">
        <v>904017.71</v>
      </c>
    </row>
    <row r="128" spans="1:14" x14ac:dyDescent="0.25">
      <c r="A128" s="158" t="s">
        <v>567</v>
      </c>
      <c r="B128" s="158" t="s">
        <v>118</v>
      </c>
      <c r="C128" s="158" t="s">
        <v>119</v>
      </c>
      <c r="D128" s="158" t="s">
        <v>564</v>
      </c>
      <c r="E128" s="160">
        <v>25798000</v>
      </c>
      <c r="F128" s="160">
        <v>23998000</v>
      </c>
      <c r="G128" s="160">
        <v>23998000</v>
      </c>
      <c r="H128" s="160">
        <v>0</v>
      </c>
      <c r="I128" s="160">
        <v>0</v>
      </c>
      <c r="J128" s="160">
        <v>0</v>
      </c>
      <c r="K128" s="160">
        <v>23096285.129999999</v>
      </c>
      <c r="L128" s="160">
        <v>19382187.989999998</v>
      </c>
      <c r="M128" s="160">
        <v>901714.87</v>
      </c>
      <c r="N128" s="160">
        <v>901714.87</v>
      </c>
    </row>
    <row r="129" spans="1:14" x14ac:dyDescent="0.25">
      <c r="A129" s="158" t="s">
        <v>567</v>
      </c>
      <c r="B129" s="158" t="s">
        <v>120</v>
      </c>
      <c r="C129" s="158" t="s">
        <v>121</v>
      </c>
      <c r="D129" s="158" t="s">
        <v>566</v>
      </c>
      <c r="E129" s="160">
        <v>48000000</v>
      </c>
      <c r="F129" s="160">
        <v>48000000</v>
      </c>
      <c r="G129" s="160">
        <v>48000000</v>
      </c>
      <c r="H129" s="160">
        <v>0</v>
      </c>
      <c r="I129" s="160">
        <v>0</v>
      </c>
      <c r="J129" s="160">
        <v>0</v>
      </c>
      <c r="K129" s="160">
        <v>41805031.640000001</v>
      </c>
      <c r="L129" s="160">
        <v>41805031.640000001</v>
      </c>
      <c r="M129" s="160">
        <v>6194968.3600000003</v>
      </c>
      <c r="N129" s="160">
        <v>6194968.3600000003</v>
      </c>
    </row>
    <row r="130" spans="1:14" x14ac:dyDescent="0.25">
      <c r="A130" s="158" t="s">
        <v>567</v>
      </c>
      <c r="B130" s="158" t="s">
        <v>122</v>
      </c>
      <c r="C130" s="158" t="s">
        <v>123</v>
      </c>
      <c r="D130" s="158" t="s">
        <v>564</v>
      </c>
      <c r="E130" s="160">
        <v>54672000</v>
      </c>
      <c r="F130" s="160">
        <v>52138473</v>
      </c>
      <c r="G130" s="160">
        <v>52138473</v>
      </c>
      <c r="H130" s="160">
        <v>0</v>
      </c>
      <c r="I130" s="160">
        <v>0</v>
      </c>
      <c r="J130" s="160">
        <v>0</v>
      </c>
      <c r="K130" s="160">
        <v>48814713</v>
      </c>
      <c r="L130" s="160">
        <v>48814713</v>
      </c>
      <c r="M130" s="160">
        <v>3323760</v>
      </c>
      <c r="N130" s="160">
        <v>3323760</v>
      </c>
    </row>
    <row r="131" spans="1:14" x14ac:dyDescent="0.25">
      <c r="A131" s="158" t="s">
        <v>567</v>
      </c>
      <c r="B131" s="158" t="s">
        <v>318</v>
      </c>
      <c r="C131" s="158" t="s">
        <v>125</v>
      </c>
      <c r="D131" s="158" t="s">
        <v>564</v>
      </c>
      <c r="E131" s="160">
        <v>51868000</v>
      </c>
      <c r="F131" s="160">
        <v>49464397</v>
      </c>
      <c r="G131" s="160">
        <v>49464397</v>
      </c>
      <c r="H131" s="160">
        <v>0</v>
      </c>
      <c r="I131" s="160">
        <v>0</v>
      </c>
      <c r="J131" s="160">
        <v>0</v>
      </c>
      <c r="K131" s="160">
        <v>46311575</v>
      </c>
      <c r="L131" s="160">
        <v>46311575</v>
      </c>
      <c r="M131" s="160">
        <v>3152822</v>
      </c>
      <c r="N131" s="160">
        <v>3152822</v>
      </c>
    </row>
    <row r="132" spans="1:14" x14ac:dyDescent="0.25">
      <c r="A132" s="158" t="s">
        <v>567</v>
      </c>
      <c r="B132" s="158" t="s">
        <v>319</v>
      </c>
      <c r="C132" s="158" t="s">
        <v>127</v>
      </c>
      <c r="D132" s="158" t="s">
        <v>564</v>
      </c>
      <c r="E132" s="160">
        <v>2804000</v>
      </c>
      <c r="F132" s="160">
        <v>2674076</v>
      </c>
      <c r="G132" s="160">
        <v>2674076</v>
      </c>
      <c r="H132" s="160">
        <v>0</v>
      </c>
      <c r="I132" s="160">
        <v>0</v>
      </c>
      <c r="J132" s="160">
        <v>0</v>
      </c>
      <c r="K132" s="160">
        <v>2503138</v>
      </c>
      <c r="L132" s="160">
        <v>2503138</v>
      </c>
      <c r="M132" s="160">
        <v>170938</v>
      </c>
      <c r="N132" s="160">
        <v>170938</v>
      </c>
    </row>
    <row r="133" spans="1:14" x14ac:dyDescent="0.25">
      <c r="A133" s="158" t="s">
        <v>567</v>
      </c>
      <c r="B133" s="158" t="s">
        <v>128</v>
      </c>
      <c r="C133" s="158" t="s">
        <v>129</v>
      </c>
      <c r="D133" s="158" t="s">
        <v>564</v>
      </c>
      <c r="E133" s="160">
        <v>53718000</v>
      </c>
      <c r="F133" s="160">
        <v>51228648</v>
      </c>
      <c r="G133" s="160">
        <v>51228648</v>
      </c>
      <c r="H133" s="160">
        <v>0</v>
      </c>
      <c r="I133" s="160">
        <v>0</v>
      </c>
      <c r="J133" s="160">
        <v>0</v>
      </c>
      <c r="K133" s="160">
        <v>47966997</v>
      </c>
      <c r="L133" s="160">
        <v>47966997</v>
      </c>
      <c r="M133" s="160">
        <v>3261651</v>
      </c>
      <c r="N133" s="160">
        <v>3261651</v>
      </c>
    </row>
    <row r="134" spans="1:14" x14ac:dyDescent="0.25">
      <c r="A134" s="158" t="s">
        <v>567</v>
      </c>
      <c r="B134" s="158" t="s">
        <v>320</v>
      </c>
      <c r="C134" s="158" t="s">
        <v>131</v>
      </c>
      <c r="D134" s="158" t="s">
        <v>564</v>
      </c>
      <c r="E134" s="160">
        <v>28485000</v>
      </c>
      <c r="F134" s="160">
        <v>27164968</v>
      </c>
      <c r="G134" s="160">
        <v>27164968</v>
      </c>
      <c r="H134" s="160">
        <v>0</v>
      </c>
      <c r="I134" s="160">
        <v>0</v>
      </c>
      <c r="J134" s="160">
        <v>0</v>
      </c>
      <c r="K134" s="160">
        <v>25438724</v>
      </c>
      <c r="L134" s="160">
        <v>25438724</v>
      </c>
      <c r="M134" s="160">
        <v>1726244</v>
      </c>
      <c r="N134" s="160">
        <v>1726244</v>
      </c>
    </row>
    <row r="135" spans="1:14" x14ac:dyDescent="0.25">
      <c r="A135" s="158" t="s">
        <v>567</v>
      </c>
      <c r="B135" s="158" t="s">
        <v>321</v>
      </c>
      <c r="C135" s="158" t="s">
        <v>133</v>
      </c>
      <c r="D135" s="158" t="s">
        <v>564</v>
      </c>
      <c r="E135" s="160">
        <v>8411000</v>
      </c>
      <c r="F135" s="160">
        <v>8021227</v>
      </c>
      <c r="G135" s="160">
        <v>8021227</v>
      </c>
      <c r="H135" s="160">
        <v>0</v>
      </c>
      <c r="I135" s="160">
        <v>0</v>
      </c>
      <c r="J135" s="160">
        <v>0</v>
      </c>
      <c r="K135" s="160">
        <v>7509423</v>
      </c>
      <c r="L135" s="160">
        <v>7509423</v>
      </c>
      <c r="M135" s="160">
        <v>511804</v>
      </c>
      <c r="N135" s="160">
        <v>511804</v>
      </c>
    </row>
    <row r="136" spans="1:14" x14ac:dyDescent="0.25">
      <c r="A136" s="158" t="s">
        <v>567</v>
      </c>
      <c r="B136" s="158" t="s">
        <v>322</v>
      </c>
      <c r="C136" s="158" t="s">
        <v>135</v>
      </c>
      <c r="D136" s="158" t="s">
        <v>564</v>
      </c>
      <c r="E136" s="160">
        <v>16822000</v>
      </c>
      <c r="F136" s="160">
        <v>16042453</v>
      </c>
      <c r="G136" s="160">
        <v>16042453</v>
      </c>
      <c r="H136" s="160">
        <v>0</v>
      </c>
      <c r="I136" s="160">
        <v>0</v>
      </c>
      <c r="J136" s="160">
        <v>0</v>
      </c>
      <c r="K136" s="160">
        <v>15018850</v>
      </c>
      <c r="L136" s="160">
        <v>15018850</v>
      </c>
      <c r="M136" s="160">
        <v>1023603</v>
      </c>
      <c r="N136" s="160">
        <v>1023603</v>
      </c>
    </row>
    <row r="137" spans="1:14" x14ac:dyDescent="0.25">
      <c r="A137" s="158" t="s">
        <v>567</v>
      </c>
      <c r="B137" s="158" t="s">
        <v>136</v>
      </c>
      <c r="C137" s="158" t="s">
        <v>137</v>
      </c>
      <c r="D137" s="158" t="s">
        <v>564</v>
      </c>
      <c r="E137" s="160">
        <v>127220000</v>
      </c>
      <c r="F137" s="160">
        <v>128354131</v>
      </c>
      <c r="G137" s="160">
        <v>128354131</v>
      </c>
      <c r="H137" s="160">
        <v>0</v>
      </c>
      <c r="I137" s="160">
        <v>3517104.99</v>
      </c>
      <c r="J137" s="160">
        <v>0</v>
      </c>
      <c r="K137" s="160">
        <v>108493875.25</v>
      </c>
      <c r="L137" s="160">
        <v>93192273.939999998</v>
      </c>
      <c r="M137" s="160">
        <v>16343150.76</v>
      </c>
      <c r="N137" s="160">
        <v>16343150.76</v>
      </c>
    </row>
    <row r="138" spans="1:14" x14ac:dyDescent="0.25">
      <c r="A138" s="158" t="s">
        <v>567</v>
      </c>
      <c r="B138" s="158" t="s">
        <v>138</v>
      </c>
      <c r="C138" s="158" t="s">
        <v>139</v>
      </c>
      <c r="D138" s="158" t="s">
        <v>564</v>
      </c>
      <c r="E138" s="160">
        <v>78844000</v>
      </c>
      <c r="F138" s="160">
        <v>73214000</v>
      </c>
      <c r="G138" s="160">
        <v>73214000</v>
      </c>
      <c r="H138" s="160">
        <v>0</v>
      </c>
      <c r="I138" s="160">
        <v>310697.99</v>
      </c>
      <c r="J138" s="160">
        <v>0</v>
      </c>
      <c r="K138" s="160">
        <v>63891749.68</v>
      </c>
      <c r="L138" s="160">
        <v>58173506.369999997</v>
      </c>
      <c r="M138" s="160">
        <v>9011552.3300000001</v>
      </c>
      <c r="N138" s="160">
        <v>9011552.3300000001</v>
      </c>
    </row>
    <row r="139" spans="1:14" x14ac:dyDescent="0.25">
      <c r="A139" s="158" t="s">
        <v>567</v>
      </c>
      <c r="B139" s="158" t="s">
        <v>323</v>
      </c>
      <c r="C139" s="158" t="s">
        <v>324</v>
      </c>
      <c r="D139" s="158" t="s">
        <v>564</v>
      </c>
      <c r="E139" s="160">
        <v>74844000</v>
      </c>
      <c r="F139" s="160">
        <v>69414000</v>
      </c>
      <c r="G139" s="160">
        <v>69414000</v>
      </c>
      <c r="H139" s="160">
        <v>0</v>
      </c>
      <c r="I139" s="160">
        <v>0</v>
      </c>
      <c r="J139" s="160">
        <v>0</v>
      </c>
      <c r="K139" s="160">
        <v>62215479.219999999</v>
      </c>
      <c r="L139" s="160">
        <v>56967679.810000002</v>
      </c>
      <c r="M139" s="160">
        <v>7198520.7800000003</v>
      </c>
      <c r="N139" s="160">
        <v>7198520.7800000003</v>
      </c>
    </row>
    <row r="140" spans="1:14" x14ac:dyDescent="0.25">
      <c r="A140" s="158" t="s">
        <v>567</v>
      </c>
      <c r="B140" s="158" t="s">
        <v>140</v>
      </c>
      <c r="C140" s="158" t="s">
        <v>141</v>
      </c>
      <c r="D140" s="158" t="s">
        <v>564</v>
      </c>
      <c r="E140" s="160">
        <v>4000000</v>
      </c>
      <c r="F140" s="160">
        <v>3800000</v>
      </c>
      <c r="G140" s="160">
        <v>3800000</v>
      </c>
      <c r="H140" s="160">
        <v>0</v>
      </c>
      <c r="I140" s="160">
        <v>310697.99</v>
      </c>
      <c r="J140" s="160">
        <v>0</v>
      </c>
      <c r="K140" s="160">
        <v>1676270.46</v>
      </c>
      <c r="L140" s="160">
        <v>1205826.5600000001</v>
      </c>
      <c r="M140" s="160">
        <v>1813031.55</v>
      </c>
      <c r="N140" s="160">
        <v>1813031.55</v>
      </c>
    </row>
    <row r="141" spans="1:14" x14ac:dyDescent="0.25">
      <c r="A141" s="158" t="s">
        <v>567</v>
      </c>
      <c r="B141" s="158" t="s">
        <v>144</v>
      </c>
      <c r="C141" s="158" t="s">
        <v>145</v>
      </c>
      <c r="D141" s="158" t="s">
        <v>564</v>
      </c>
      <c r="E141" s="160">
        <v>8554000</v>
      </c>
      <c r="F141" s="160">
        <v>15039331</v>
      </c>
      <c r="G141" s="160">
        <v>15039331</v>
      </c>
      <c r="H141" s="160">
        <v>0</v>
      </c>
      <c r="I141" s="160">
        <v>1392966</v>
      </c>
      <c r="J141" s="160">
        <v>0</v>
      </c>
      <c r="K141" s="160">
        <v>11487252</v>
      </c>
      <c r="L141" s="160">
        <v>11487252</v>
      </c>
      <c r="M141" s="160">
        <v>2159113</v>
      </c>
      <c r="N141" s="160">
        <v>2159113</v>
      </c>
    </row>
    <row r="142" spans="1:14" x14ac:dyDescent="0.25">
      <c r="A142" s="158" t="s">
        <v>567</v>
      </c>
      <c r="B142" s="158" t="s">
        <v>146</v>
      </c>
      <c r="C142" s="158" t="s">
        <v>147</v>
      </c>
      <c r="D142" s="158" t="s">
        <v>564</v>
      </c>
      <c r="E142" s="160">
        <v>1876000</v>
      </c>
      <c r="F142" s="160">
        <v>1561331</v>
      </c>
      <c r="G142" s="160">
        <v>1561331</v>
      </c>
      <c r="H142" s="160">
        <v>0</v>
      </c>
      <c r="I142" s="160">
        <v>190000</v>
      </c>
      <c r="J142" s="160">
        <v>0</v>
      </c>
      <c r="K142" s="160">
        <v>742739</v>
      </c>
      <c r="L142" s="160">
        <v>742739</v>
      </c>
      <c r="M142" s="160">
        <v>628592</v>
      </c>
      <c r="N142" s="160">
        <v>628592</v>
      </c>
    </row>
    <row r="143" spans="1:14" x14ac:dyDescent="0.25">
      <c r="A143" s="158" t="s">
        <v>567</v>
      </c>
      <c r="B143" s="158" t="s">
        <v>148</v>
      </c>
      <c r="C143" s="158" t="s">
        <v>149</v>
      </c>
      <c r="D143" s="158" t="s">
        <v>564</v>
      </c>
      <c r="E143" s="160">
        <v>2898000</v>
      </c>
      <c r="F143" s="160">
        <v>4898000</v>
      </c>
      <c r="G143" s="160">
        <v>4898000</v>
      </c>
      <c r="H143" s="160">
        <v>0</v>
      </c>
      <c r="I143" s="160">
        <v>392765</v>
      </c>
      <c r="J143" s="160">
        <v>0</v>
      </c>
      <c r="K143" s="160">
        <v>3796735</v>
      </c>
      <c r="L143" s="160">
        <v>3796735</v>
      </c>
      <c r="M143" s="160">
        <v>708500</v>
      </c>
      <c r="N143" s="160">
        <v>708500</v>
      </c>
    </row>
    <row r="144" spans="1:14" x14ac:dyDescent="0.25">
      <c r="A144" s="158" t="s">
        <v>567</v>
      </c>
      <c r="B144" s="158" t="s">
        <v>152</v>
      </c>
      <c r="C144" s="158" t="s">
        <v>153</v>
      </c>
      <c r="D144" s="158" t="s">
        <v>564</v>
      </c>
      <c r="E144" s="160">
        <v>3780000</v>
      </c>
      <c r="F144" s="160">
        <v>8580000</v>
      </c>
      <c r="G144" s="160">
        <v>8580000</v>
      </c>
      <c r="H144" s="160">
        <v>0</v>
      </c>
      <c r="I144" s="160">
        <v>810201</v>
      </c>
      <c r="J144" s="160">
        <v>0</v>
      </c>
      <c r="K144" s="160">
        <v>6947778</v>
      </c>
      <c r="L144" s="160">
        <v>6947778</v>
      </c>
      <c r="M144" s="160">
        <v>822021</v>
      </c>
      <c r="N144" s="160">
        <v>822021</v>
      </c>
    </row>
    <row r="145" spans="1:14" x14ac:dyDescent="0.25">
      <c r="A145" s="158" t="s">
        <v>567</v>
      </c>
      <c r="B145" s="158" t="s">
        <v>156</v>
      </c>
      <c r="C145" s="158" t="s">
        <v>157</v>
      </c>
      <c r="D145" s="158" t="s">
        <v>564</v>
      </c>
      <c r="E145" s="160">
        <v>4755000</v>
      </c>
      <c r="F145" s="160">
        <v>6105000</v>
      </c>
      <c r="G145" s="160">
        <v>6105000</v>
      </c>
      <c r="H145" s="160">
        <v>0</v>
      </c>
      <c r="I145" s="160">
        <v>59760</v>
      </c>
      <c r="J145" s="160">
        <v>0</v>
      </c>
      <c r="K145" s="160">
        <v>5173770</v>
      </c>
      <c r="L145" s="160">
        <v>1369040</v>
      </c>
      <c r="M145" s="160">
        <v>871470</v>
      </c>
      <c r="N145" s="160">
        <v>871470</v>
      </c>
    </row>
    <row r="146" spans="1:14" x14ac:dyDescent="0.25">
      <c r="A146" s="158" t="s">
        <v>567</v>
      </c>
      <c r="B146" s="158" t="s">
        <v>158</v>
      </c>
      <c r="C146" s="158" t="s">
        <v>159</v>
      </c>
      <c r="D146" s="158" t="s">
        <v>564</v>
      </c>
      <c r="E146" s="160">
        <v>380000</v>
      </c>
      <c r="F146" s="160">
        <v>680000</v>
      </c>
      <c r="G146" s="160">
        <v>680000</v>
      </c>
      <c r="H146" s="160">
        <v>0</v>
      </c>
      <c r="I146" s="160">
        <v>720</v>
      </c>
      <c r="J146" s="160">
        <v>0</v>
      </c>
      <c r="K146" s="160">
        <v>508970</v>
      </c>
      <c r="L146" s="160">
        <v>458240</v>
      </c>
      <c r="M146" s="160">
        <v>170310</v>
      </c>
      <c r="N146" s="160">
        <v>170310</v>
      </c>
    </row>
    <row r="147" spans="1:14" x14ac:dyDescent="0.25">
      <c r="A147" s="158" t="s">
        <v>567</v>
      </c>
      <c r="B147" s="158" t="s">
        <v>325</v>
      </c>
      <c r="C147" s="158" t="s">
        <v>326</v>
      </c>
      <c r="D147" s="158" t="s">
        <v>564</v>
      </c>
      <c r="E147" s="160">
        <v>375000</v>
      </c>
      <c r="F147" s="160">
        <v>225000</v>
      </c>
      <c r="G147" s="160">
        <v>225000</v>
      </c>
      <c r="H147" s="160">
        <v>0</v>
      </c>
      <c r="I147" s="160">
        <v>0</v>
      </c>
      <c r="J147" s="160">
        <v>0</v>
      </c>
      <c r="K147" s="160">
        <v>150000</v>
      </c>
      <c r="L147" s="160">
        <v>150000</v>
      </c>
      <c r="M147" s="160">
        <v>75000</v>
      </c>
      <c r="N147" s="160">
        <v>75000</v>
      </c>
    </row>
    <row r="148" spans="1:14" x14ac:dyDescent="0.25">
      <c r="A148" s="158" t="s">
        <v>567</v>
      </c>
      <c r="B148" s="158" t="s">
        <v>160</v>
      </c>
      <c r="C148" s="158" t="s">
        <v>161</v>
      </c>
      <c r="D148" s="158" t="s">
        <v>564</v>
      </c>
      <c r="E148" s="160">
        <v>4000000</v>
      </c>
      <c r="F148" s="160">
        <v>5200000</v>
      </c>
      <c r="G148" s="160">
        <v>5200000</v>
      </c>
      <c r="H148" s="160">
        <v>0</v>
      </c>
      <c r="I148" s="160">
        <v>59040</v>
      </c>
      <c r="J148" s="160">
        <v>0</v>
      </c>
      <c r="K148" s="160">
        <v>4514800</v>
      </c>
      <c r="L148" s="160">
        <v>760800</v>
      </c>
      <c r="M148" s="160">
        <v>626160</v>
      </c>
      <c r="N148" s="160">
        <v>626160</v>
      </c>
    </row>
    <row r="149" spans="1:14" x14ac:dyDescent="0.25">
      <c r="A149" s="158" t="s">
        <v>567</v>
      </c>
      <c r="B149" s="158" t="s">
        <v>164</v>
      </c>
      <c r="C149" s="158" t="s">
        <v>165</v>
      </c>
      <c r="D149" s="158" t="s">
        <v>564</v>
      </c>
      <c r="E149" s="160">
        <v>2490000</v>
      </c>
      <c r="F149" s="160">
        <v>2490000</v>
      </c>
      <c r="G149" s="160">
        <v>2490000</v>
      </c>
      <c r="H149" s="160">
        <v>0</v>
      </c>
      <c r="I149" s="160">
        <v>0</v>
      </c>
      <c r="J149" s="160">
        <v>0</v>
      </c>
      <c r="K149" s="160">
        <v>2443610</v>
      </c>
      <c r="L149" s="160">
        <v>1271050</v>
      </c>
      <c r="M149" s="160">
        <v>46390</v>
      </c>
      <c r="N149" s="160">
        <v>46390</v>
      </c>
    </row>
    <row r="150" spans="1:14" x14ac:dyDescent="0.25">
      <c r="A150" s="158" t="s">
        <v>567</v>
      </c>
      <c r="B150" s="158" t="s">
        <v>168</v>
      </c>
      <c r="C150" s="158" t="s">
        <v>169</v>
      </c>
      <c r="D150" s="158" t="s">
        <v>564</v>
      </c>
      <c r="E150" s="160">
        <v>1105000</v>
      </c>
      <c r="F150" s="160">
        <v>1105000</v>
      </c>
      <c r="G150" s="160">
        <v>1105000</v>
      </c>
      <c r="H150" s="160">
        <v>0</v>
      </c>
      <c r="I150" s="160">
        <v>0</v>
      </c>
      <c r="J150" s="160">
        <v>0</v>
      </c>
      <c r="K150" s="160">
        <v>1072560</v>
      </c>
      <c r="L150" s="160">
        <v>0</v>
      </c>
      <c r="M150" s="160">
        <v>32440</v>
      </c>
      <c r="N150" s="160">
        <v>32440</v>
      </c>
    </row>
    <row r="151" spans="1:14" x14ac:dyDescent="0.25">
      <c r="A151" s="158" t="s">
        <v>567</v>
      </c>
      <c r="B151" s="158" t="s">
        <v>170</v>
      </c>
      <c r="C151" s="158" t="s">
        <v>171</v>
      </c>
      <c r="D151" s="158" t="s">
        <v>564</v>
      </c>
      <c r="E151" s="160">
        <v>1385000</v>
      </c>
      <c r="F151" s="160">
        <v>1385000</v>
      </c>
      <c r="G151" s="160">
        <v>1385000</v>
      </c>
      <c r="H151" s="160">
        <v>0</v>
      </c>
      <c r="I151" s="160">
        <v>0</v>
      </c>
      <c r="J151" s="160">
        <v>0</v>
      </c>
      <c r="K151" s="160">
        <v>1371050</v>
      </c>
      <c r="L151" s="160">
        <v>1271050</v>
      </c>
      <c r="M151" s="160">
        <v>13950</v>
      </c>
      <c r="N151" s="160">
        <v>13950</v>
      </c>
    </row>
    <row r="152" spans="1:14" x14ac:dyDescent="0.25">
      <c r="A152" s="158" t="s">
        <v>567</v>
      </c>
      <c r="B152" s="158" t="s">
        <v>172</v>
      </c>
      <c r="C152" s="158" t="s">
        <v>173</v>
      </c>
      <c r="D152" s="158" t="s">
        <v>564</v>
      </c>
      <c r="E152" s="160">
        <v>8400000</v>
      </c>
      <c r="F152" s="160">
        <v>10100000</v>
      </c>
      <c r="G152" s="160">
        <v>10100000</v>
      </c>
      <c r="H152" s="160">
        <v>0</v>
      </c>
      <c r="I152" s="160">
        <v>1655245</v>
      </c>
      <c r="J152" s="160">
        <v>0</v>
      </c>
      <c r="K152" s="160">
        <v>6095030.5800000001</v>
      </c>
      <c r="L152" s="160">
        <v>6192780.5800000001</v>
      </c>
      <c r="M152" s="160">
        <v>2349724.42</v>
      </c>
      <c r="N152" s="160">
        <v>2349724.42</v>
      </c>
    </row>
    <row r="153" spans="1:14" x14ac:dyDescent="0.25">
      <c r="A153" s="158" t="s">
        <v>567</v>
      </c>
      <c r="B153" s="158" t="s">
        <v>174</v>
      </c>
      <c r="C153" s="158" t="s">
        <v>175</v>
      </c>
      <c r="D153" s="158" t="s">
        <v>564</v>
      </c>
      <c r="E153" s="160">
        <v>400000</v>
      </c>
      <c r="F153" s="160">
        <v>400000</v>
      </c>
      <c r="G153" s="160">
        <v>400000</v>
      </c>
      <c r="H153" s="160">
        <v>0</v>
      </c>
      <c r="I153" s="160">
        <v>7265</v>
      </c>
      <c r="J153" s="160">
        <v>0</v>
      </c>
      <c r="K153" s="160">
        <v>388595</v>
      </c>
      <c r="L153" s="160">
        <v>388595</v>
      </c>
      <c r="M153" s="160">
        <v>4140</v>
      </c>
      <c r="N153" s="160">
        <v>4140</v>
      </c>
    </row>
    <row r="154" spans="1:14" x14ac:dyDescent="0.25">
      <c r="A154" s="158" t="s">
        <v>567</v>
      </c>
      <c r="B154" s="158" t="s">
        <v>176</v>
      </c>
      <c r="C154" s="158" t="s">
        <v>177</v>
      </c>
      <c r="D154" s="158" t="s">
        <v>564</v>
      </c>
      <c r="E154" s="160">
        <v>8000000</v>
      </c>
      <c r="F154" s="160">
        <v>9700000</v>
      </c>
      <c r="G154" s="160">
        <v>9700000</v>
      </c>
      <c r="H154" s="160">
        <v>0</v>
      </c>
      <c r="I154" s="160">
        <v>1647980</v>
      </c>
      <c r="J154" s="160">
        <v>0</v>
      </c>
      <c r="K154" s="160">
        <v>5847840</v>
      </c>
      <c r="L154" s="160">
        <v>5945590</v>
      </c>
      <c r="M154" s="160">
        <v>2204180</v>
      </c>
      <c r="N154" s="160">
        <v>2204180</v>
      </c>
    </row>
    <row r="155" spans="1:14" x14ac:dyDescent="0.25">
      <c r="A155" s="158" t="s">
        <v>567</v>
      </c>
      <c r="B155" s="158" t="s">
        <v>180</v>
      </c>
      <c r="C155" s="158" t="s">
        <v>181</v>
      </c>
      <c r="D155" s="158" t="s">
        <v>564</v>
      </c>
      <c r="E155" s="160">
        <v>0</v>
      </c>
      <c r="F155" s="160">
        <v>0</v>
      </c>
      <c r="G155" s="160">
        <v>0</v>
      </c>
      <c r="H155" s="160">
        <v>0</v>
      </c>
      <c r="I155" s="160">
        <v>0</v>
      </c>
      <c r="J155" s="160">
        <v>0</v>
      </c>
      <c r="K155" s="160">
        <v>-141404.42000000001</v>
      </c>
      <c r="L155" s="160">
        <v>-141404.42000000001</v>
      </c>
      <c r="M155" s="160">
        <v>141404.42000000001</v>
      </c>
      <c r="N155" s="160">
        <v>141404.42000000001</v>
      </c>
    </row>
    <row r="156" spans="1:14" x14ac:dyDescent="0.25">
      <c r="A156" s="158" t="s">
        <v>567</v>
      </c>
      <c r="B156" s="158" t="s">
        <v>182</v>
      </c>
      <c r="C156" s="158" t="s">
        <v>183</v>
      </c>
      <c r="D156" s="158" t="s">
        <v>564</v>
      </c>
      <c r="E156" s="160">
        <v>5819000</v>
      </c>
      <c r="F156" s="160">
        <v>5619000</v>
      </c>
      <c r="G156" s="160">
        <v>5619000</v>
      </c>
      <c r="H156" s="160">
        <v>0</v>
      </c>
      <c r="I156" s="160">
        <v>60885</v>
      </c>
      <c r="J156" s="160">
        <v>0</v>
      </c>
      <c r="K156" s="160">
        <v>5199559</v>
      </c>
      <c r="L156" s="160">
        <v>4857090</v>
      </c>
      <c r="M156" s="160">
        <v>358556</v>
      </c>
      <c r="N156" s="160">
        <v>358556</v>
      </c>
    </row>
    <row r="157" spans="1:14" x14ac:dyDescent="0.25">
      <c r="A157" s="158" t="s">
        <v>567</v>
      </c>
      <c r="B157" s="158" t="s">
        <v>184</v>
      </c>
      <c r="C157" s="158" t="s">
        <v>185</v>
      </c>
      <c r="D157" s="158" t="s">
        <v>564</v>
      </c>
      <c r="E157" s="160">
        <v>5819000</v>
      </c>
      <c r="F157" s="160">
        <v>5619000</v>
      </c>
      <c r="G157" s="160">
        <v>5619000</v>
      </c>
      <c r="H157" s="160">
        <v>0</v>
      </c>
      <c r="I157" s="160">
        <v>60885</v>
      </c>
      <c r="J157" s="160">
        <v>0</v>
      </c>
      <c r="K157" s="160">
        <v>5199559</v>
      </c>
      <c r="L157" s="160">
        <v>4857090</v>
      </c>
      <c r="M157" s="160">
        <v>358556</v>
      </c>
      <c r="N157" s="160">
        <v>358556</v>
      </c>
    </row>
    <row r="158" spans="1:14" x14ac:dyDescent="0.25">
      <c r="A158" s="158" t="s">
        <v>567</v>
      </c>
      <c r="B158" s="158" t="s">
        <v>186</v>
      </c>
      <c r="C158" s="158" t="s">
        <v>187</v>
      </c>
      <c r="D158" s="158" t="s">
        <v>564</v>
      </c>
      <c r="E158" s="160">
        <v>16158000</v>
      </c>
      <c r="F158" s="160">
        <v>12706800</v>
      </c>
      <c r="G158" s="160">
        <v>12706800</v>
      </c>
      <c r="H158" s="160">
        <v>0</v>
      </c>
      <c r="I158" s="160">
        <v>0</v>
      </c>
      <c r="J158" s="160">
        <v>0</v>
      </c>
      <c r="K158" s="160">
        <v>11797400</v>
      </c>
      <c r="L158" s="160">
        <v>7538500</v>
      </c>
      <c r="M158" s="160">
        <v>909400</v>
      </c>
      <c r="N158" s="160">
        <v>909400</v>
      </c>
    </row>
    <row r="159" spans="1:14" x14ac:dyDescent="0.25">
      <c r="A159" s="158" t="s">
        <v>567</v>
      </c>
      <c r="B159" s="158" t="s">
        <v>327</v>
      </c>
      <c r="C159" s="158" t="s">
        <v>328</v>
      </c>
      <c r="D159" s="158" t="s">
        <v>564</v>
      </c>
      <c r="E159" s="160">
        <v>15148000</v>
      </c>
      <c r="F159" s="160">
        <v>12008000</v>
      </c>
      <c r="G159" s="160">
        <v>12008000</v>
      </c>
      <c r="H159" s="160">
        <v>0</v>
      </c>
      <c r="I159" s="160">
        <v>0</v>
      </c>
      <c r="J159" s="160">
        <v>0</v>
      </c>
      <c r="K159" s="160">
        <v>11698600</v>
      </c>
      <c r="L159" s="160">
        <v>7439700</v>
      </c>
      <c r="M159" s="160">
        <v>309400</v>
      </c>
      <c r="N159" s="160">
        <v>309400</v>
      </c>
    </row>
    <row r="160" spans="1:14" x14ac:dyDescent="0.25">
      <c r="A160" s="158" t="s">
        <v>567</v>
      </c>
      <c r="B160" s="158" t="s">
        <v>188</v>
      </c>
      <c r="C160" s="158" t="s">
        <v>189</v>
      </c>
      <c r="D160" s="158" t="s">
        <v>564</v>
      </c>
      <c r="E160" s="160">
        <v>1010000</v>
      </c>
      <c r="F160" s="160">
        <v>698800</v>
      </c>
      <c r="G160" s="160">
        <v>698800</v>
      </c>
      <c r="H160" s="160">
        <v>0</v>
      </c>
      <c r="I160" s="160">
        <v>0</v>
      </c>
      <c r="J160" s="160">
        <v>0</v>
      </c>
      <c r="K160" s="160">
        <v>98800</v>
      </c>
      <c r="L160" s="160">
        <v>98800</v>
      </c>
      <c r="M160" s="160">
        <v>600000</v>
      </c>
      <c r="N160" s="160">
        <v>600000</v>
      </c>
    </row>
    <row r="161" spans="1:14" x14ac:dyDescent="0.25">
      <c r="A161" s="158" t="s">
        <v>567</v>
      </c>
      <c r="B161" s="158" t="s">
        <v>192</v>
      </c>
      <c r="C161" s="158" t="s">
        <v>193</v>
      </c>
      <c r="D161" s="158" t="s">
        <v>564</v>
      </c>
      <c r="E161" s="160">
        <v>2100000</v>
      </c>
      <c r="F161" s="160">
        <v>2400000</v>
      </c>
      <c r="G161" s="160">
        <v>2400000</v>
      </c>
      <c r="H161" s="160">
        <v>0</v>
      </c>
      <c r="I161" s="160">
        <v>0</v>
      </c>
      <c r="J161" s="160">
        <v>0</v>
      </c>
      <c r="K161" s="160">
        <v>1883054.99</v>
      </c>
      <c r="L161" s="160">
        <v>1883054.99</v>
      </c>
      <c r="M161" s="160">
        <v>516945.01</v>
      </c>
      <c r="N161" s="160">
        <v>516945.01</v>
      </c>
    </row>
    <row r="162" spans="1:14" x14ac:dyDescent="0.25">
      <c r="A162" s="158" t="s">
        <v>567</v>
      </c>
      <c r="B162" s="158" t="s">
        <v>196</v>
      </c>
      <c r="C162" s="158" t="s">
        <v>197</v>
      </c>
      <c r="D162" s="158" t="s">
        <v>564</v>
      </c>
      <c r="E162" s="160">
        <v>600000</v>
      </c>
      <c r="F162" s="160">
        <v>900000</v>
      </c>
      <c r="G162" s="160">
        <v>900000</v>
      </c>
      <c r="H162" s="160">
        <v>0</v>
      </c>
      <c r="I162" s="160">
        <v>0</v>
      </c>
      <c r="J162" s="160">
        <v>0</v>
      </c>
      <c r="K162" s="160">
        <v>388054.99</v>
      </c>
      <c r="L162" s="160">
        <v>388054.99</v>
      </c>
      <c r="M162" s="160">
        <v>511945.01</v>
      </c>
      <c r="N162" s="160">
        <v>511945.01</v>
      </c>
    </row>
    <row r="163" spans="1:14" x14ac:dyDescent="0.25">
      <c r="A163" s="158" t="s">
        <v>567</v>
      </c>
      <c r="B163" s="158" t="s">
        <v>202</v>
      </c>
      <c r="C163" s="158" t="s">
        <v>203</v>
      </c>
      <c r="D163" s="158" t="s">
        <v>564</v>
      </c>
      <c r="E163" s="160">
        <v>1500000</v>
      </c>
      <c r="F163" s="160">
        <v>1500000</v>
      </c>
      <c r="G163" s="160">
        <v>1500000</v>
      </c>
      <c r="H163" s="160">
        <v>0</v>
      </c>
      <c r="I163" s="160">
        <v>0</v>
      </c>
      <c r="J163" s="160">
        <v>0</v>
      </c>
      <c r="K163" s="160">
        <v>1495000</v>
      </c>
      <c r="L163" s="160">
        <v>1495000</v>
      </c>
      <c r="M163" s="160">
        <v>5000</v>
      </c>
      <c r="N163" s="160">
        <v>5000</v>
      </c>
    </row>
    <row r="164" spans="1:14" x14ac:dyDescent="0.25">
      <c r="A164" s="158" t="s">
        <v>567</v>
      </c>
      <c r="B164" s="158" t="s">
        <v>206</v>
      </c>
      <c r="C164" s="158" t="s">
        <v>207</v>
      </c>
      <c r="D164" s="158" t="s">
        <v>564</v>
      </c>
      <c r="E164" s="160">
        <v>100000</v>
      </c>
      <c r="F164" s="160">
        <v>140000</v>
      </c>
      <c r="G164" s="160">
        <v>140000</v>
      </c>
      <c r="H164" s="160">
        <v>0</v>
      </c>
      <c r="I164" s="160">
        <v>37551</v>
      </c>
      <c r="J164" s="160">
        <v>0</v>
      </c>
      <c r="K164" s="160">
        <v>102449</v>
      </c>
      <c r="L164" s="160">
        <v>0</v>
      </c>
      <c r="M164" s="160">
        <v>0</v>
      </c>
      <c r="N164" s="160">
        <v>0</v>
      </c>
    </row>
    <row r="165" spans="1:14" x14ac:dyDescent="0.25">
      <c r="A165" s="158" t="s">
        <v>567</v>
      </c>
      <c r="B165" s="158" t="s">
        <v>208</v>
      </c>
      <c r="C165" s="158" t="s">
        <v>209</v>
      </c>
      <c r="D165" s="158" t="s">
        <v>564</v>
      </c>
      <c r="E165" s="160">
        <v>100000</v>
      </c>
      <c r="F165" s="160">
        <v>140000</v>
      </c>
      <c r="G165" s="160">
        <v>140000</v>
      </c>
      <c r="H165" s="160">
        <v>0</v>
      </c>
      <c r="I165" s="160">
        <v>37551</v>
      </c>
      <c r="J165" s="160">
        <v>0</v>
      </c>
      <c r="K165" s="160">
        <v>102449</v>
      </c>
      <c r="L165" s="160">
        <v>0</v>
      </c>
      <c r="M165" s="160">
        <v>0</v>
      </c>
      <c r="N165" s="160">
        <v>0</v>
      </c>
    </row>
    <row r="166" spans="1:14" x14ac:dyDescent="0.25">
      <c r="A166" s="158" t="s">
        <v>567</v>
      </c>
      <c r="B166" s="158" t="s">
        <v>210</v>
      </c>
      <c r="C166" s="158" t="s">
        <v>211</v>
      </c>
      <c r="D166" s="158" t="s">
        <v>564</v>
      </c>
      <c r="E166" s="160">
        <v>0</v>
      </c>
      <c r="F166" s="160">
        <v>540000</v>
      </c>
      <c r="G166" s="160">
        <v>540000</v>
      </c>
      <c r="H166" s="160">
        <v>0</v>
      </c>
      <c r="I166" s="160">
        <v>0</v>
      </c>
      <c r="J166" s="160">
        <v>0</v>
      </c>
      <c r="K166" s="160">
        <v>420000</v>
      </c>
      <c r="L166" s="160">
        <v>420000</v>
      </c>
      <c r="M166" s="160">
        <v>120000</v>
      </c>
      <c r="N166" s="160">
        <v>120000</v>
      </c>
    </row>
    <row r="167" spans="1:14" x14ac:dyDescent="0.25">
      <c r="A167" s="158" t="s">
        <v>567</v>
      </c>
      <c r="B167" s="158" t="s">
        <v>212</v>
      </c>
      <c r="C167" s="158" t="s">
        <v>213</v>
      </c>
      <c r="D167" s="158" t="s">
        <v>564</v>
      </c>
      <c r="E167" s="160">
        <v>0</v>
      </c>
      <c r="F167" s="160">
        <v>540000</v>
      </c>
      <c r="G167" s="160">
        <v>540000</v>
      </c>
      <c r="H167" s="160">
        <v>0</v>
      </c>
      <c r="I167" s="160">
        <v>0</v>
      </c>
      <c r="J167" s="160">
        <v>0</v>
      </c>
      <c r="K167" s="160">
        <v>420000</v>
      </c>
      <c r="L167" s="160">
        <v>420000</v>
      </c>
      <c r="M167" s="160">
        <v>120000</v>
      </c>
      <c r="N167" s="160">
        <v>120000</v>
      </c>
    </row>
    <row r="168" spans="1:14" x14ac:dyDescent="0.25">
      <c r="A168" s="158" t="s">
        <v>567</v>
      </c>
      <c r="B168" s="158" t="s">
        <v>214</v>
      </c>
      <c r="C168" s="158" t="s">
        <v>215</v>
      </c>
      <c r="D168" s="158" t="s">
        <v>564</v>
      </c>
      <c r="E168" s="160">
        <v>15534000</v>
      </c>
      <c r="F168" s="160">
        <v>19774000</v>
      </c>
      <c r="G168" s="160">
        <v>19774000</v>
      </c>
      <c r="H168" s="160">
        <v>0</v>
      </c>
      <c r="I168" s="160">
        <v>939940.69</v>
      </c>
      <c r="J168" s="160">
        <v>0</v>
      </c>
      <c r="K168" s="160">
        <v>14224637.199999999</v>
      </c>
      <c r="L168" s="160">
        <v>10181440.49</v>
      </c>
      <c r="M168" s="160">
        <v>4609422.1100000003</v>
      </c>
      <c r="N168" s="160">
        <v>4609422.1100000003</v>
      </c>
    </row>
    <row r="169" spans="1:14" x14ac:dyDescent="0.25">
      <c r="A169" s="158" t="s">
        <v>567</v>
      </c>
      <c r="B169" s="158" t="s">
        <v>216</v>
      </c>
      <c r="C169" s="158" t="s">
        <v>217</v>
      </c>
      <c r="D169" s="158" t="s">
        <v>564</v>
      </c>
      <c r="E169" s="160">
        <v>9384000</v>
      </c>
      <c r="F169" s="160">
        <v>12234000</v>
      </c>
      <c r="G169" s="160">
        <v>12234000</v>
      </c>
      <c r="H169" s="160">
        <v>0</v>
      </c>
      <c r="I169" s="160">
        <v>501863</v>
      </c>
      <c r="J169" s="160">
        <v>0</v>
      </c>
      <c r="K169" s="160">
        <v>8349989.3799999999</v>
      </c>
      <c r="L169" s="160">
        <v>5985435.3799999999</v>
      </c>
      <c r="M169" s="160">
        <v>3382147.62</v>
      </c>
      <c r="N169" s="160">
        <v>3382147.62</v>
      </c>
    </row>
    <row r="170" spans="1:14" x14ac:dyDescent="0.25">
      <c r="A170" s="158" t="s">
        <v>567</v>
      </c>
      <c r="B170" s="158" t="s">
        <v>218</v>
      </c>
      <c r="C170" s="158" t="s">
        <v>219</v>
      </c>
      <c r="D170" s="158" t="s">
        <v>564</v>
      </c>
      <c r="E170" s="160">
        <v>6300000</v>
      </c>
      <c r="F170" s="160">
        <v>6400000</v>
      </c>
      <c r="G170" s="160">
        <v>6400000</v>
      </c>
      <c r="H170" s="160">
        <v>0</v>
      </c>
      <c r="I170" s="160">
        <v>413611</v>
      </c>
      <c r="J170" s="160">
        <v>0</v>
      </c>
      <c r="K170" s="160">
        <v>2634468</v>
      </c>
      <c r="L170" s="160">
        <v>2471981</v>
      </c>
      <c r="M170" s="160">
        <v>3351921</v>
      </c>
      <c r="N170" s="160">
        <v>3351921</v>
      </c>
    </row>
    <row r="171" spans="1:14" x14ac:dyDescent="0.25">
      <c r="A171" s="158" t="s">
        <v>567</v>
      </c>
      <c r="B171" s="158" t="s">
        <v>222</v>
      </c>
      <c r="C171" s="158" t="s">
        <v>223</v>
      </c>
      <c r="D171" s="158" t="s">
        <v>564</v>
      </c>
      <c r="E171" s="160">
        <v>3084000</v>
      </c>
      <c r="F171" s="160">
        <v>5834000</v>
      </c>
      <c r="G171" s="160">
        <v>5834000</v>
      </c>
      <c r="H171" s="160">
        <v>0</v>
      </c>
      <c r="I171" s="160">
        <v>88252</v>
      </c>
      <c r="J171" s="160">
        <v>0</v>
      </c>
      <c r="K171" s="160">
        <v>5715521.3799999999</v>
      </c>
      <c r="L171" s="160">
        <v>3513454.38</v>
      </c>
      <c r="M171" s="160">
        <v>30226.62</v>
      </c>
      <c r="N171" s="160">
        <v>30226.62</v>
      </c>
    </row>
    <row r="172" spans="1:14" x14ac:dyDescent="0.25">
      <c r="A172" s="158" t="s">
        <v>567</v>
      </c>
      <c r="B172" s="158" t="s">
        <v>226</v>
      </c>
      <c r="C172" s="158" t="s">
        <v>227</v>
      </c>
      <c r="D172" s="158" t="s">
        <v>564</v>
      </c>
      <c r="E172" s="160">
        <v>3000000</v>
      </c>
      <c r="F172" s="160">
        <v>3000000</v>
      </c>
      <c r="G172" s="160">
        <v>3000000</v>
      </c>
      <c r="H172" s="160">
        <v>0</v>
      </c>
      <c r="I172" s="160">
        <v>0</v>
      </c>
      <c r="J172" s="160">
        <v>0</v>
      </c>
      <c r="K172" s="160">
        <v>1917315.08</v>
      </c>
      <c r="L172" s="160">
        <v>1917315.08</v>
      </c>
      <c r="M172" s="160">
        <v>1082684.92</v>
      </c>
      <c r="N172" s="160">
        <v>1082684.92</v>
      </c>
    </row>
    <row r="173" spans="1:14" x14ac:dyDescent="0.25">
      <c r="A173" s="158" t="s">
        <v>567</v>
      </c>
      <c r="B173" s="158" t="s">
        <v>228</v>
      </c>
      <c r="C173" s="158" t="s">
        <v>229</v>
      </c>
      <c r="D173" s="158" t="s">
        <v>564</v>
      </c>
      <c r="E173" s="160">
        <v>3000000</v>
      </c>
      <c r="F173" s="160">
        <v>3000000</v>
      </c>
      <c r="G173" s="160">
        <v>3000000</v>
      </c>
      <c r="H173" s="160">
        <v>0</v>
      </c>
      <c r="I173" s="160">
        <v>0</v>
      </c>
      <c r="J173" s="160">
        <v>0</v>
      </c>
      <c r="K173" s="160">
        <v>1917315.08</v>
      </c>
      <c r="L173" s="160">
        <v>1917315.08</v>
      </c>
      <c r="M173" s="160">
        <v>1082684.92</v>
      </c>
      <c r="N173" s="160">
        <v>1082684.92</v>
      </c>
    </row>
    <row r="174" spans="1:14" x14ac:dyDescent="0.25">
      <c r="A174" s="158" t="s">
        <v>567</v>
      </c>
      <c r="B174" s="158" t="s">
        <v>230</v>
      </c>
      <c r="C174" s="158" t="s">
        <v>231</v>
      </c>
      <c r="D174" s="158" t="s">
        <v>564</v>
      </c>
      <c r="E174" s="160">
        <v>100000</v>
      </c>
      <c r="F174" s="160">
        <v>0</v>
      </c>
      <c r="G174" s="160">
        <v>0</v>
      </c>
      <c r="H174" s="160">
        <v>0</v>
      </c>
      <c r="I174" s="160">
        <v>0</v>
      </c>
      <c r="J174" s="160">
        <v>0</v>
      </c>
      <c r="K174" s="160">
        <v>0</v>
      </c>
      <c r="L174" s="160">
        <v>0</v>
      </c>
      <c r="M174" s="160">
        <v>0</v>
      </c>
      <c r="N174" s="160">
        <v>0</v>
      </c>
    </row>
    <row r="175" spans="1:14" x14ac:dyDescent="0.25">
      <c r="A175" s="158" t="s">
        <v>567</v>
      </c>
      <c r="B175" s="158" t="s">
        <v>234</v>
      </c>
      <c r="C175" s="158" t="s">
        <v>235</v>
      </c>
      <c r="D175" s="158" t="s">
        <v>564</v>
      </c>
      <c r="E175" s="160">
        <v>100000</v>
      </c>
      <c r="F175" s="160">
        <v>0</v>
      </c>
      <c r="G175" s="160">
        <v>0</v>
      </c>
      <c r="H175" s="160">
        <v>0</v>
      </c>
      <c r="I175" s="160">
        <v>0</v>
      </c>
      <c r="J175" s="160">
        <v>0</v>
      </c>
      <c r="K175" s="160">
        <v>0</v>
      </c>
      <c r="L175" s="160">
        <v>0</v>
      </c>
      <c r="M175" s="160">
        <v>0</v>
      </c>
      <c r="N175" s="160">
        <v>0</v>
      </c>
    </row>
    <row r="176" spans="1:14" x14ac:dyDescent="0.25">
      <c r="A176" s="158" t="s">
        <v>567</v>
      </c>
      <c r="B176" s="158" t="s">
        <v>242</v>
      </c>
      <c r="C176" s="158" t="s">
        <v>243</v>
      </c>
      <c r="D176" s="158" t="s">
        <v>564</v>
      </c>
      <c r="E176" s="160">
        <v>700000</v>
      </c>
      <c r="F176" s="160">
        <v>0</v>
      </c>
      <c r="G176" s="160">
        <v>0</v>
      </c>
      <c r="H176" s="160">
        <v>0</v>
      </c>
      <c r="I176" s="160">
        <v>0</v>
      </c>
      <c r="J176" s="160">
        <v>0</v>
      </c>
      <c r="K176" s="160">
        <v>0</v>
      </c>
      <c r="L176" s="160">
        <v>0</v>
      </c>
      <c r="M176" s="160">
        <v>0</v>
      </c>
      <c r="N176" s="160">
        <v>0</v>
      </c>
    </row>
    <row r="177" spans="1:14" x14ac:dyDescent="0.25">
      <c r="A177" s="158" t="s">
        <v>567</v>
      </c>
      <c r="B177" s="158" t="s">
        <v>246</v>
      </c>
      <c r="C177" s="158" t="s">
        <v>247</v>
      </c>
      <c r="D177" s="158" t="s">
        <v>564</v>
      </c>
      <c r="E177" s="160">
        <v>700000</v>
      </c>
      <c r="F177" s="160">
        <v>0</v>
      </c>
      <c r="G177" s="160">
        <v>0</v>
      </c>
      <c r="H177" s="160">
        <v>0</v>
      </c>
      <c r="I177" s="160">
        <v>0</v>
      </c>
      <c r="J177" s="160">
        <v>0</v>
      </c>
      <c r="K177" s="160">
        <v>0</v>
      </c>
      <c r="L177" s="160">
        <v>0</v>
      </c>
      <c r="M177" s="160">
        <v>0</v>
      </c>
      <c r="N177" s="160">
        <v>0</v>
      </c>
    </row>
    <row r="178" spans="1:14" x14ac:dyDescent="0.25">
      <c r="A178" s="158" t="s">
        <v>567</v>
      </c>
      <c r="B178" s="158" t="s">
        <v>248</v>
      </c>
      <c r="C178" s="158" t="s">
        <v>249</v>
      </c>
      <c r="D178" s="158" t="s">
        <v>564</v>
      </c>
      <c r="E178" s="160">
        <v>2350000</v>
      </c>
      <c r="F178" s="160">
        <v>4540000</v>
      </c>
      <c r="G178" s="160">
        <v>4540000</v>
      </c>
      <c r="H178" s="160">
        <v>0</v>
      </c>
      <c r="I178" s="160">
        <v>438077.69</v>
      </c>
      <c r="J178" s="160">
        <v>0</v>
      </c>
      <c r="K178" s="160">
        <v>3957332.74</v>
      </c>
      <c r="L178" s="160">
        <v>2278690.0299999998</v>
      </c>
      <c r="M178" s="160">
        <v>144589.57</v>
      </c>
      <c r="N178" s="160">
        <v>144589.57</v>
      </c>
    </row>
    <row r="179" spans="1:14" x14ac:dyDescent="0.25">
      <c r="A179" s="158" t="s">
        <v>567</v>
      </c>
      <c r="B179" s="158" t="s">
        <v>250</v>
      </c>
      <c r="C179" s="158" t="s">
        <v>251</v>
      </c>
      <c r="D179" s="158" t="s">
        <v>564</v>
      </c>
      <c r="E179" s="160">
        <v>300000</v>
      </c>
      <c r="F179" s="160">
        <v>1400000</v>
      </c>
      <c r="G179" s="160">
        <v>1400000</v>
      </c>
      <c r="H179" s="160">
        <v>0</v>
      </c>
      <c r="I179" s="160">
        <v>94100.12</v>
      </c>
      <c r="J179" s="160">
        <v>0</v>
      </c>
      <c r="K179" s="160">
        <v>1276959.8600000001</v>
      </c>
      <c r="L179" s="160">
        <v>509155.4</v>
      </c>
      <c r="M179" s="160">
        <v>28940.02</v>
      </c>
      <c r="N179" s="160">
        <v>28940.02</v>
      </c>
    </row>
    <row r="180" spans="1:14" x14ac:dyDescent="0.25">
      <c r="A180" s="158" t="s">
        <v>567</v>
      </c>
      <c r="B180" s="158" t="s">
        <v>254</v>
      </c>
      <c r="C180" s="158" t="s">
        <v>255</v>
      </c>
      <c r="D180" s="158" t="s">
        <v>564</v>
      </c>
      <c r="E180" s="160">
        <v>1000000</v>
      </c>
      <c r="F180" s="160">
        <v>2090000</v>
      </c>
      <c r="G180" s="160">
        <v>2090000</v>
      </c>
      <c r="H180" s="160">
        <v>0</v>
      </c>
      <c r="I180" s="160">
        <v>341856.53</v>
      </c>
      <c r="J180" s="160">
        <v>0</v>
      </c>
      <c r="K180" s="160">
        <v>1739917.11</v>
      </c>
      <c r="L180" s="160">
        <v>1154648.49</v>
      </c>
      <c r="M180" s="160">
        <v>8226.36</v>
      </c>
      <c r="N180" s="160">
        <v>8226.36</v>
      </c>
    </row>
    <row r="181" spans="1:14" x14ac:dyDescent="0.25">
      <c r="A181" s="158" t="s">
        <v>567</v>
      </c>
      <c r="B181" s="158" t="s">
        <v>256</v>
      </c>
      <c r="C181" s="158" t="s">
        <v>257</v>
      </c>
      <c r="D181" s="158" t="s">
        <v>564</v>
      </c>
      <c r="E181" s="160">
        <v>100000</v>
      </c>
      <c r="F181" s="160">
        <v>100000</v>
      </c>
      <c r="G181" s="160">
        <v>100000</v>
      </c>
      <c r="H181" s="160">
        <v>0</v>
      </c>
      <c r="I181" s="160">
        <v>2050</v>
      </c>
      <c r="J181" s="160">
        <v>0</v>
      </c>
      <c r="K181" s="160">
        <v>97950</v>
      </c>
      <c r="L181" s="160">
        <v>97950</v>
      </c>
      <c r="M181" s="160">
        <v>0</v>
      </c>
      <c r="N181" s="160">
        <v>0</v>
      </c>
    </row>
    <row r="182" spans="1:14" x14ac:dyDescent="0.25">
      <c r="A182" s="158" t="s">
        <v>567</v>
      </c>
      <c r="B182" s="158" t="s">
        <v>258</v>
      </c>
      <c r="C182" s="158" t="s">
        <v>259</v>
      </c>
      <c r="D182" s="158" t="s">
        <v>564</v>
      </c>
      <c r="E182" s="160">
        <v>350000</v>
      </c>
      <c r="F182" s="160">
        <v>750000</v>
      </c>
      <c r="G182" s="160">
        <v>750000</v>
      </c>
      <c r="H182" s="160">
        <v>0</v>
      </c>
      <c r="I182" s="160">
        <v>71.040000000000006</v>
      </c>
      <c r="J182" s="160">
        <v>0</v>
      </c>
      <c r="K182" s="160">
        <v>671245.77</v>
      </c>
      <c r="L182" s="160">
        <v>345676.14</v>
      </c>
      <c r="M182" s="160">
        <v>78683.19</v>
      </c>
      <c r="N182" s="160">
        <v>78683.19</v>
      </c>
    </row>
    <row r="183" spans="1:14" x14ac:dyDescent="0.25">
      <c r="A183" s="158" t="s">
        <v>567</v>
      </c>
      <c r="B183" s="158" t="s">
        <v>264</v>
      </c>
      <c r="C183" s="158" t="s">
        <v>265</v>
      </c>
      <c r="D183" s="158" t="s">
        <v>564</v>
      </c>
      <c r="E183" s="160">
        <v>600000</v>
      </c>
      <c r="F183" s="160">
        <v>200000</v>
      </c>
      <c r="G183" s="160">
        <v>200000</v>
      </c>
      <c r="H183" s="160">
        <v>0</v>
      </c>
      <c r="I183" s="160">
        <v>0</v>
      </c>
      <c r="J183" s="160">
        <v>0</v>
      </c>
      <c r="K183" s="160">
        <v>171260</v>
      </c>
      <c r="L183" s="160">
        <v>171260</v>
      </c>
      <c r="M183" s="160">
        <v>28740</v>
      </c>
      <c r="N183" s="160">
        <v>28740</v>
      </c>
    </row>
    <row r="184" spans="1:14" x14ac:dyDescent="0.25">
      <c r="A184" s="158" t="s">
        <v>567</v>
      </c>
      <c r="B184" s="158" t="s">
        <v>266</v>
      </c>
      <c r="C184" s="158" t="s">
        <v>267</v>
      </c>
      <c r="D184" s="158" t="s">
        <v>564</v>
      </c>
      <c r="E184" s="160">
        <v>46080000</v>
      </c>
      <c r="F184" s="160">
        <v>39008995</v>
      </c>
      <c r="G184" s="160">
        <v>39008995</v>
      </c>
      <c r="H184" s="160">
        <v>0</v>
      </c>
      <c r="I184" s="160">
        <v>207775.87</v>
      </c>
      <c r="J184" s="160">
        <v>0</v>
      </c>
      <c r="K184" s="160">
        <v>6541979.1299999999</v>
      </c>
      <c r="L184" s="160">
        <v>5258785</v>
      </c>
      <c r="M184" s="160">
        <v>32259240</v>
      </c>
      <c r="N184" s="160">
        <v>32259240</v>
      </c>
    </row>
    <row r="185" spans="1:14" x14ac:dyDescent="0.25">
      <c r="A185" s="158" t="s">
        <v>567</v>
      </c>
      <c r="B185" s="158" t="s">
        <v>268</v>
      </c>
      <c r="C185" s="158" t="s">
        <v>269</v>
      </c>
      <c r="D185" s="158" t="s">
        <v>564</v>
      </c>
      <c r="E185" s="160">
        <v>4655000</v>
      </c>
      <c r="F185" s="160">
        <v>4439326</v>
      </c>
      <c r="G185" s="160">
        <v>4439326</v>
      </c>
      <c r="H185" s="160">
        <v>0</v>
      </c>
      <c r="I185" s="160">
        <v>0</v>
      </c>
      <c r="J185" s="160">
        <v>0</v>
      </c>
      <c r="K185" s="160">
        <v>4155207</v>
      </c>
      <c r="L185" s="160">
        <v>4155207</v>
      </c>
      <c r="M185" s="160">
        <v>284119</v>
      </c>
      <c r="N185" s="160">
        <v>284119</v>
      </c>
    </row>
    <row r="186" spans="1:14" x14ac:dyDescent="0.25">
      <c r="A186" s="158" t="s">
        <v>567</v>
      </c>
      <c r="B186" s="158" t="s">
        <v>329</v>
      </c>
      <c r="C186" s="158" t="s">
        <v>275</v>
      </c>
      <c r="D186" s="158" t="s">
        <v>564</v>
      </c>
      <c r="E186" s="160">
        <v>3253000</v>
      </c>
      <c r="F186" s="160">
        <v>3102288</v>
      </c>
      <c r="G186" s="160">
        <v>3102288</v>
      </c>
      <c r="H186" s="160">
        <v>0</v>
      </c>
      <c r="I186" s="160">
        <v>0</v>
      </c>
      <c r="J186" s="160">
        <v>0</v>
      </c>
      <c r="K186" s="160">
        <v>2903642</v>
      </c>
      <c r="L186" s="160">
        <v>2903642</v>
      </c>
      <c r="M186" s="160">
        <v>198646</v>
      </c>
      <c r="N186" s="160">
        <v>198646</v>
      </c>
    </row>
    <row r="187" spans="1:14" x14ac:dyDescent="0.25">
      <c r="A187" s="158" t="s">
        <v>567</v>
      </c>
      <c r="B187" s="158" t="s">
        <v>330</v>
      </c>
      <c r="C187" s="158" t="s">
        <v>277</v>
      </c>
      <c r="D187" s="158" t="s">
        <v>564</v>
      </c>
      <c r="E187" s="160">
        <v>1402000</v>
      </c>
      <c r="F187" s="160">
        <v>1337038</v>
      </c>
      <c r="G187" s="160">
        <v>1337038</v>
      </c>
      <c r="H187" s="160">
        <v>0</v>
      </c>
      <c r="I187" s="160">
        <v>0</v>
      </c>
      <c r="J187" s="160">
        <v>0</v>
      </c>
      <c r="K187" s="160">
        <v>1251565</v>
      </c>
      <c r="L187" s="160">
        <v>1251565</v>
      </c>
      <c r="M187" s="160">
        <v>85473</v>
      </c>
      <c r="N187" s="160">
        <v>85473</v>
      </c>
    </row>
    <row r="188" spans="1:14" x14ac:dyDescent="0.25">
      <c r="A188" s="158" t="s">
        <v>567</v>
      </c>
      <c r="B188" s="158" t="s">
        <v>278</v>
      </c>
      <c r="C188" s="158" t="s">
        <v>279</v>
      </c>
      <c r="D188" s="158" t="s">
        <v>564</v>
      </c>
      <c r="E188" s="160">
        <v>41400000</v>
      </c>
      <c r="F188" s="160">
        <v>33104669</v>
      </c>
      <c r="G188" s="160">
        <v>33104669</v>
      </c>
      <c r="H188" s="160">
        <v>0</v>
      </c>
      <c r="I188" s="160">
        <v>0</v>
      </c>
      <c r="J188" s="160">
        <v>0</v>
      </c>
      <c r="K188" s="160">
        <v>1129548</v>
      </c>
      <c r="L188" s="160">
        <v>1103578</v>
      </c>
      <c r="M188" s="160">
        <v>31975121</v>
      </c>
      <c r="N188" s="160">
        <v>31975121</v>
      </c>
    </row>
    <row r="189" spans="1:14" x14ac:dyDescent="0.25">
      <c r="A189" s="158" t="s">
        <v>567</v>
      </c>
      <c r="B189" s="158" t="s">
        <v>280</v>
      </c>
      <c r="C189" s="158" t="s">
        <v>281</v>
      </c>
      <c r="D189" s="158" t="s">
        <v>564</v>
      </c>
      <c r="E189" s="160">
        <v>15000000</v>
      </c>
      <c r="F189" s="160">
        <v>6704669</v>
      </c>
      <c r="G189" s="160">
        <v>6704669</v>
      </c>
      <c r="H189" s="160">
        <v>0</v>
      </c>
      <c r="I189" s="160">
        <v>0</v>
      </c>
      <c r="J189" s="160">
        <v>0</v>
      </c>
      <c r="K189" s="160">
        <v>0</v>
      </c>
      <c r="L189" s="160">
        <v>0</v>
      </c>
      <c r="M189" s="160">
        <v>6704669</v>
      </c>
      <c r="N189" s="160">
        <v>6704669</v>
      </c>
    </row>
    <row r="190" spans="1:14" x14ac:dyDescent="0.25">
      <c r="A190" s="158" t="s">
        <v>567</v>
      </c>
      <c r="B190" s="158" t="s">
        <v>282</v>
      </c>
      <c r="C190" s="158" t="s">
        <v>283</v>
      </c>
      <c r="D190" s="158" t="s">
        <v>564</v>
      </c>
      <c r="E190" s="160">
        <v>26400000</v>
      </c>
      <c r="F190" s="160">
        <v>26400000</v>
      </c>
      <c r="G190" s="160">
        <v>26400000</v>
      </c>
      <c r="H190" s="160">
        <v>0</v>
      </c>
      <c r="I190" s="160">
        <v>0</v>
      </c>
      <c r="J190" s="160">
        <v>0</v>
      </c>
      <c r="K190" s="160">
        <v>1129548</v>
      </c>
      <c r="L190" s="160">
        <v>1103578</v>
      </c>
      <c r="M190" s="160">
        <v>25270452</v>
      </c>
      <c r="N190" s="160">
        <v>25270452</v>
      </c>
    </row>
    <row r="191" spans="1:14" x14ac:dyDescent="0.25">
      <c r="A191" s="158" t="s">
        <v>567</v>
      </c>
      <c r="B191" s="158" t="s">
        <v>284</v>
      </c>
      <c r="C191" s="158" t="s">
        <v>285</v>
      </c>
      <c r="D191" s="158" t="s">
        <v>564</v>
      </c>
      <c r="E191" s="160">
        <v>25000</v>
      </c>
      <c r="F191" s="160">
        <v>1465000</v>
      </c>
      <c r="G191" s="160">
        <v>1465000</v>
      </c>
      <c r="H191" s="160">
        <v>0</v>
      </c>
      <c r="I191" s="160">
        <v>207775.87</v>
      </c>
      <c r="J191" s="160">
        <v>0</v>
      </c>
      <c r="K191" s="160">
        <v>1257224.1299999999</v>
      </c>
      <c r="L191" s="160">
        <v>0</v>
      </c>
      <c r="M191" s="160">
        <v>0</v>
      </c>
      <c r="N191" s="160">
        <v>0</v>
      </c>
    </row>
    <row r="192" spans="1:14" x14ac:dyDescent="0.25">
      <c r="A192" s="158" t="s">
        <v>567</v>
      </c>
      <c r="B192" s="158" t="s">
        <v>286</v>
      </c>
      <c r="C192" s="158" t="s">
        <v>287</v>
      </c>
      <c r="D192" s="158" t="s">
        <v>564</v>
      </c>
      <c r="E192" s="160">
        <v>25000</v>
      </c>
      <c r="F192" s="160">
        <v>1465000</v>
      </c>
      <c r="G192" s="160">
        <v>1465000</v>
      </c>
      <c r="H192" s="160">
        <v>0</v>
      </c>
      <c r="I192" s="160">
        <v>207775.87</v>
      </c>
      <c r="J192" s="160">
        <v>0</v>
      </c>
      <c r="K192" s="160">
        <v>1257224.1299999999</v>
      </c>
      <c r="L192" s="160">
        <v>0</v>
      </c>
      <c r="M192" s="160">
        <v>0</v>
      </c>
      <c r="N192" s="160">
        <v>0</v>
      </c>
    </row>
    <row r="193" spans="1:14" x14ac:dyDescent="0.25">
      <c r="A193" s="158" t="s">
        <v>567</v>
      </c>
      <c r="B193" s="158" t="s">
        <v>296</v>
      </c>
      <c r="C193" s="158" t="s">
        <v>297</v>
      </c>
      <c r="D193" s="158" t="s">
        <v>566</v>
      </c>
      <c r="E193" s="160">
        <v>1537000</v>
      </c>
      <c r="F193" s="160">
        <v>1537000</v>
      </c>
      <c r="G193" s="160">
        <v>1537000</v>
      </c>
      <c r="H193" s="160">
        <v>0</v>
      </c>
      <c r="I193" s="160">
        <v>61155</v>
      </c>
      <c r="J193" s="160">
        <v>0</v>
      </c>
      <c r="K193" s="160">
        <v>1459316.8</v>
      </c>
      <c r="L193" s="160">
        <v>1459316.8</v>
      </c>
      <c r="M193" s="160">
        <v>16528.2</v>
      </c>
      <c r="N193" s="160">
        <v>16528.2</v>
      </c>
    </row>
    <row r="194" spans="1:14" x14ac:dyDescent="0.25">
      <c r="A194" s="158" t="s">
        <v>567</v>
      </c>
      <c r="B194" s="158" t="s">
        <v>298</v>
      </c>
      <c r="C194" s="158" t="s">
        <v>299</v>
      </c>
      <c r="D194" s="158" t="s">
        <v>566</v>
      </c>
      <c r="E194" s="160">
        <v>1537000</v>
      </c>
      <c r="F194" s="160">
        <v>1537000</v>
      </c>
      <c r="G194" s="160">
        <v>1537000</v>
      </c>
      <c r="H194" s="160">
        <v>0</v>
      </c>
      <c r="I194" s="160">
        <v>61155</v>
      </c>
      <c r="J194" s="160">
        <v>0</v>
      </c>
      <c r="K194" s="160">
        <v>1459316.8</v>
      </c>
      <c r="L194" s="160">
        <v>1459316.8</v>
      </c>
      <c r="M194" s="160">
        <v>16528.2</v>
      </c>
      <c r="N194" s="160">
        <v>16528.2</v>
      </c>
    </row>
    <row r="195" spans="1:14" x14ac:dyDescent="0.25">
      <c r="A195" s="158" t="s">
        <v>567</v>
      </c>
      <c r="B195" s="158" t="s">
        <v>302</v>
      </c>
      <c r="C195" s="158" t="s">
        <v>303</v>
      </c>
      <c r="D195" s="158" t="s">
        <v>566</v>
      </c>
      <c r="E195" s="160">
        <v>681000</v>
      </c>
      <c r="F195" s="160">
        <v>0</v>
      </c>
      <c r="G195" s="160">
        <v>0</v>
      </c>
      <c r="H195" s="160">
        <v>0</v>
      </c>
      <c r="I195" s="160">
        <v>0</v>
      </c>
      <c r="J195" s="160">
        <v>0</v>
      </c>
      <c r="K195" s="160">
        <v>0</v>
      </c>
      <c r="L195" s="160">
        <v>0</v>
      </c>
      <c r="M195" s="160">
        <v>0</v>
      </c>
      <c r="N195" s="160">
        <v>0</v>
      </c>
    </row>
    <row r="196" spans="1:14" x14ac:dyDescent="0.25">
      <c r="A196" s="158" t="s">
        <v>567</v>
      </c>
      <c r="B196" s="158" t="s">
        <v>304</v>
      </c>
      <c r="C196" s="158" t="s">
        <v>305</v>
      </c>
      <c r="D196" s="158" t="s">
        <v>566</v>
      </c>
      <c r="E196" s="160">
        <v>481000</v>
      </c>
      <c r="F196" s="160">
        <v>398146.2</v>
      </c>
      <c r="G196" s="160">
        <v>398146.2</v>
      </c>
      <c r="H196" s="160">
        <v>0</v>
      </c>
      <c r="I196" s="160">
        <v>61155</v>
      </c>
      <c r="J196" s="160">
        <v>0</v>
      </c>
      <c r="K196" s="160">
        <v>320463</v>
      </c>
      <c r="L196" s="160">
        <v>320463</v>
      </c>
      <c r="M196" s="160">
        <v>16528.2</v>
      </c>
      <c r="N196" s="160">
        <v>16528.2</v>
      </c>
    </row>
    <row r="197" spans="1:14" x14ac:dyDescent="0.25">
      <c r="A197" s="158" t="s">
        <v>567</v>
      </c>
      <c r="B197" s="158" t="s">
        <v>306</v>
      </c>
      <c r="C197" s="158" t="s">
        <v>307</v>
      </c>
      <c r="D197" s="158" t="s">
        <v>566</v>
      </c>
      <c r="E197" s="160">
        <v>0</v>
      </c>
      <c r="F197" s="160">
        <v>1138853.8</v>
      </c>
      <c r="G197" s="160">
        <v>1138853.8</v>
      </c>
      <c r="H197" s="160">
        <v>0</v>
      </c>
      <c r="I197" s="160">
        <v>0</v>
      </c>
      <c r="J197" s="160">
        <v>0</v>
      </c>
      <c r="K197" s="160">
        <v>1138853.8</v>
      </c>
      <c r="L197" s="160">
        <v>1138853.8</v>
      </c>
      <c r="M197" s="160">
        <v>0</v>
      </c>
      <c r="N197" s="160">
        <v>0</v>
      </c>
    </row>
    <row r="198" spans="1:14" x14ac:dyDescent="0.25">
      <c r="A198" s="158" t="s">
        <v>567</v>
      </c>
      <c r="B198" s="158" t="s">
        <v>312</v>
      </c>
      <c r="C198" s="158" t="s">
        <v>313</v>
      </c>
      <c r="D198" s="158" t="s">
        <v>566</v>
      </c>
      <c r="E198" s="160">
        <v>375000</v>
      </c>
      <c r="F198" s="160">
        <v>0</v>
      </c>
      <c r="G198" s="160">
        <v>0</v>
      </c>
      <c r="H198" s="160">
        <v>0</v>
      </c>
      <c r="I198" s="160">
        <v>0</v>
      </c>
      <c r="J198" s="160">
        <v>0</v>
      </c>
      <c r="K198" s="160">
        <v>0</v>
      </c>
      <c r="L198" s="160">
        <v>0</v>
      </c>
      <c r="M198" s="160">
        <v>0</v>
      </c>
      <c r="N198" s="160">
        <v>0</v>
      </c>
    </row>
    <row r="199" spans="1:14" s="65" customFormat="1" x14ac:dyDescent="0.25">
      <c r="A199" s="176">
        <v>214781</v>
      </c>
      <c r="B199" s="176"/>
      <c r="C199" s="176"/>
      <c r="D199" s="176" t="s">
        <v>564</v>
      </c>
      <c r="E199" s="177">
        <v>9598020000</v>
      </c>
      <c r="F199" s="177">
        <v>9124165928</v>
      </c>
      <c r="G199" s="177">
        <v>9124165927</v>
      </c>
      <c r="H199" s="177">
        <v>4330422</v>
      </c>
      <c r="I199" s="177">
        <v>43419099.909999996</v>
      </c>
      <c r="J199" s="177">
        <v>0</v>
      </c>
      <c r="K199" s="177">
        <v>8639388473.7000008</v>
      </c>
      <c r="L199" s="177">
        <v>7118508453.04</v>
      </c>
      <c r="M199" s="177">
        <v>437027932.38999999</v>
      </c>
      <c r="N199" s="177">
        <v>437027931.38999999</v>
      </c>
    </row>
    <row r="200" spans="1:14" x14ac:dyDescent="0.25">
      <c r="A200" s="158" t="s">
        <v>568</v>
      </c>
      <c r="B200" s="158" t="s">
        <v>100</v>
      </c>
      <c r="C200" s="158" t="s">
        <v>101</v>
      </c>
      <c r="D200" s="158" t="s">
        <v>564</v>
      </c>
      <c r="E200" s="160">
        <v>8177518000</v>
      </c>
      <c r="F200" s="160">
        <v>7666862928</v>
      </c>
      <c r="G200" s="160">
        <v>7666862927</v>
      </c>
      <c r="H200" s="160">
        <v>0</v>
      </c>
      <c r="I200" s="160">
        <v>0</v>
      </c>
      <c r="J200" s="160">
        <v>0</v>
      </c>
      <c r="K200" s="160">
        <v>7353217680.3100004</v>
      </c>
      <c r="L200" s="160">
        <v>6028308281.5</v>
      </c>
      <c r="M200" s="160">
        <v>313645247.69</v>
      </c>
      <c r="N200" s="160">
        <v>313645246.69</v>
      </c>
    </row>
    <row r="201" spans="1:14" x14ac:dyDescent="0.25">
      <c r="A201" s="158" t="s">
        <v>568</v>
      </c>
      <c r="B201" s="158" t="s">
        <v>102</v>
      </c>
      <c r="C201" s="158" t="s">
        <v>103</v>
      </c>
      <c r="D201" s="158" t="s">
        <v>564</v>
      </c>
      <c r="E201" s="160">
        <v>2802377000</v>
      </c>
      <c r="F201" s="160">
        <v>2672218928</v>
      </c>
      <c r="G201" s="160">
        <v>2672218927</v>
      </c>
      <c r="H201" s="160">
        <v>0</v>
      </c>
      <c r="I201" s="160">
        <v>0</v>
      </c>
      <c r="J201" s="160">
        <v>0</v>
      </c>
      <c r="K201" s="160">
        <v>2529653494.21</v>
      </c>
      <c r="L201" s="160">
        <v>2109345304.74</v>
      </c>
      <c r="M201" s="160">
        <v>142565433.78999999</v>
      </c>
      <c r="N201" s="160">
        <v>142565432.78999999</v>
      </c>
    </row>
    <row r="202" spans="1:14" x14ac:dyDescent="0.25">
      <c r="A202" s="158" t="s">
        <v>568</v>
      </c>
      <c r="B202" s="158" t="s">
        <v>104</v>
      </c>
      <c r="C202" s="158" t="s">
        <v>105</v>
      </c>
      <c r="D202" s="158" t="s">
        <v>564</v>
      </c>
      <c r="E202" s="160">
        <v>2797377000</v>
      </c>
      <c r="F202" s="160">
        <v>2662218928</v>
      </c>
      <c r="G202" s="160">
        <v>2662218927</v>
      </c>
      <c r="H202" s="160">
        <v>0</v>
      </c>
      <c r="I202" s="160">
        <v>0</v>
      </c>
      <c r="J202" s="160">
        <v>0</v>
      </c>
      <c r="K202" s="160">
        <v>2522801404.21</v>
      </c>
      <c r="L202" s="160">
        <v>2104227446.4100001</v>
      </c>
      <c r="M202" s="160">
        <v>139417523.78999999</v>
      </c>
      <c r="N202" s="160">
        <v>139417522.78999999</v>
      </c>
    </row>
    <row r="203" spans="1:14" x14ac:dyDescent="0.25">
      <c r="A203" s="158" t="s">
        <v>568</v>
      </c>
      <c r="B203" s="158" t="s">
        <v>331</v>
      </c>
      <c r="C203" s="158" t="s">
        <v>332</v>
      </c>
      <c r="D203" s="158" t="s">
        <v>564</v>
      </c>
      <c r="E203" s="160">
        <v>5000000</v>
      </c>
      <c r="F203" s="160">
        <v>10000000</v>
      </c>
      <c r="G203" s="160">
        <v>10000000</v>
      </c>
      <c r="H203" s="160">
        <v>0</v>
      </c>
      <c r="I203" s="160">
        <v>0</v>
      </c>
      <c r="J203" s="160">
        <v>0</v>
      </c>
      <c r="K203" s="160">
        <v>6852090</v>
      </c>
      <c r="L203" s="160">
        <v>5117858.33</v>
      </c>
      <c r="M203" s="160">
        <v>3147910</v>
      </c>
      <c r="N203" s="160">
        <v>3147910</v>
      </c>
    </row>
    <row r="204" spans="1:14" x14ac:dyDescent="0.25">
      <c r="A204" s="158" t="s">
        <v>568</v>
      </c>
      <c r="B204" s="158" t="s">
        <v>106</v>
      </c>
      <c r="C204" s="158" t="s">
        <v>107</v>
      </c>
      <c r="D204" s="158" t="s">
        <v>564</v>
      </c>
      <c r="E204" s="160">
        <v>14000000</v>
      </c>
      <c r="F204" s="160">
        <v>14000000</v>
      </c>
      <c r="G204" s="160">
        <v>14000000</v>
      </c>
      <c r="H204" s="160">
        <v>0</v>
      </c>
      <c r="I204" s="160">
        <v>0</v>
      </c>
      <c r="J204" s="160">
        <v>0</v>
      </c>
      <c r="K204" s="160">
        <v>10867629.460000001</v>
      </c>
      <c r="L204" s="160">
        <v>8447433.8900000006</v>
      </c>
      <c r="M204" s="160">
        <v>3132370.54</v>
      </c>
      <c r="N204" s="160">
        <v>3132370.54</v>
      </c>
    </row>
    <row r="205" spans="1:14" x14ac:dyDescent="0.25">
      <c r="A205" s="158" t="s">
        <v>568</v>
      </c>
      <c r="B205" s="158" t="s">
        <v>108</v>
      </c>
      <c r="C205" s="158" t="s">
        <v>109</v>
      </c>
      <c r="D205" s="158" t="s">
        <v>564</v>
      </c>
      <c r="E205" s="160">
        <v>14000000</v>
      </c>
      <c r="F205" s="160">
        <v>14000000</v>
      </c>
      <c r="G205" s="160">
        <v>14000000</v>
      </c>
      <c r="H205" s="160">
        <v>0</v>
      </c>
      <c r="I205" s="160">
        <v>0</v>
      </c>
      <c r="J205" s="160">
        <v>0</v>
      </c>
      <c r="K205" s="160">
        <v>10867629.460000001</v>
      </c>
      <c r="L205" s="160">
        <v>8447433.8900000006</v>
      </c>
      <c r="M205" s="160">
        <v>3132370.54</v>
      </c>
      <c r="N205" s="160">
        <v>3132370.54</v>
      </c>
    </row>
    <row r="206" spans="1:14" x14ac:dyDescent="0.25">
      <c r="A206" s="158" t="s">
        <v>568</v>
      </c>
      <c r="B206" s="158" t="s">
        <v>110</v>
      </c>
      <c r="C206" s="158" t="s">
        <v>111</v>
      </c>
      <c r="D206" s="158" t="s">
        <v>564</v>
      </c>
      <c r="E206" s="160">
        <v>4125574000</v>
      </c>
      <c r="F206" s="160">
        <v>3812603000</v>
      </c>
      <c r="G206" s="160">
        <v>3812603000</v>
      </c>
      <c r="H206" s="160">
        <v>0</v>
      </c>
      <c r="I206" s="160">
        <v>0</v>
      </c>
      <c r="J206" s="160">
        <v>0</v>
      </c>
      <c r="K206" s="160">
        <v>3717678155.6399999</v>
      </c>
      <c r="L206" s="160">
        <v>2815497141.8699999</v>
      </c>
      <c r="M206" s="160">
        <v>94924844.359999999</v>
      </c>
      <c r="N206" s="160">
        <v>94924844.359999999</v>
      </c>
    </row>
    <row r="207" spans="1:14" x14ac:dyDescent="0.25">
      <c r="A207" s="158" t="s">
        <v>568</v>
      </c>
      <c r="B207" s="158" t="s">
        <v>112</v>
      </c>
      <c r="C207" s="158" t="s">
        <v>113</v>
      </c>
      <c r="D207" s="158" t="s">
        <v>564</v>
      </c>
      <c r="E207" s="160">
        <v>742511000</v>
      </c>
      <c r="F207" s="160">
        <v>671025000</v>
      </c>
      <c r="G207" s="160">
        <v>671025000</v>
      </c>
      <c r="H207" s="160">
        <v>0</v>
      </c>
      <c r="I207" s="160">
        <v>0</v>
      </c>
      <c r="J207" s="160">
        <v>0</v>
      </c>
      <c r="K207" s="160">
        <v>655069125.29999995</v>
      </c>
      <c r="L207" s="160">
        <v>547282217.64999998</v>
      </c>
      <c r="M207" s="160">
        <v>15955874.699999999</v>
      </c>
      <c r="N207" s="160">
        <v>15955874.699999999</v>
      </c>
    </row>
    <row r="208" spans="1:14" x14ac:dyDescent="0.25">
      <c r="A208" s="158" t="s">
        <v>568</v>
      </c>
      <c r="B208" s="158" t="s">
        <v>114</v>
      </c>
      <c r="C208" s="158" t="s">
        <v>115</v>
      </c>
      <c r="D208" s="158" t="s">
        <v>564</v>
      </c>
      <c r="E208" s="160">
        <v>1881698000</v>
      </c>
      <c r="F208" s="160">
        <v>1707053000</v>
      </c>
      <c r="G208" s="160">
        <v>1707053000</v>
      </c>
      <c r="H208" s="160">
        <v>0</v>
      </c>
      <c r="I208" s="160">
        <v>0</v>
      </c>
      <c r="J208" s="160">
        <v>0</v>
      </c>
      <c r="K208" s="160">
        <v>1667807719.25</v>
      </c>
      <c r="L208" s="160">
        <v>1391596875.53</v>
      </c>
      <c r="M208" s="160">
        <v>39245280.75</v>
      </c>
      <c r="N208" s="160">
        <v>39245280.75</v>
      </c>
    </row>
    <row r="209" spans="1:14" x14ac:dyDescent="0.25">
      <c r="A209" s="158" t="s">
        <v>568</v>
      </c>
      <c r="B209" s="158" t="s">
        <v>116</v>
      </c>
      <c r="C209" s="158" t="s">
        <v>117</v>
      </c>
      <c r="D209" s="158" t="s">
        <v>564</v>
      </c>
      <c r="E209" s="160">
        <v>449000000</v>
      </c>
      <c r="F209" s="160">
        <v>444000000</v>
      </c>
      <c r="G209" s="160">
        <v>444000000</v>
      </c>
      <c r="H209" s="160">
        <v>0</v>
      </c>
      <c r="I209" s="160">
        <v>0</v>
      </c>
      <c r="J209" s="160">
        <v>0</v>
      </c>
      <c r="K209" s="160">
        <v>440541194.57999998</v>
      </c>
      <c r="L209" s="160">
        <v>72295.62</v>
      </c>
      <c r="M209" s="160">
        <v>3458805.42</v>
      </c>
      <c r="N209" s="160">
        <v>3458805.42</v>
      </c>
    </row>
    <row r="210" spans="1:14" x14ac:dyDescent="0.25">
      <c r="A210" s="158" t="s">
        <v>568</v>
      </c>
      <c r="B210" s="158" t="s">
        <v>118</v>
      </c>
      <c r="C210" s="158" t="s">
        <v>119</v>
      </c>
      <c r="D210" s="158" t="s">
        <v>564</v>
      </c>
      <c r="E210" s="160">
        <v>511365000</v>
      </c>
      <c r="F210" s="160">
        <v>478624000</v>
      </c>
      <c r="G210" s="160">
        <v>478624000</v>
      </c>
      <c r="H210" s="160">
        <v>0</v>
      </c>
      <c r="I210" s="160">
        <v>0</v>
      </c>
      <c r="J210" s="160">
        <v>0</v>
      </c>
      <c r="K210" s="160">
        <v>465460365.62</v>
      </c>
      <c r="L210" s="160">
        <v>387793505.80000001</v>
      </c>
      <c r="M210" s="160">
        <v>13163634.380000001</v>
      </c>
      <c r="N210" s="160">
        <v>13163634.380000001</v>
      </c>
    </row>
    <row r="211" spans="1:14" x14ac:dyDescent="0.25">
      <c r="A211" s="158" t="s">
        <v>568</v>
      </c>
      <c r="B211" s="158" t="s">
        <v>120</v>
      </c>
      <c r="C211" s="158" t="s">
        <v>121</v>
      </c>
      <c r="D211" s="158" t="s">
        <v>566</v>
      </c>
      <c r="E211" s="160">
        <v>541000000</v>
      </c>
      <c r="F211" s="160">
        <v>511901000</v>
      </c>
      <c r="G211" s="160">
        <v>511901000</v>
      </c>
      <c r="H211" s="160">
        <v>0</v>
      </c>
      <c r="I211" s="160">
        <v>0</v>
      </c>
      <c r="J211" s="160">
        <v>0</v>
      </c>
      <c r="K211" s="160">
        <v>488799750.88999999</v>
      </c>
      <c r="L211" s="160">
        <v>488752247.26999998</v>
      </c>
      <c r="M211" s="160">
        <v>23101249.109999999</v>
      </c>
      <c r="N211" s="160">
        <v>23101249.109999999</v>
      </c>
    </row>
    <row r="212" spans="1:14" x14ac:dyDescent="0.25">
      <c r="A212" s="158" t="s">
        <v>568</v>
      </c>
      <c r="B212" s="158" t="s">
        <v>122</v>
      </c>
      <c r="C212" s="158" t="s">
        <v>123</v>
      </c>
      <c r="D212" s="158" t="s">
        <v>564</v>
      </c>
      <c r="E212" s="160">
        <v>623216000</v>
      </c>
      <c r="F212" s="160">
        <v>589156000</v>
      </c>
      <c r="G212" s="160">
        <v>589156000</v>
      </c>
      <c r="H212" s="160">
        <v>0</v>
      </c>
      <c r="I212" s="160">
        <v>0</v>
      </c>
      <c r="J212" s="160">
        <v>0</v>
      </c>
      <c r="K212" s="160">
        <v>561293144</v>
      </c>
      <c r="L212" s="160">
        <v>561293144</v>
      </c>
      <c r="M212" s="160">
        <v>27862856</v>
      </c>
      <c r="N212" s="160">
        <v>27862856</v>
      </c>
    </row>
    <row r="213" spans="1:14" x14ac:dyDescent="0.25">
      <c r="A213" s="158" t="s">
        <v>568</v>
      </c>
      <c r="B213" s="158" t="s">
        <v>333</v>
      </c>
      <c r="C213" s="158" t="s">
        <v>125</v>
      </c>
      <c r="D213" s="158" t="s">
        <v>564</v>
      </c>
      <c r="E213" s="160">
        <v>591256000</v>
      </c>
      <c r="F213" s="160">
        <v>558943000</v>
      </c>
      <c r="G213" s="160">
        <v>558943000</v>
      </c>
      <c r="H213" s="160">
        <v>0</v>
      </c>
      <c r="I213" s="160">
        <v>0</v>
      </c>
      <c r="J213" s="160">
        <v>0</v>
      </c>
      <c r="K213" s="160">
        <v>532511231</v>
      </c>
      <c r="L213" s="160">
        <v>532511231</v>
      </c>
      <c r="M213" s="160">
        <v>26431769</v>
      </c>
      <c r="N213" s="160">
        <v>26431769</v>
      </c>
    </row>
    <row r="214" spans="1:14" x14ac:dyDescent="0.25">
      <c r="A214" s="158" t="s">
        <v>568</v>
      </c>
      <c r="B214" s="158" t="s">
        <v>334</v>
      </c>
      <c r="C214" s="158" t="s">
        <v>127</v>
      </c>
      <c r="D214" s="158" t="s">
        <v>564</v>
      </c>
      <c r="E214" s="160">
        <v>31960000</v>
      </c>
      <c r="F214" s="160">
        <v>30213000</v>
      </c>
      <c r="G214" s="160">
        <v>30213000</v>
      </c>
      <c r="H214" s="160">
        <v>0</v>
      </c>
      <c r="I214" s="160">
        <v>0</v>
      </c>
      <c r="J214" s="160">
        <v>0</v>
      </c>
      <c r="K214" s="160">
        <v>28781913</v>
      </c>
      <c r="L214" s="160">
        <v>28781913</v>
      </c>
      <c r="M214" s="160">
        <v>1431087</v>
      </c>
      <c r="N214" s="160">
        <v>1431087</v>
      </c>
    </row>
    <row r="215" spans="1:14" x14ac:dyDescent="0.25">
      <c r="A215" s="158" t="s">
        <v>568</v>
      </c>
      <c r="B215" s="158" t="s">
        <v>128</v>
      </c>
      <c r="C215" s="158" t="s">
        <v>129</v>
      </c>
      <c r="D215" s="158" t="s">
        <v>564</v>
      </c>
      <c r="E215" s="160">
        <v>612351000</v>
      </c>
      <c r="F215" s="160">
        <v>578885000</v>
      </c>
      <c r="G215" s="160">
        <v>578885000</v>
      </c>
      <c r="H215" s="160">
        <v>0</v>
      </c>
      <c r="I215" s="160">
        <v>0</v>
      </c>
      <c r="J215" s="160">
        <v>0</v>
      </c>
      <c r="K215" s="160">
        <v>533725257</v>
      </c>
      <c r="L215" s="160">
        <v>533725257</v>
      </c>
      <c r="M215" s="160">
        <v>45159743</v>
      </c>
      <c r="N215" s="160">
        <v>45159743</v>
      </c>
    </row>
    <row r="216" spans="1:14" x14ac:dyDescent="0.25">
      <c r="A216" s="158" t="s">
        <v>568</v>
      </c>
      <c r="B216" s="158" t="s">
        <v>335</v>
      </c>
      <c r="C216" s="158" t="s">
        <v>131</v>
      </c>
      <c r="D216" s="158" t="s">
        <v>564</v>
      </c>
      <c r="E216" s="160">
        <v>324712000</v>
      </c>
      <c r="F216" s="160">
        <v>306966000</v>
      </c>
      <c r="G216" s="160">
        <v>306966000</v>
      </c>
      <c r="H216" s="160">
        <v>0</v>
      </c>
      <c r="I216" s="160">
        <v>0</v>
      </c>
      <c r="J216" s="160">
        <v>0</v>
      </c>
      <c r="K216" s="160">
        <v>274688166</v>
      </c>
      <c r="L216" s="160">
        <v>274688166</v>
      </c>
      <c r="M216" s="160">
        <v>32277834</v>
      </c>
      <c r="N216" s="160">
        <v>32277834</v>
      </c>
    </row>
    <row r="217" spans="1:14" x14ac:dyDescent="0.25">
      <c r="A217" s="158" t="s">
        <v>568</v>
      </c>
      <c r="B217" s="158" t="s">
        <v>336</v>
      </c>
      <c r="C217" s="158" t="s">
        <v>133</v>
      </c>
      <c r="D217" s="158" t="s">
        <v>564</v>
      </c>
      <c r="E217" s="160">
        <v>95880000</v>
      </c>
      <c r="F217" s="160">
        <v>90640000</v>
      </c>
      <c r="G217" s="160">
        <v>90640000</v>
      </c>
      <c r="H217" s="160">
        <v>0</v>
      </c>
      <c r="I217" s="160">
        <v>0</v>
      </c>
      <c r="J217" s="160">
        <v>0</v>
      </c>
      <c r="K217" s="160">
        <v>86345697</v>
      </c>
      <c r="L217" s="160">
        <v>86345697</v>
      </c>
      <c r="M217" s="160">
        <v>4294303</v>
      </c>
      <c r="N217" s="160">
        <v>4294303</v>
      </c>
    </row>
    <row r="218" spans="1:14" x14ac:dyDescent="0.25">
      <c r="A218" s="158" t="s">
        <v>568</v>
      </c>
      <c r="B218" s="158" t="s">
        <v>337</v>
      </c>
      <c r="C218" s="158" t="s">
        <v>135</v>
      </c>
      <c r="D218" s="158" t="s">
        <v>564</v>
      </c>
      <c r="E218" s="160">
        <v>191759000</v>
      </c>
      <c r="F218" s="160">
        <v>181279000</v>
      </c>
      <c r="G218" s="160">
        <v>181279000</v>
      </c>
      <c r="H218" s="160">
        <v>0</v>
      </c>
      <c r="I218" s="160">
        <v>0</v>
      </c>
      <c r="J218" s="160">
        <v>0</v>
      </c>
      <c r="K218" s="160">
        <v>172691394</v>
      </c>
      <c r="L218" s="160">
        <v>172691394</v>
      </c>
      <c r="M218" s="160">
        <v>8587606</v>
      </c>
      <c r="N218" s="160">
        <v>8587606</v>
      </c>
    </row>
    <row r="219" spans="1:14" x14ac:dyDescent="0.25">
      <c r="A219" s="158" t="s">
        <v>568</v>
      </c>
      <c r="B219" s="158" t="s">
        <v>136</v>
      </c>
      <c r="C219" s="158" t="s">
        <v>137</v>
      </c>
      <c r="D219" s="158" t="s">
        <v>564</v>
      </c>
      <c r="E219" s="160">
        <v>959458000</v>
      </c>
      <c r="F219" s="160">
        <v>902133000</v>
      </c>
      <c r="G219" s="160">
        <v>902133000</v>
      </c>
      <c r="H219" s="160">
        <v>4330422</v>
      </c>
      <c r="I219" s="160">
        <v>30890522.449999999</v>
      </c>
      <c r="J219" s="160">
        <v>0</v>
      </c>
      <c r="K219" s="160">
        <v>763485645.72000003</v>
      </c>
      <c r="L219" s="160">
        <v>650265341.36000001</v>
      </c>
      <c r="M219" s="160">
        <v>103426409.83</v>
      </c>
      <c r="N219" s="160">
        <v>103426409.83</v>
      </c>
    </row>
    <row r="220" spans="1:14" x14ac:dyDescent="0.25">
      <c r="A220" s="158" t="s">
        <v>568</v>
      </c>
      <c r="B220" s="158" t="s">
        <v>138</v>
      </c>
      <c r="C220" s="158" t="s">
        <v>139</v>
      </c>
      <c r="D220" s="158" t="s">
        <v>564</v>
      </c>
      <c r="E220" s="160">
        <v>234200000</v>
      </c>
      <c r="F220" s="160">
        <v>203520000</v>
      </c>
      <c r="G220" s="160">
        <v>203520000</v>
      </c>
      <c r="H220" s="160">
        <v>0</v>
      </c>
      <c r="I220" s="160">
        <v>222990</v>
      </c>
      <c r="J220" s="160">
        <v>0</v>
      </c>
      <c r="K220" s="160">
        <v>192937295.72999999</v>
      </c>
      <c r="L220" s="160">
        <v>166114366.90000001</v>
      </c>
      <c r="M220" s="160">
        <v>10359714.27</v>
      </c>
      <c r="N220" s="160">
        <v>10359714.27</v>
      </c>
    </row>
    <row r="221" spans="1:14" x14ac:dyDescent="0.25">
      <c r="A221" s="158" t="s">
        <v>568</v>
      </c>
      <c r="B221" s="158" t="s">
        <v>323</v>
      </c>
      <c r="C221" s="158" t="s">
        <v>324</v>
      </c>
      <c r="D221" s="158" t="s">
        <v>564</v>
      </c>
      <c r="E221" s="160">
        <v>99428000</v>
      </c>
      <c r="F221" s="160">
        <v>99428000</v>
      </c>
      <c r="G221" s="160">
        <v>99428000</v>
      </c>
      <c r="H221" s="160">
        <v>0</v>
      </c>
      <c r="I221" s="160">
        <v>222990</v>
      </c>
      <c r="J221" s="160">
        <v>0</v>
      </c>
      <c r="K221" s="160">
        <v>98497129.599999994</v>
      </c>
      <c r="L221" s="160">
        <v>93820448.799999997</v>
      </c>
      <c r="M221" s="160">
        <v>707880.4</v>
      </c>
      <c r="N221" s="160">
        <v>707880.4</v>
      </c>
    </row>
    <row r="222" spans="1:14" x14ac:dyDescent="0.25">
      <c r="A222" s="158" t="s">
        <v>568</v>
      </c>
      <c r="B222" s="158" t="s">
        <v>338</v>
      </c>
      <c r="C222" s="158" t="s">
        <v>339</v>
      </c>
      <c r="D222" s="158" t="s">
        <v>564</v>
      </c>
      <c r="E222" s="160">
        <v>8776000</v>
      </c>
      <c r="F222" s="160">
        <v>7776000</v>
      </c>
      <c r="G222" s="160">
        <v>7776000</v>
      </c>
      <c r="H222" s="160">
        <v>0</v>
      </c>
      <c r="I222" s="160">
        <v>0</v>
      </c>
      <c r="J222" s="160">
        <v>0</v>
      </c>
      <c r="K222" s="160">
        <v>5694069.6799999997</v>
      </c>
      <c r="L222" s="160">
        <v>5126228.8099999996</v>
      </c>
      <c r="M222" s="160">
        <v>2081930.32</v>
      </c>
      <c r="N222" s="160">
        <v>2081930.32</v>
      </c>
    </row>
    <row r="223" spans="1:14" x14ac:dyDescent="0.25">
      <c r="A223" s="158" t="s">
        <v>568</v>
      </c>
      <c r="B223" s="158" t="s">
        <v>140</v>
      </c>
      <c r="C223" s="158" t="s">
        <v>141</v>
      </c>
      <c r="D223" s="158" t="s">
        <v>564</v>
      </c>
      <c r="E223" s="160">
        <v>115000000</v>
      </c>
      <c r="F223" s="160">
        <v>85000000</v>
      </c>
      <c r="G223" s="160">
        <v>85000000</v>
      </c>
      <c r="H223" s="160">
        <v>0</v>
      </c>
      <c r="I223" s="160">
        <v>0</v>
      </c>
      <c r="J223" s="160">
        <v>0</v>
      </c>
      <c r="K223" s="160">
        <v>79023023.450000003</v>
      </c>
      <c r="L223" s="160">
        <v>65925768.039999999</v>
      </c>
      <c r="M223" s="160">
        <v>5976976.5499999998</v>
      </c>
      <c r="N223" s="160">
        <v>5976976.5499999998</v>
      </c>
    </row>
    <row r="224" spans="1:14" x14ac:dyDescent="0.25">
      <c r="A224" s="158" t="s">
        <v>568</v>
      </c>
      <c r="B224" s="158" t="s">
        <v>340</v>
      </c>
      <c r="C224" s="158" t="s">
        <v>341</v>
      </c>
      <c r="D224" s="158" t="s">
        <v>564</v>
      </c>
      <c r="E224" s="160">
        <v>1496000</v>
      </c>
      <c r="F224" s="160">
        <v>1716000</v>
      </c>
      <c r="G224" s="160">
        <v>1716000</v>
      </c>
      <c r="H224" s="160">
        <v>0</v>
      </c>
      <c r="I224" s="160">
        <v>0</v>
      </c>
      <c r="J224" s="160">
        <v>0</v>
      </c>
      <c r="K224" s="160">
        <v>1493163</v>
      </c>
      <c r="L224" s="160">
        <v>1241921.25</v>
      </c>
      <c r="M224" s="160">
        <v>222837</v>
      </c>
      <c r="N224" s="160">
        <v>222837</v>
      </c>
    </row>
    <row r="225" spans="1:14" x14ac:dyDescent="0.25">
      <c r="A225" s="158" t="s">
        <v>568</v>
      </c>
      <c r="B225" s="158" t="s">
        <v>142</v>
      </c>
      <c r="C225" s="158" t="s">
        <v>143</v>
      </c>
      <c r="D225" s="158" t="s">
        <v>564</v>
      </c>
      <c r="E225" s="160">
        <v>9500000</v>
      </c>
      <c r="F225" s="160">
        <v>9600000</v>
      </c>
      <c r="G225" s="160">
        <v>9600000</v>
      </c>
      <c r="H225" s="160">
        <v>0</v>
      </c>
      <c r="I225" s="160">
        <v>0</v>
      </c>
      <c r="J225" s="160">
        <v>0</v>
      </c>
      <c r="K225" s="160">
        <v>8229910</v>
      </c>
      <c r="L225" s="160">
        <v>0</v>
      </c>
      <c r="M225" s="160">
        <v>1370090</v>
      </c>
      <c r="N225" s="160">
        <v>1370090</v>
      </c>
    </row>
    <row r="226" spans="1:14" x14ac:dyDescent="0.25">
      <c r="A226" s="158" t="s">
        <v>568</v>
      </c>
      <c r="B226" s="158" t="s">
        <v>144</v>
      </c>
      <c r="C226" s="158" t="s">
        <v>145</v>
      </c>
      <c r="D226" s="158" t="s">
        <v>564</v>
      </c>
      <c r="E226" s="160">
        <v>113487000</v>
      </c>
      <c r="F226" s="160">
        <v>109887000</v>
      </c>
      <c r="G226" s="160">
        <v>109887000</v>
      </c>
      <c r="H226" s="160">
        <v>0</v>
      </c>
      <c r="I226" s="160">
        <v>6655167.9000000004</v>
      </c>
      <c r="J226" s="160">
        <v>0</v>
      </c>
      <c r="K226" s="160">
        <v>102942432.59999999</v>
      </c>
      <c r="L226" s="160">
        <v>97996550.599999994</v>
      </c>
      <c r="M226" s="160">
        <v>289399.5</v>
      </c>
      <c r="N226" s="160">
        <v>289399.5</v>
      </c>
    </row>
    <row r="227" spans="1:14" x14ac:dyDescent="0.25">
      <c r="A227" s="158" t="s">
        <v>568</v>
      </c>
      <c r="B227" s="158" t="s">
        <v>146</v>
      </c>
      <c r="C227" s="158" t="s">
        <v>147</v>
      </c>
      <c r="D227" s="158" t="s">
        <v>564</v>
      </c>
      <c r="E227" s="160">
        <v>15600000</v>
      </c>
      <c r="F227" s="160">
        <v>12000000</v>
      </c>
      <c r="G227" s="160">
        <v>12000000</v>
      </c>
      <c r="H227" s="160">
        <v>0</v>
      </c>
      <c r="I227" s="160">
        <v>1590786</v>
      </c>
      <c r="J227" s="160">
        <v>0</v>
      </c>
      <c r="K227" s="160">
        <v>10409214</v>
      </c>
      <c r="L227" s="160">
        <v>10409214</v>
      </c>
      <c r="M227" s="160">
        <v>0</v>
      </c>
      <c r="N227" s="160">
        <v>0</v>
      </c>
    </row>
    <row r="228" spans="1:14" x14ac:dyDescent="0.25">
      <c r="A228" s="158" t="s">
        <v>568</v>
      </c>
      <c r="B228" s="158" t="s">
        <v>148</v>
      </c>
      <c r="C228" s="158" t="s">
        <v>149</v>
      </c>
      <c r="D228" s="158" t="s">
        <v>564</v>
      </c>
      <c r="E228" s="160">
        <v>42000000</v>
      </c>
      <c r="F228" s="160">
        <v>46000000</v>
      </c>
      <c r="G228" s="160">
        <v>46000000</v>
      </c>
      <c r="H228" s="160">
        <v>0</v>
      </c>
      <c r="I228" s="160">
        <v>1716895</v>
      </c>
      <c r="J228" s="160">
        <v>0</v>
      </c>
      <c r="K228" s="160">
        <v>44283105</v>
      </c>
      <c r="L228" s="160">
        <v>44283105</v>
      </c>
      <c r="M228" s="160">
        <v>0</v>
      </c>
      <c r="N228" s="160">
        <v>0</v>
      </c>
    </row>
    <row r="229" spans="1:14" x14ac:dyDescent="0.25">
      <c r="A229" s="158" t="s">
        <v>568</v>
      </c>
      <c r="B229" s="158" t="s">
        <v>150</v>
      </c>
      <c r="C229" s="158" t="s">
        <v>151</v>
      </c>
      <c r="D229" s="158" t="s">
        <v>564</v>
      </c>
      <c r="E229" s="160">
        <v>16800000</v>
      </c>
      <c r="F229" s="160">
        <v>12800000</v>
      </c>
      <c r="G229" s="160">
        <v>12800000</v>
      </c>
      <c r="H229" s="160">
        <v>0</v>
      </c>
      <c r="I229" s="160">
        <v>1945850</v>
      </c>
      <c r="J229" s="160">
        <v>0</v>
      </c>
      <c r="K229" s="160">
        <v>10826350</v>
      </c>
      <c r="L229" s="160">
        <v>10066950</v>
      </c>
      <c r="M229" s="160">
        <v>27800</v>
      </c>
      <c r="N229" s="160">
        <v>27800</v>
      </c>
    </row>
    <row r="230" spans="1:14" x14ac:dyDescent="0.25">
      <c r="A230" s="158" t="s">
        <v>568</v>
      </c>
      <c r="B230" s="158" t="s">
        <v>152</v>
      </c>
      <c r="C230" s="158" t="s">
        <v>153</v>
      </c>
      <c r="D230" s="158" t="s">
        <v>564</v>
      </c>
      <c r="E230" s="160">
        <v>34487000</v>
      </c>
      <c r="F230" s="160">
        <v>34487000</v>
      </c>
      <c r="G230" s="160">
        <v>34487000</v>
      </c>
      <c r="H230" s="160">
        <v>0</v>
      </c>
      <c r="I230" s="160">
        <v>1107170</v>
      </c>
      <c r="J230" s="160">
        <v>0</v>
      </c>
      <c r="K230" s="160">
        <v>33119091.199999999</v>
      </c>
      <c r="L230" s="160">
        <v>28932609.199999999</v>
      </c>
      <c r="M230" s="160">
        <v>260738.8</v>
      </c>
      <c r="N230" s="160">
        <v>260738.8</v>
      </c>
    </row>
    <row r="231" spans="1:14" x14ac:dyDescent="0.25">
      <c r="A231" s="158" t="s">
        <v>568</v>
      </c>
      <c r="B231" s="158" t="s">
        <v>154</v>
      </c>
      <c r="C231" s="158" t="s">
        <v>155</v>
      </c>
      <c r="D231" s="158" t="s">
        <v>564</v>
      </c>
      <c r="E231" s="160">
        <v>4600000</v>
      </c>
      <c r="F231" s="160">
        <v>4600000</v>
      </c>
      <c r="G231" s="160">
        <v>4600000</v>
      </c>
      <c r="H231" s="160">
        <v>0</v>
      </c>
      <c r="I231" s="160">
        <v>294466.90000000002</v>
      </c>
      <c r="J231" s="160">
        <v>0</v>
      </c>
      <c r="K231" s="160">
        <v>4304672.4000000004</v>
      </c>
      <c r="L231" s="160">
        <v>4304672.4000000004</v>
      </c>
      <c r="M231" s="160">
        <v>860.7</v>
      </c>
      <c r="N231" s="160">
        <v>860.7</v>
      </c>
    </row>
    <row r="232" spans="1:14" x14ac:dyDescent="0.25">
      <c r="A232" s="158" t="s">
        <v>568</v>
      </c>
      <c r="B232" s="158" t="s">
        <v>156</v>
      </c>
      <c r="C232" s="158" t="s">
        <v>157</v>
      </c>
      <c r="D232" s="158" t="s">
        <v>564</v>
      </c>
      <c r="E232" s="160">
        <v>7473000</v>
      </c>
      <c r="F232" s="160">
        <v>7473000</v>
      </c>
      <c r="G232" s="160">
        <v>7473000</v>
      </c>
      <c r="H232" s="160">
        <v>0</v>
      </c>
      <c r="I232" s="160">
        <v>1291517.32</v>
      </c>
      <c r="J232" s="160">
        <v>0</v>
      </c>
      <c r="K232" s="160">
        <v>2178602.7599999998</v>
      </c>
      <c r="L232" s="160">
        <v>2084332.76</v>
      </c>
      <c r="M232" s="160">
        <v>4002879.92</v>
      </c>
      <c r="N232" s="160">
        <v>4002879.92</v>
      </c>
    </row>
    <row r="233" spans="1:14" x14ac:dyDescent="0.25">
      <c r="A233" s="158" t="s">
        <v>568</v>
      </c>
      <c r="B233" s="158" t="s">
        <v>158</v>
      </c>
      <c r="C233" s="158" t="s">
        <v>159</v>
      </c>
      <c r="D233" s="158" t="s">
        <v>564</v>
      </c>
      <c r="E233" s="160">
        <v>1400000</v>
      </c>
      <c r="F233" s="160">
        <v>1400000</v>
      </c>
      <c r="G233" s="160">
        <v>1400000</v>
      </c>
      <c r="H233" s="160">
        <v>0</v>
      </c>
      <c r="I233" s="160">
        <v>99330</v>
      </c>
      <c r="J233" s="160">
        <v>0</v>
      </c>
      <c r="K233" s="160">
        <v>556770</v>
      </c>
      <c r="L233" s="160">
        <v>462500</v>
      </c>
      <c r="M233" s="160">
        <v>743900</v>
      </c>
      <c r="N233" s="160">
        <v>743900</v>
      </c>
    </row>
    <row r="234" spans="1:14" x14ac:dyDescent="0.25">
      <c r="A234" s="158" t="s">
        <v>568</v>
      </c>
      <c r="B234" s="158" t="s">
        <v>160</v>
      </c>
      <c r="C234" s="158" t="s">
        <v>161</v>
      </c>
      <c r="D234" s="158" t="s">
        <v>564</v>
      </c>
      <c r="E234" s="160">
        <v>2500000</v>
      </c>
      <c r="F234" s="160">
        <v>2500000</v>
      </c>
      <c r="G234" s="160">
        <v>2500000</v>
      </c>
      <c r="H234" s="160">
        <v>0</v>
      </c>
      <c r="I234" s="160">
        <v>597339</v>
      </c>
      <c r="J234" s="160">
        <v>0</v>
      </c>
      <c r="K234" s="160">
        <v>1151489</v>
      </c>
      <c r="L234" s="160">
        <v>1151489</v>
      </c>
      <c r="M234" s="160">
        <v>751172</v>
      </c>
      <c r="N234" s="160">
        <v>751172</v>
      </c>
    </row>
    <row r="235" spans="1:14" x14ac:dyDescent="0.25">
      <c r="A235" s="158" t="s">
        <v>568</v>
      </c>
      <c r="B235" s="158" t="s">
        <v>342</v>
      </c>
      <c r="C235" s="158" t="s">
        <v>343</v>
      </c>
      <c r="D235" s="158" t="s">
        <v>564</v>
      </c>
      <c r="E235" s="160">
        <v>550000</v>
      </c>
      <c r="F235" s="160">
        <v>550000</v>
      </c>
      <c r="G235" s="160">
        <v>550000</v>
      </c>
      <c r="H235" s="160">
        <v>0</v>
      </c>
      <c r="I235" s="160">
        <v>0</v>
      </c>
      <c r="J235" s="160">
        <v>0</v>
      </c>
      <c r="K235" s="160">
        <v>0</v>
      </c>
      <c r="L235" s="160">
        <v>0</v>
      </c>
      <c r="M235" s="160">
        <v>550000</v>
      </c>
      <c r="N235" s="160">
        <v>550000</v>
      </c>
    </row>
    <row r="236" spans="1:14" x14ac:dyDescent="0.25">
      <c r="A236" s="158" t="s">
        <v>568</v>
      </c>
      <c r="B236" s="158" t="s">
        <v>162</v>
      </c>
      <c r="C236" s="158" t="s">
        <v>163</v>
      </c>
      <c r="D236" s="158" t="s">
        <v>564</v>
      </c>
      <c r="E236" s="160">
        <v>123000</v>
      </c>
      <c r="F236" s="160">
        <v>123000</v>
      </c>
      <c r="G236" s="160">
        <v>123000</v>
      </c>
      <c r="H236" s="160">
        <v>0</v>
      </c>
      <c r="I236" s="160">
        <v>0</v>
      </c>
      <c r="J236" s="160">
        <v>0</v>
      </c>
      <c r="K236" s="160">
        <v>0</v>
      </c>
      <c r="L236" s="160">
        <v>0</v>
      </c>
      <c r="M236" s="160">
        <v>123000</v>
      </c>
      <c r="N236" s="160">
        <v>123000</v>
      </c>
    </row>
    <row r="237" spans="1:14" x14ac:dyDescent="0.25">
      <c r="A237" s="158" t="s">
        <v>568</v>
      </c>
      <c r="B237" s="158" t="s">
        <v>344</v>
      </c>
      <c r="C237" s="158" t="s">
        <v>345</v>
      </c>
      <c r="D237" s="158" t="s">
        <v>564</v>
      </c>
      <c r="E237" s="160">
        <v>2900000</v>
      </c>
      <c r="F237" s="160">
        <v>2900000</v>
      </c>
      <c r="G237" s="160">
        <v>2900000</v>
      </c>
      <c r="H237" s="160">
        <v>0</v>
      </c>
      <c r="I237" s="160">
        <v>594848.31999999995</v>
      </c>
      <c r="J237" s="160">
        <v>0</v>
      </c>
      <c r="K237" s="160">
        <v>470343.76</v>
      </c>
      <c r="L237" s="160">
        <v>470343.76</v>
      </c>
      <c r="M237" s="160">
        <v>1834807.92</v>
      </c>
      <c r="N237" s="160">
        <v>1834807.92</v>
      </c>
    </row>
    <row r="238" spans="1:14" x14ac:dyDescent="0.25">
      <c r="A238" s="158" t="s">
        <v>568</v>
      </c>
      <c r="B238" s="158" t="s">
        <v>164</v>
      </c>
      <c r="C238" s="158" t="s">
        <v>165</v>
      </c>
      <c r="D238" s="158" t="s">
        <v>564</v>
      </c>
      <c r="E238" s="160">
        <v>386338000</v>
      </c>
      <c r="F238" s="160">
        <v>370138000</v>
      </c>
      <c r="G238" s="160">
        <v>370138000</v>
      </c>
      <c r="H238" s="160">
        <v>0</v>
      </c>
      <c r="I238" s="160">
        <v>9588742.6600000001</v>
      </c>
      <c r="J238" s="160">
        <v>0</v>
      </c>
      <c r="K238" s="160">
        <v>307383922.56</v>
      </c>
      <c r="L238" s="160">
        <v>244924539.25</v>
      </c>
      <c r="M238" s="160">
        <v>53165334.780000001</v>
      </c>
      <c r="N238" s="160">
        <v>53165334.780000001</v>
      </c>
    </row>
    <row r="239" spans="1:14" x14ac:dyDescent="0.25">
      <c r="A239" s="158" t="s">
        <v>568</v>
      </c>
      <c r="B239" s="158" t="s">
        <v>346</v>
      </c>
      <c r="C239" s="158" t="s">
        <v>347</v>
      </c>
      <c r="D239" s="158" t="s">
        <v>564</v>
      </c>
      <c r="E239" s="160">
        <v>5000000</v>
      </c>
      <c r="F239" s="160">
        <v>2000000</v>
      </c>
      <c r="G239" s="160">
        <v>2000000</v>
      </c>
      <c r="H239" s="160">
        <v>0</v>
      </c>
      <c r="I239" s="160">
        <v>0</v>
      </c>
      <c r="J239" s="160">
        <v>0</v>
      </c>
      <c r="K239" s="160">
        <v>0</v>
      </c>
      <c r="L239" s="160">
        <v>0</v>
      </c>
      <c r="M239" s="160">
        <v>2000000</v>
      </c>
      <c r="N239" s="160">
        <v>2000000</v>
      </c>
    </row>
    <row r="240" spans="1:14" x14ac:dyDescent="0.25">
      <c r="A240" s="158" t="s">
        <v>568</v>
      </c>
      <c r="B240" s="158" t="s">
        <v>348</v>
      </c>
      <c r="C240" s="158" t="s">
        <v>349</v>
      </c>
      <c r="D240" s="158" t="s">
        <v>564</v>
      </c>
      <c r="E240" s="160">
        <v>30000000</v>
      </c>
      <c r="F240" s="160">
        <v>25000000</v>
      </c>
      <c r="G240" s="160">
        <v>25000000</v>
      </c>
      <c r="H240" s="160">
        <v>0</v>
      </c>
      <c r="I240" s="160">
        <v>62468.66</v>
      </c>
      <c r="J240" s="160">
        <v>0</v>
      </c>
      <c r="K240" s="160">
        <v>21329338.039999999</v>
      </c>
      <c r="L240" s="160">
        <v>8859149.8000000007</v>
      </c>
      <c r="M240" s="160">
        <v>3608193.3</v>
      </c>
      <c r="N240" s="160">
        <v>3608193.3</v>
      </c>
    </row>
    <row r="241" spans="1:14" x14ac:dyDescent="0.25">
      <c r="A241" s="158" t="s">
        <v>568</v>
      </c>
      <c r="B241" s="158" t="s">
        <v>350</v>
      </c>
      <c r="C241" s="158" t="s">
        <v>351</v>
      </c>
      <c r="D241" s="158" t="s">
        <v>564</v>
      </c>
      <c r="E241" s="160">
        <v>35624000</v>
      </c>
      <c r="F241" s="160">
        <v>40624000</v>
      </c>
      <c r="G241" s="160">
        <v>40624000</v>
      </c>
      <c r="H241" s="160">
        <v>0</v>
      </c>
      <c r="I241" s="160">
        <v>0</v>
      </c>
      <c r="J241" s="160">
        <v>0</v>
      </c>
      <c r="K241" s="160">
        <v>19432447</v>
      </c>
      <c r="L241" s="160">
        <v>13592902.199999999</v>
      </c>
      <c r="M241" s="160">
        <v>21191553</v>
      </c>
      <c r="N241" s="160">
        <v>21191553</v>
      </c>
    </row>
    <row r="242" spans="1:14" x14ac:dyDescent="0.25">
      <c r="A242" s="158" t="s">
        <v>568</v>
      </c>
      <c r="B242" s="158" t="s">
        <v>168</v>
      </c>
      <c r="C242" s="158" t="s">
        <v>169</v>
      </c>
      <c r="D242" s="158" t="s">
        <v>564</v>
      </c>
      <c r="E242" s="160">
        <v>300014000</v>
      </c>
      <c r="F242" s="160">
        <v>293814000</v>
      </c>
      <c r="G242" s="160">
        <v>293814000</v>
      </c>
      <c r="H242" s="160">
        <v>0</v>
      </c>
      <c r="I242" s="160">
        <v>9500000</v>
      </c>
      <c r="J242" s="160">
        <v>0</v>
      </c>
      <c r="K242" s="160">
        <v>264701150.52000001</v>
      </c>
      <c r="L242" s="160">
        <v>220745262.75</v>
      </c>
      <c r="M242" s="160">
        <v>19612849.48</v>
      </c>
      <c r="N242" s="160">
        <v>19612849.48</v>
      </c>
    </row>
    <row r="243" spans="1:14" x14ac:dyDescent="0.25">
      <c r="A243" s="158" t="s">
        <v>568</v>
      </c>
      <c r="B243" s="158" t="s">
        <v>170</v>
      </c>
      <c r="C243" s="158" t="s">
        <v>171</v>
      </c>
      <c r="D243" s="158" t="s">
        <v>564</v>
      </c>
      <c r="E243" s="160">
        <v>15700000</v>
      </c>
      <c r="F243" s="160">
        <v>8700000</v>
      </c>
      <c r="G243" s="160">
        <v>8700000</v>
      </c>
      <c r="H243" s="160">
        <v>0</v>
      </c>
      <c r="I243" s="160">
        <v>26274</v>
      </c>
      <c r="J243" s="160">
        <v>0</v>
      </c>
      <c r="K243" s="160">
        <v>1920987</v>
      </c>
      <c r="L243" s="160">
        <v>1727224.5</v>
      </c>
      <c r="M243" s="160">
        <v>6752739</v>
      </c>
      <c r="N243" s="160">
        <v>6752739</v>
      </c>
    </row>
    <row r="244" spans="1:14" x14ac:dyDescent="0.25">
      <c r="A244" s="158" t="s">
        <v>568</v>
      </c>
      <c r="B244" s="158" t="s">
        <v>172</v>
      </c>
      <c r="C244" s="158" t="s">
        <v>173</v>
      </c>
      <c r="D244" s="158" t="s">
        <v>564</v>
      </c>
      <c r="E244" s="160">
        <v>53775000</v>
      </c>
      <c r="F244" s="160">
        <v>51975000</v>
      </c>
      <c r="G244" s="160">
        <v>51975000</v>
      </c>
      <c r="H244" s="160">
        <v>0</v>
      </c>
      <c r="I244" s="160">
        <v>1868750</v>
      </c>
      <c r="J244" s="160">
        <v>0</v>
      </c>
      <c r="K244" s="160">
        <v>35793381.259999998</v>
      </c>
      <c r="L244" s="160">
        <v>38152131.259999998</v>
      </c>
      <c r="M244" s="160">
        <v>14312868.74</v>
      </c>
      <c r="N244" s="160">
        <v>14312868.74</v>
      </c>
    </row>
    <row r="245" spans="1:14" x14ac:dyDescent="0.25">
      <c r="A245" s="158" t="s">
        <v>568</v>
      </c>
      <c r="B245" s="158" t="s">
        <v>174</v>
      </c>
      <c r="C245" s="158" t="s">
        <v>175</v>
      </c>
      <c r="D245" s="158" t="s">
        <v>564</v>
      </c>
      <c r="E245" s="160">
        <v>1150000</v>
      </c>
      <c r="F245" s="160">
        <v>1150000</v>
      </c>
      <c r="G245" s="160">
        <v>1150000</v>
      </c>
      <c r="H245" s="160">
        <v>0</v>
      </c>
      <c r="I245" s="160">
        <v>21250</v>
      </c>
      <c r="J245" s="160">
        <v>0</v>
      </c>
      <c r="K245" s="160">
        <v>777940</v>
      </c>
      <c r="L245" s="160">
        <v>777940</v>
      </c>
      <c r="M245" s="160">
        <v>350810</v>
      </c>
      <c r="N245" s="160">
        <v>350810</v>
      </c>
    </row>
    <row r="246" spans="1:14" x14ac:dyDescent="0.25">
      <c r="A246" s="158" t="s">
        <v>568</v>
      </c>
      <c r="B246" s="158" t="s">
        <v>176</v>
      </c>
      <c r="C246" s="158" t="s">
        <v>177</v>
      </c>
      <c r="D246" s="158" t="s">
        <v>564</v>
      </c>
      <c r="E246" s="160">
        <v>45200000</v>
      </c>
      <c r="F246" s="160">
        <v>42200000</v>
      </c>
      <c r="G246" s="160">
        <v>42200000</v>
      </c>
      <c r="H246" s="160">
        <v>0</v>
      </c>
      <c r="I246" s="160">
        <v>1847500</v>
      </c>
      <c r="J246" s="160">
        <v>0</v>
      </c>
      <c r="K246" s="160">
        <v>28512850</v>
      </c>
      <c r="L246" s="160">
        <v>30871600</v>
      </c>
      <c r="M246" s="160">
        <v>11839650</v>
      </c>
      <c r="N246" s="160">
        <v>11839650</v>
      </c>
    </row>
    <row r="247" spans="1:14" x14ac:dyDescent="0.25">
      <c r="A247" s="158" t="s">
        <v>568</v>
      </c>
      <c r="B247" s="158" t="s">
        <v>178</v>
      </c>
      <c r="C247" s="158" t="s">
        <v>179</v>
      </c>
      <c r="D247" s="158" t="s">
        <v>564</v>
      </c>
      <c r="E247" s="160">
        <v>3025000</v>
      </c>
      <c r="F247" s="160">
        <v>3025000</v>
      </c>
      <c r="G247" s="160">
        <v>3025000</v>
      </c>
      <c r="H247" s="160">
        <v>0</v>
      </c>
      <c r="I247" s="160">
        <v>0</v>
      </c>
      <c r="J247" s="160">
        <v>0</v>
      </c>
      <c r="K247" s="160">
        <v>2182544.62</v>
      </c>
      <c r="L247" s="160">
        <v>2182544.62</v>
      </c>
      <c r="M247" s="160">
        <v>842455.38</v>
      </c>
      <c r="N247" s="160">
        <v>842455.38</v>
      </c>
    </row>
    <row r="248" spans="1:14" x14ac:dyDescent="0.25">
      <c r="A248" s="158" t="s">
        <v>568</v>
      </c>
      <c r="B248" s="158" t="s">
        <v>180</v>
      </c>
      <c r="C248" s="158" t="s">
        <v>181</v>
      </c>
      <c r="D248" s="158" t="s">
        <v>564</v>
      </c>
      <c r="E248" s="160">
        <v>4400000</v>
      </c>
      <c r="F248" s="160">
        <v>5600000</v>
      </c>
      <c r="G248" s="160">
        <v>5600000</v>
      </c>
      <c r="H248" s="160">
        <v>0</v>
      </c>
      <c r="I248" s="160">
        <v>0</v>
      </c>
      <c r="J248" s="160">
        <v>0</v>
      </c>
      <c r="K248" s="160">
        <v>4320046.6399999997</v>
      </c>
      <c r="L248" s="160">
        <v>4320046.6399999997</v>
      </c>
      <c r="M248" s="160">
        <v>1279953.3600000001</v>
      </c>
      <c r="N248" s="160">
        <v>1279953.3600000001</v>
      </c>
    </row>
    <row r="249" spans="1:14" x14ac:dyDescent="0.25">
      <c r="A249" s="158" t="s">
        <v>568</v>
      </c>
      <c r="B249" s="158" t="s">
        <v>182</v>
      </c>
      <c r="C249" s="158" t="s">
        <v>183</v>
      </c>
      <c r="D249" s="158" t="s">
        <v>564</v>
      </c>
      <c r="E249" s="160">
        <v>59700000</v>
      </c>
      <c r="F249" s="160">
        <v>59700000</v>
      </c>
      <c r="G249" s="160">
        <v>59700000</v>
      </c>
      <c r="H249" s="160">
        <v>0</v>
      </c>
      <c r="I249" s="160">
        <v>2794907</v>
      </c>
      <c r="J249" s="160">
        <v>0</v>
      </c>
      <c r="K249" s="160">
        <v>56903354</v>
      </c>
      <c r="L249" s="160">
        <v>47061882</v>
      </c>
      <c r="M249" s="160">
        <v>1739</v>
      </c>
      <c r="N249" s="160">
        <v>1739</v>
      </c>
    </row>
    <row r="250" spans="1:14" x14ac:dyDescent="0.25">
      <c r="A250" s="158" t="s">
        <v>568</v>
      </c>
      <c r="B250" s="158" t="s">
        <v>184</v>
      </c>
      <c r="C250" s="158" t="s">
        <v>185</v>
      </c>
      <c r="D250" s="158" t="s">
        <v>564</v>
      </c>
      <c r="E250" s="160">
        <v>59700000</v>
      </c>
      <c r="F250" s="160">
        <v>59700000</v>
      </c>
      <c r="G250" s="160">
        <v>59700000</v>
      </c>
      <c r="H250" s="160">
        <v>0</v>
      </c>
      <c r="I250" s="160">
        <v>2794907</v>
      </c>
      <c r="J250" s="160">
        <v>0</v>
      </c>
      <c r="K250" s="160">
        <v>56903354</v>
      </c>
      <c r="L250" s="160">
        <v>47061882</v>
      </c>
      <c r="M250" s="160">
        <v>1739</v>
      </c>
      <c r="N250" s="160">
        <v>1739</v>
      </c>
    </row>
    <row r="251" spans="1:14" x14ac:dyDescent="0.25">
      <c r="A251" s="158" t="s">
        <v>568</v>
      </c>
      <c r="B251" s="158" t="s">
        <v>192</v>
      </c>
      <c r="C251" s="158" t="s">
        <v>193</v>
      </c>
      <c r="D251" s="158" t="s">
        <v>564</v>
      </c>
      <c r="E251" s="160">
        <v>100735000</v>
      </c>
      <c r="F251" s="160">
        <v>95690000</v>
      </c>
      <c r="G251" s="160">
        <v>95690000</v>
      </c>
      <c r="H251" s="160">
        <v>4330422</v>
      </c>
      <c r="I251" s="160">
        <v>7968447.5700000003</v>
      </c>
      <c r="J251" s="160">
        <v>0</v>
      </c>
      <c r="K251" s="160">
        <v>64268806.810000002</v>
      </c>
      <c r="L251" s="160">
        <v>53526405.590000004</v>
      </c>
      <c r="M251" s="160">
        <v>19122323.620000001</v>
      </c>
      <c r="N251" s="160">
        <v>19122323.620000001</v>
      </c>
    </row>
    <row r="252" spans="1:14" x14ac:dyDescent="0.25">
      <c r="A252" s="158" t="s">
        <v>568</v>
      </c>
      <c r="B252" s="158" t="s">
        <v>194</v>
      </c>
      <c r="C252" s="158" t="s">
        <v>195</v>
      </c>
      <c r="D252" s="158" t="s">
        <v>564</v>
      </c>
      <c r="E252" s="160">
        <v>14545000</v>
      </c>
      <c r="F252" s="160">
        <v>11000000</v>
      </c>
      <c r="G252" s="160">
        <v>11000000</v>
      </c>
      <c r="H252" s="160">
        <v>4330422</v>
      </c>
      <c r="I252" s="160">
        <v>0</v>
      </c>
      <c r="J252" s="160">
        <v>0</v>
      </c>
      <c r="K252" s="160">
        <v>1500000</v>
      </c>
      <c r="L252" s="160">
        <v>875000</v>
      </c>
      <c r="M252" s="160">
        <v>5169578</v>
      </c>
      <c r="N252" s="160">
        <v>5169578</v>
      </c>
    </row>
    <row r="253" spans="1:14" x14ac:dyDescent="0.25">
      <c r="A253" s="158" t="s">
        <v>568</v>
      </c>
      <c r="B253" s="158" t="s">
        <v>352</v>
      </c>
      <c r="C253" s="158" t="s">
        <v>353</v>
      </c>
      <c r="D253" s="158" t="s">
        <v>564</v>
      </c>
      <c r="E253" s="160">
        <v>3900000</v>
      </c>
      <c r="F253" s="160">
        <v>3900000</v>
      </c>
      <c r="G253" s="160">
        <v>3900000</v>
      </c>
      <c r="H253" s="160">
        <v>0</v>
      </c>
      <c r="I253" s="160">
        <v>0</v>
      </c>
      <c r="J253" s="160">
        <v>0</v>
      </c>
      <c r="K253" s="160">
        <v>1598156.25</v>
      </c>
      <c r="L253" s="160">
        <v>1249643.75</v>
      </c>
      <c r="M253" s="160">
        <v>2301843.75</v>
      </c>
      <c r="N253" s="160">
        <v>2301843.75</v>
      </c>
    </row>
    <row r="254" spans="1:14" x14ac:dyDescent="0.25">
      <c r="A254" s="158" t="s">
        <v>568</v>
      </c>
      <c r="B254" s="158" t="s">
        <v>196</v>
      </c>
      <c r="C254" s="158" t="s">
        <v>197</v>
      </c>
      <c r="D254" s="158" t="s">
        <v>564</v>
      </c>
      <c r="E254" s="160">
        <v>25000000</v>
      </c>
      <c r="F254" s="160">
        <v>26000000</v>
      </c>
      <c r="G254" s="160">
        <v>26000000</v>
      </c>
      <c r="H254" s="160">
        <v>0</v>
      </c>
      <c r="I254" s="160">
        <v>4751454.97</v>
      </c>
      <c r="J254" s="160">
        <v>0</v>
      </c>
      <c r="K254" s="160">
        <v>20346549.27</v>
      </c>
      <c r="L254" s="160">
        <v>16575858.189999999</v>
      </c>
      <c r="M254" s="160">
        <v>901995.76</v>
      </c>
      <c r="N254" s="160">
        <v>901995.76</v>
      </c>
    </row>
    <row r="255" spans="1:14" x14ac:dyDescent="0.25">
      <c r="A255" s="158" t="s">
        <v>568</v>
      </c>
      <c r="B255" s="158" t="s">
        <v>198</v>
      </c>
      <c r="C255" s="158" t="s">
        <v>199</v>
      </c>
      <c r="D255" s="158" t="s">
        <v>564</v>
      </c>
      <c r="E255" s="160">
        <v>5150000</v>
      </c>
      <c r="F255" s="160">
        <v>5150000</v>
      </c>
      <c r="G255" s="160">
        <v>5150000</v>
      </c>
      <c r="H255" s="160">
        <v>0</v>
      </c>
      <c r="I255" s="160">
        <v>0</v>
      </c>
      <c r="J255" s="160">
        <v>0</v>
      </c>
      <c r="K255" s="160">
        <v>4100000</v>
      </c>
      <c r="L255" s="160">
        <v>2225000</v>
      </c>
      <c r="M255" s="160">
        <v>1050000</v>
      </c>
      <c r="N255" s="160">
        <v>1050000</v>
      </c>
    </row>
    <row r="256" spans="1:14" x14ac:dyDescent="0.25">
      <c r="A256" s="158" t="s">
        <v>568</v>
      </c>
      <c r="B256" s="158" t="s">
        <v>200</v>
      </c>
      <c r="C256" s="158" t="s">
        <v>201</v>
      </c>
      <c r="D256" s="158" t="s">
        <v>564</v>
      </c>
      <c r="E256" s="160">
        <v>11390000</v>
      </c>
      <c r="F256" s="160">
        <v>9890000</v>
      </c>
      <c r="G256" s="160">
        <v>9890000</v>
      </c>
      <c r="H256" s="160">
        <v>0</v>
      </c>
      <c r="I256" s="160">
        <v>0</v>
      </c>
      <c r="J256" s="160">
        <v>0</v>
      </c>
      <c r="K256" s="160">
        <v>5476233.2000000002</v>
      </c>
      <c r="L256" s="160">
        <v>5172333.2</v>
      </c>
      <c r="M256" s="160">
        <v>4413766.8</v>
      </c>
      <c r="N256" s="160">
        <v>4413766.8</v>
      </c>
    </row>
    <row r="257" spans="1:14" x14ac:dyDescent="0.25">
      <c r="A257" s="158" t="s">
        <v>568</v>
      </c>
      <c r="B257" s="158" t="s">
        <v>202</v>
      </c>
      <c r="C257" s="158" t="s">
        <v>203</v>
      </c>
      <c r="D257" s="158" t="s">
        <v>564</v>
      </c>
      <c r="E257" s="160">
        <v>37000000</v>
      </c>
      <c r="F257" s="160">
        <v>36000000</v>
      </c>
      <c r="G257" s="160">
        <v>36000000</v>
      </c>
      <c r="H257" s="160">
        <v>0</v>
      </c>
      <c r="I257" s="160">
        <v>3216992.6</v>
      </c>
      <c r="J257" s="160">
        <v>0</v>
      </c>
      <c r="K257" s="160">
        <v>30012868.09</v>
      </c>
      <c r="L257" s="160">
        <v>26468570.449999999</v>
      </c>
      <c r="M257" s="160">
        <v>2770139.31</v>
      </c>
      <c r="N257" s="160">
        <v>2770139.31</v>
      </c>
    </row>
    <row r="258" spans="1:14" x14ac:dyDescent="0.25">
      <c r="A258" s="158" t="s">
        <v>568</v>
      </c>
      <c r="B258" s="158" t="s">
        <v>204</v>
      </c>
      <c r="C258" s="158" t="s">
        <v>205</v>
      </c>
      <c r="D258" s="158" t="s">
        <v>564</v>
      </c>
      <c r="E258" s="160">
        <v>3750000</v>
      </c>
      <c r="F258" s="160">
        <v>3750000</v>
      </c>
      <c r="G258" s="160">
        <v>3750000</v>
      </c>
      <c r="H258" s="160">
        <v>0</v>
      </c>
      <c r="I258" s="160">
        <v>0</v>
      </c>
      <c r="J258" s="160">
        <v>0</v>
      </c>
      <c r="K258" s="160">
        <v>1235000</v>
      </c>
      <c r="L258" s="160">
        <v>960000</v>
      </c>
      <c r="M258" s="160">
        <v>2515000</v>
      </c>
      <c r="N258" s="160">
        <v>2515000</v>
      </c>
    </row>
    <row r="259" spans="1:14" x14ac:dyDescent="0.25">
      <c r="A259" s="158" t="s">
        <v>568</v>
      </c>
      <c r="B259" s="158" t="s">
        <v>206</v>
      </c>
      <c r="C259" s="158" t="s">
        <v>207</v>
      </c>
      <c r="D259" s="158" t="s">
        <v>564</v>
      </c>
      <c r="E259" s="160">
        <v>1550000</v>
      </c>
      <c r="F259" s="160">
        <v>1550000</v>
      </c>
      <c r="G259" s="160">
        <v>1550000</v>
      </c>
      <c r="H259" s="160">
        <v>0</v>
      </c>
      <c r="I259" s="160">
        <v>0</v>
      </c>
      <c r="J259" s="160">
        <v>0</v>
      </c>
      <c r="K259" s="160">
        <v>672917</v>
      </c>
      <c r="L259" s="160">
        <v>200</v>
      </c>
      <c r="M259" s="160">
        <v>877083</v>
      </c>
      <c r="N259" s="160">
        <v>877083</v>
      </c>
    </row>
    <row r="260" spans="1:14" x14ac:dyDescent="0.25">
      <c r="A260" s="158" t="s">
        <v>568</v>
      </c>
      <c r="B260" s="158" t="s">
        <v>208</v>
      </c>
      <c r="C260" s="158" t="s">
        <v>209</v>
      </c>
      <c r="D260" s="158" t="s">
        <v>564</v>
      </c>
      <c r="E260" s="160">
        <v>1550000</v>
      </c>
      <c r="F260" s="160">
        <v>1550000</v>
      </c>
      <c r="G260" s="160">
        <v>1550000</v>
      </c>
      <c r="H260" s="160">
        <v>0</v>
      </c>
      <c r="I260" s="160">
        <v>0</v>
      </c>
      <c r="J260" s="160">
        <v>0</v>
      </c>
      <c r="K260" s="160">
        <v>672917</v>
      </c>
      <c r="L260" s="160">
        <v>200</v>
      </c>
      <c r="M260" s="160">
        <v>877083</v>
      </c>
      <c r="N260" s="160">
        <v>877083</v>
      </c>
    </row>
    <row r="261" spans="1:14" x14ac:dyDescent="0.25">
      <c r="A261" s="158" t="s">
        <v>568</v>
      </c>
      <c r="B261" s="158" t="s">
        <v>210</v>
      </c>
      <c r="C261" s="158" t="s">
        <v>211</v>
      </c>
      <c r="D261" s="158" t="s">
        <v>564</v>
      </c>
      <c r="E261" s="160">
        <v>2200000</v>
      </c>
      <c r="F261" s="160">
        <v>2200000</v>
      </c>
      <c r="G261" s="160">
        <v>2200000</v>
      </c>
      <c r="H261" s="160">
        <v>0</v>
      </c>
      <c r="I261" s="160">
        <v>500000</v>
      </c>
      <c r="J261" s="160">
        <v>0</v>
      </c>
      <c r="K261" s="160">
        <v>404933</v>
      </c>
      <c r="L261" s="160">
        <v>404933</v>
      </c>
      <c r="M261" s="160">
        <v>1295067</v>
      </c>
      <c r="N261" s="160">
        <v>1295067</v>
      </c>
    </row>
    <row r="262" spans="1:14" x14ac:dyDescent="0.25">
      <c r="A262" s="158" t="s">
        <v>568</v>
      </c>
      <c r="B262" s="158" t="s">
        <v>354</v>
      </c>
      <c r="C262" s="158" t="s">
        <v>355</v>
      </c>
      <c r="D262" s="158" t="s">
        <v>564</v>
      </c>
      <c r="E262" s="160">
        <v>200000</v>
      </c>
      <c r="F262" s="160">
        <v>200000</v>
      </c>
      <c r="G262" s="160">
        <v>200000</v>
      </c>
      <c r="H262" s="160">
        <v>0</v>
      </c>
      <c r="I262" s="160">
        <v>0</v>
      </c>
      <c r="J262" s="160">
        <v>0</v>
      </c>
      <c r="K262" s="160">
        <v>0</v>
      </c>
      <c r="L262" s="160">
        <v>0</v>
      </c>
      <c r="M262" s="160">
        <v>200000</v>
      </c>
      <c r="N262" s="160">
        <v>200000</v>
      </c>
    </row>
    <row r="263" spans="1:14" x14ac:dyDescent="0.25">
      <c r="A263" s="158" t="s">
        <v>568</v>
      </c>
      <c r="B263" s="158" t="s">
        <v>212</v>
      </c>
      <c r="C263" s="158" t="s">
        <v>213</v>
      </c>
      <c r="D263" s="158" t="s">
        <v>564</v>
      </c>
      <c r="E263" s="160">
        <v>2000000</v>
      </c>
      <c r="F263" s="160">
        <v>2000000</v>
      </c>
      <c r="G263" s="160">
        <v>2000000</v>
      </c>
      <c r="H263" s="160">
        <v>0</v>
      </c>
      <c r="I263" s="160">
        <v>500000</v>
      </c>
      <c r="J263" s="160">
        <v>0</v>
      </c>
      <c r="K263" s="160">
        <v>404933</v>
      </c>
      <c r="L263" s="160">
        <v>404933</v>
      </c>
      <c r="M263" s="160">
        <v>1095067</v>
      </c>
      <c r="N263" s="160">
        <v>1095067</v>
      </c>
    </row>
    <row r="264" spans="1:14" x14ac:dyDescent="0.25">
      <c r="A264" s="158" t="s">
        <v>568</v>
      </c>
      <c r="B264" s="158" t="s">
        <v>214</v>
      </c>
      <c r="C264" s="158" t="s">
        <v>215</v>
      </c>
      <c r="D264" s="158" t="s">
        <v>564</v>
      </c>
      <c r="E264" s="160">
        <v>71552000</v>
      </c>
      <c r="F264" s="160">
        <v>77753000</v>
      </c>
      <c r="G264" s="160">
        <v>77753000</v>
      </c>
      <c r="H264" s="160">
        <v>0</v>
      </c>
      <c r="I264" s="160">
        <v>4952962.76</v>
      </c>
      <c r="J264" s="160">
        <v>0</v>
      </c>
      <c r="K264" s="160">
        <v>68684355.769999996</v>
      </c>
      <c r="L264" s="160">
        <v>64326930.969999999</v>
      </c>
      <c r="M264" s="160">
        <v>4115681.47</v>
      </c>
      <c r="N264" s="160">
        <v>4115681.47</v>
      </c>
    </row>
    <row r="265" spans="1:14" x14ac:dyDescent="0.25">
      <c r="A265" s="158" t="s">
        <v>568</v>
      </c>
      <c r="B265" s="158" t="s">
        <v>216</v>
      </c>
      <c r="C265" s="158" t="s">
        <v>217</v>
      </c>
      <c r="D265" s="158" t="s">
        <v>564</v>
      </c>
      <c r="E265" s="160">
        <v>49425000</v>
      </c>
      <c r="F265" s="160">
        <v>43675000</v>
      </c>
      <c r="G265" s="160">
        <v>43675000</v>
      </c>
      <c r="H265" s="160">
        <v>0</v>
      </c>
      <c r="I265" s="160">
        <v>3482677.22</v>
      </c>
      <c r="J265" s="160">
        <v>0</v>
      </c>
      <c r="K265" s="160">
        <v>36762487.229999997</v>
      </c>
      <c r="L265" s="160">
        <v>34470187.140000001</v>
      </c>
      <c r="M265" s="160">
        <v>3429835.55</v>
      </c>
      <c r="N265" s="160">
        <v>3429835.55</v>
      </c>
    </row>
    <row r="266" spans="1:14" x14ac:dyDescent="0.25">
      <c r="A266" s="158" t="s">
        <v>568</v>
      </c>
      <c r="B266" s="158" t="s">
        <v>218</v>
      </c>
      <c r="C266" s="158" t="s">
        <v>219</v>
      </c>
      <c r="D266" s="158" t="s">
        <v>564</v>
      </c>
      <c r="E266" s="160">
        <v>35000000</v>
      </c>
      <c r="F266" s="160">
        <v>24200000</v>
      </c>
      <c r="G266" s="160">
        <v>24200000</v>
      </c>
      <c r="H266" s="160">
        <v>0</v>
      </c>
      <c r="I266" s="160">
        <v>2166853</v>
      </c>
      <c r="J266" s="160">
        <v>0</v>
      </c>
      <c r="K266" s="160">
        <v>19898667.379999999</v>
      </c>
      <c r="L266" s="160">
        <v>19279643.379999999</v>
      </c>
      <c r="M266" s="160">
        <v>2134479.62</v>
      </c>
      <c r="N266" s="160">
        <v>2134479.62</v>
      </c>
    </row>
    <row r="267" spans="1:14" x14ac:dyDescent="0.25">
      <c r="A267" s="158" t="s">
        <v>568</v>
      </c>
      <c r="B267" s="158" t="s">
        <v>222</v>
      </c>
      <c r="C267" s="158" t="s">
        <v>223</v>
      </c>
      <c r="D267" s="158" t="s">
        <v>564</v>
      </c>
      <c r="E267" s="160">
        <v>14350000</v>
      </c>
      <c r="F267" s="160">
        <v>19400000</v>
      </c>
      <c r="G267" s="160">
        <v>19400000</v>
      </c>
      <c r="H267" s="160">
        <v>0</v>
      </c>
      <c r="I267" s="160">
        <v>1315824.22</v>
      </c>
      <c r="J267" s="160">
        <v>0</v>
      </c>
      <c r="K267" s="160">
        <v>16790809.850000001</v>
      </c>
      <c r="L267" s="160">
        <v>15117533.76</v>
      </c>
      <c r="M267" s="160">
        <v>1293365.93</v>
      </c>
      <c r="N267" s="160">
        <v>1293365.93</v>
      </c>
    </row>
    <row r="268" spans="1:14" x14ac:dyDescent="0.25">
      <c r="A268" s="158" t="s">
        <v>568</v>
      </c>
      <c r="B268" s="158" t="s">
        <v>224</v>
      </c>
      <c r="C268" s="158" t="s">
        <v>225</v>
      </c>
      <c r="D268" s="158" t="s">
        <v>564</v>
      </c>
      <c r="E268" s="160">
        <v>75000</v>
      </c>
      <c r="F268" s="160">
        <v>75000</v>
      </c>
      <c r="G268" s="160">
        <v>75000</v>
      </c>
      <c r="H268" s="160">
        <v>0</v>
      </c>
      <c r="I268" s="160">
        <v>0</v>
      </c>
      <c r="J268" s="160">
        <v>0</v>
      </c>
      <c r="K268" s="160">
        <v>73010</v>
      </c>
      <c r="L268" s="160">
        <v>73010</v>
      </c>
      <c r="M268" s="160">
        <v>1990</v>
      </c>
      <c r="N268" s="160">
        <v>1990</v>
      </c>
    </row>
    <row r="269" spans="1:14" x14ac:dyDescent="0.25">
      <c r="A269" s="158" t="s">
        <v>568</v>
      </c>
      <c r="B269" s="158" t="s">
        <v>230</v>
      </c>
      <c r="C269" s="158" t="s">
        <v>231</v>
      </c>
      <c r="D269" s="158" t="s">
        <v>564</v>
      </c>
      <c r="E269" s="160">
        <v>2820000</v>
      </c>
      <c r="F269" s="160">
        <v>2606000</v>
      </c>
      <c r="G269" s="160">
        <v>2606000</v>
      </c>
      <c r="H269" s="160">
        <v>0</v>
      </c>
      <c r="I269" s="160">
        <v>0</v>
      </c>
      <c r="J269" s="160">
        <v>0</v>
      </c>
      <c r="K269" s="160">
        <v>2389664.11</v>
      </c>
      <c r="L269" s="160">
        <v>2259851.41</v>
      </c>
      <c r="M269" s="160">
        <v>216335.89</v>
      </c>
      <c r="N269" s="160">
        <v>216335.89</v>
      </c>
    </row>
    <row r="270" spans="1:14" x14ac:dyDescent="0.25">
      <c r="A270" s="158" t="s">
        <v>568</v>
      </c>
      <c r="B270" s="158" t="s">
        <v>232</v>
      </c>
      <c r="C270" s="158" t="s">
        <v>233</v>
      </c>
      <c r="D270" s="158" t="s">
        <v>564</v>
      </c>
      <c r="E270" s="160">
        <v>300000</v>
      </c>
      <c r="F270" s="160">
        <v>300000</v>
      </c>
      <c r="G270" s="160">
        <v>300000</v>
      </c>
      <c r="H270" s="160">
        <v>0</v>
      </c>
      <c r="I270" s="160">
        <v>0</v>
      </c>
      <c r="J270" s="160">
        <v>0</v>
      </c>
      <c r="K270" s="160">
        <v>163424.35</v>
      </c>
      <c r="L270" s="160">
        <v>90886.65</v>
      </c>
      <c r="M270" s="160">
        <v>136575.65</v>
      </c>
      <c r="N270" s="160">
        <v>136575.65</v>
      </c>
    </row>
    <row r="271" spans="1:14" x14ac:dyDescent="0.25">
      <c r="A271" s="158" t="s">
        <v>568</v>
      </c>
      <c r="B271" s="158" t="s">
        <v>356</v>
      </c>
      <c r="C271" s="158" t="s">
        <v>357</v>
      </c>
      <c r="D271" s="158" t="s">
        <v>564</v>
      </c>
      <c r="E271" s="160">
        <v>120000</v>
      </c>
      <c r="F271" s="160">
        <v>6000</v>
      </c>
      <c r="G271" s="160">
        <v>6000</v>
      </c>
      <c r="H271" s="160">
        <v>0</v>
      </c>
      <c r="I271" s="160">
        <v>0</v>
      </c>
      <c r="J271" s="160">
        <v>0</v>
      </c>
      <c r="K271" s="160">
        <v>6000</v>
      </c>
      <c r="L271" s="160">
        <v>6000</v>
      </c>
      <c r="M271" s="160">
        <v>0</v>
      </c>
      <c r="N271" s="160">
        <v>0</v>
      </c>
    </row>
    <row r="272" spans="1:14" x14ac:dyDescent="0.25">
      <c r="A272" s="158" t="s">
        <v>568</v>
      </c>
      <c r="B272" s="158" t="s">
        <v>358</v>
      </c>
      <c r="C272" s="158" t="s">
        <v>359</v>
      </c>
      <c r="D272" s="158" t="s">
        <v>564</v>
      </c>
      <c r="E272" s="160">
        <v>50000</v>
      </c>
      <c r="F272" s="160">
        <v>50000</v>
      </c>
      <c r="G272" s="160">
        <v>50000</v>
      </c>
      <c r="H272" s="160">
        <v>0</v>
      </c>
      <c r="I272" s="160">
        <v>0</v>
      </c>
      <c r="J272" s="160">
        <v>0</v>
      </c>
      <c r="K272" s="160">
        <v>48675</v>
      </c>
      <c r="L272" s="160">
        <v>48675</v>
      </c>
      <c r="M272" s="160">
        <v>1325</v>
      </c>
      <c r="N272" s="160">
        <v>1325</v>
      </c>
    </row>
    <row r="273" spans="1:14" x14ac:dyDescent="0.25">
      <c r="A273" s="158" t="s">
        <v>568</v>
      </c>
      <c r="B273" s="158" t="s">
        <v>234</v>
      </c>
      <c r="C273" s="158" t="s">
        <v>235</v>
      </c>
      <c r="D273" s="158" t="s">
        <v>564</v>
      </c>
      <c r="E273" s="160">
        <v>2000000</v>
      </c>
      <c r="F273" s="160">
        <v>1900000</v>
      </c>
      <c r="G273" s="160">
        <v>1900000</v>
      </c>
      <c r="H273" s="160">
        <v>0</v>
      </c>
      <c r="I273" s="160">
        <v>0</v>
      </c>
      <c r="J273" s="160">
        <v>0</v>
      </c>
      <c r="K273" s="160">
        <v>1869981.21</v>
      </c>
      <c r="L273" s="160">
        <v>1812706.21</v>
      </c>
      <c r="M273" s="160">
        <v>30018.79</v>
      </c>
      <c r="N273" s="160">
        <v>30018.79</v>
      </c>
    </row>
    <row r="274" spans="1:14" x14ac:dyDescent="0.25">
      <c r="A274" s="158" t="s">
        <v>568</v>
      </c>
      <c r="B274" s="158" t="s">
        <v>236</v>
      </c>
      <c r="C274" s="158" t="s">
        <v>237</v>
      </c>
      <c r="D274" s="158" t="s">
        <v>564</v>
      </c>
      <c r="E274" s="160">
        <v>50000</v>
      </c>
      <c r="F274" s="160">
        <v>50000</v>
      </c>
      <c r="G274" s="160">
        <v>50000</v>
      </c>
      <c r="H274" s="160">
        <v>0</v>
      </c>
      <c r="I274" s="160">
        <v>0</v>
      </c>
      <c r="J274" s="160">
        <v>0</v>
      </c>
      <c r="K274" s="160">
        <v>45000</v>
      </c>
      <c r="L274" s="160">
        <v>45000</v>
      </c>
      <c r="M274" s="160">
        <v>5000</v>
      </c>
      <c r="N274" s="160">
        <v>5000</v>
      </c>
    </row>
    <row r="275" spans="1:14" x14ac:dyDescent="0.25">
      <c r="A275" s="158" t="s">
        <v>568</v>
      </c>
      <c r="B275" s="158" t="s">
        <v>238</v>
      </c>
      <c r="C275" s="158" t="s">
        <v>239</v>
      </c>
      <c r="D275" s="158" t="s">
        <v>564</v>
      </c>
      <c r="E275" s="160">
        <v>150000</v>
      </c>
      <c r="F275" s="160">
        <v>150000</v>
      </c>
      <c r="G275" s="160">
        <v>150000</v>
      </c>
      <c r="H275" s="160">
        <v>0</v>
      </c>
      <c r="I275" s="160">
        <v>0</v>
      </c>
      <c r="J275" s="160">
        <v>0</v>
      </c>
      <c r="K275" s="160">
        <v>147533.5</v>
      </c>
      <c r="L275" s="160">
        <v>147533.5</v>
      </c>
      <c r="M275" s="160">
        <v>2466.5</v>
      </c>
      <c r="N275" s="160">
        <v>2466.5</v>
      </c>
    </row>
    <row r="276" spans="1:14" x14ac:dyDescent="0.25">
      <c r="A276" s="158" t="s">
        <v>568</v>
      </c>
      <c r="B276" s="158" t="s">
        <v>240</v>
      </c>
      <c r="C276" s="158" t="s">
        <v>241</v>
      </c>
      <c r="D276" s="158" t="s">
        <v>564</v>
      </c>
      <c r="E276" s="160">
        <v>150000</v>
      </c>
      <c r="F276" s="160">
        <v>150000</v>
      </c>
      <c r="G276" s="160">
        <v>150000</v>
      </c>
      <c r="H276" s="160">
        <v>0</v>
      </c>
      <c r="I276" s="160">
        <v>0</v>
      </c>
      <c r="J276" s="160">
        <v>0</v>
      </c>
      <c r="K276" s="160">
        <v>109050.05</v>
      </c>
      <c r="L276" s="160">
        <v>109050.05</v>
      </c>
      <c r="M276" s="160">
        <v>40949.949999999997</v>
      </c>
      <c r="N276" s="160">
        <v>40949.949999999997</v>
      </c>
    </row>
    <row r="277" spans="1:14" x14ac:dyDescent="0.25">
      <c r="A277" s="158" t="s">
        <v>568</v>
      </c>
      <c r="B277" s="158" t="s">
        <v>242</v>
      </c>
      <c r="C277" s="158" t="s">
        <v>243</v>
      </c>
      <c r="D277" s="158" t="s">
        <v>564</v>
      </c>
      <c r="E277" s="160">
        <v>810000</v>
      </c>
      <c r="F277" s="160">
        <v>586000</v>
      </c>
      <c r="G277" s="160">
        <v>586000</v>
      </c>
      <c r="H277" s="160">
        <v>0</v>
      </c>
      <c r="I277" s="160">
        <v>13352</v>
      </c>
      <c r="J277" s="160">
        <v>0</v>
      </c>
      <c r="K277" s="160">
        <v>429974.54</v>
      </c>
      <c r="L277" s="160">
        <v>171685.78</v>
      </c>
      <c r="M277" s="160">
        <v>142673.46</v>
      </c>
      <c r="N277" s="160">
        <v>142673.46</v>
      </c>
    </row>
    <row r="278" spans="1:14" x14ac:dyDescent="0.25">
      <c r="A278" s="158" t="s">
        <v>568</v>
      </c>
      <c r="B278" s="158" t="s">
        <v>244</v>
      </c>
      <c r="C278" s="158" t="s">
        <v>245</v>
      </c>
      <c r="D278" s="158" t="s">
        <v>564</v>
      </c>
      <c r="E278" s="160">
        <v>810000</v>
      </c>
      <c r="F278" s="160">
        <v>486000</v>
      </c>
      <c r="G278" s="160">
        <v>486000</v>
      </c>
      <c r="H278" s="160">
        <v>0</v>
      </c>
      <c r="I278" s="160">
        <v>13352</v>
      </c>
      <c r="J278" s="160">
        <v>0</v>
      </c>
      <c r="K278" s="160">
        <v>340374.54</v>
      </c>
      <c r="L278" s="160">
        <v>82085.78</v>
      </c>
      <c r="M278" s="160">
        <v>132273.46</v>
      </c>
      <c r="N278" s="160">
        <v>132273.46</v>
      </c>
    </row>
    <row r="279" spans="1:14" x14ac:dyDescent="0.25">
      <c r="A279" s="158" t="s">
        <v>568</v>
      </c>
      <c r="B279" s="158" t="s">
        <v>246</v>
      </c>
      <c r="C279" s="158" t="s">
        <v>247</v>
      </c>
      <c r="D279" s="158" t="s">
        <v>564</v>
      </c>
      <c r="E279" s="160">
        <v>0</v>
      </c>
      <c r="F279" s="160">
        <v>100000</v>
      </c>
      <c r="G279" s="160">
        <v>100000</v>
      </c>
      <c r="H279" s="160">
        <v>0</v>
      </c>
      <c r="I279" s="160">
        <v>0</v>
      </c>
      <c r="J279" s="160">
        <v>0</v>
      </c>
      <c r="K279" s="160">
        <v>89600</v>
      </c>
      <c r="L279" s="160">
        <v>89600</v>
      </c>
      <c r="M279" s="160">
        <v>10400</v>
      </c>
      <c r="N279" s="160">
        <v>10400</v>
      </c>
    </row>
    <row r="280" spans="1:14" x14ac:dyDescent="0.25">
      <c r="A280" s="158" t="s">
        <v>568</v>
      </c>
      <c r="B280" s="158" t="s">
        <v>248</v>
      </c>
      <c r="C280" s="158" t="s">
        <v>249</v>
      </c>
      <c r="D280" s="158" t="s">
        <v>564</v>
      </c>
      <c r="E280" s="160">
        <v>18497000</v>
      </c>
      <c r="F280" s="160">
        <v>30886000</v>
      </c>
      <c r="G280" s="160">
        <v>30886000</v>
      </c>
      <c r="H280" s="160">
        <v>0</v>
      </c>
      <c r="I280" s="160">
        <v>1456933.54</v>
      </c>
      <c r="J280" s="160">
        <v>0</v>
      </c>
      <c r="K280" s="160">
        <v>29102229.890000001</v>
      </c>
      <c r="L280" s="160">
        <v>27425206.640000001</v>
      </c>
      <c r="M280" s="160">
        <v>326836.57</v>
      </c>
      <c r="N280" s="160">
        <v>326836.57</v>
      </c>
    </row>
    <row r="281" spans="1:14" x14ac:dyDescent="0.25">
      <c r="A281" s="158" t="s">
        <v>568</v>
      </c>
      <c r="B281" s="158" t="s">
        <v>250</v>
      </c>
      <c r="C281" s="158" t="s">
        <v>251</v>
      </c>
      <c r="D281" s="158" t="s">
        <v>564</v>
      </c>
      <c r="E281" s="160">
        <v>2800000</v>
      </c>
      <c r="F281" s="160">
        <v>4100000</v>
      </c>
      <c r="G281" s="160">
        <v>4100000</v>
      </c>
      <c r="H281" s="160">
        <v>0</v>
      </c>
      <c r="I281" s="160">
        <v>270000</v>
      </c>
      <c r="J281" s="160">
        <v>0</v>
      </c>
      <c r="K281" s="160">
        <v>3669454.73</v>
      </c>
      <c r="L281" s="160">
        <v>3498454.73</v>
      </c>
      <c r="M281" s="160">
        <v>160545.26999999999</v>
      </c>
      <c r="N281" s="160">
        <v>160545.26999999999</v>
      </c>
    </row>
    <row r="282" spans="1:14" x14ac:dyDescent="0.25">
      <c r="A282" s="158" t="s">
        <v>568</v>
      </c>
      <c r="B282" s="158" t="s">
        <v>254</v>
      </c>
      <c r="C282" s="158" t="s">
        <v>255</v>
      </c>
      <c r="D282" s="158" t="s">
        <v>564</v>
      </c>
      <c r="E282" s="160">
        <v>13694000</v>
      </c>
      <c r="F282" s="160">
        <v>24828000</v>
      </c>
      <c r="G282" s="160">
        <v>24828000</v>
      </c>
      <c r="H282" s="160">
        <v>0</v>
      </c>
      <c r="I282" s="160">
        <v>1118733.54</v>
      </c>
      <c r="J282" s="160">
        <v>0</v>
      </c>
      <c r="K282" s="160">
        <v>23694345.48</v>
      </c>
      <c r="L282" s="160">
        <v>22307152.23</v>
      </c>
      <c r="M282" s="160">
        <v>14920.98</v>
      </c>
      <c r="N282" s="160">
        <v>14920.98</v>
      </c>
    </row>
    <row r="283" spans="1:14" x14ac:dyDescent="0.25">
      <c r="A283" s="158" t="s">
        <v>568</v>
      </c>
      <c r="B283" s="158" t="s">
        <v>256</v>
      </c>
      <c r="C283" s="158" t="s">
        <v>257</v>
      </c>
      <c r="D283" s="158" t="s">
        <v>564</v>
      </c>
      <c r="E283" s="160">
        <v>590000</v>
      </c>
      <c r="F283" s="160">
        <v>590000</v>
      </c>
      <c r="G283" s="160">
        <v>590000</v>
      </c>
      <c r="H283" s="160">
        <v>0</v>
      </c>
      <c r="I283" s="160">
        <v>68200</v>
      </c>
      <c r="J283" s="160">
        <v>0</v>
      </c>
      <c r="K283" s="160">
        <v>470690.82</v>
      </c>
      <c r="L283" s="160">
        <v>470690.82</v>
      </c>
      <c r="M283" s="160">
        <v>51109.18</v>
      </c>
      <c r="N283" s="160">
        <v>51109.18</v>
      </c>
    </row>
    <row r="284" spans="1:14" x14ac:dyDescent="0.25">
      <c r="A284" s="158" t="s">
        <v>568</v>
      </c>
      <c r="B284" s="158" t="s">
        <v>258</v>
      </c>
      <c r="C284" s="158" t="s">
        <v>259</v>
      </c>
      <c r="D284" s="158" t="s">
        <v>564</v>
      </c>
      <c r="E284" s="160">
        <v>850000</v>
      </c>
      <c r="F284" s="160">
        <v>850000</v>
      </c>
      <c r="G284" s="160">
        <v>850000</v>
      </c>
      <c r="H284" s="160">
        <v>0</v>
      </c>
      <c r="I284" s="160">
        <v>0</v>
      </c>
      <c r="J284" s="160">
        <v>0</v>
      </c>
      <c r="K284" s="160">
        <v>814020.71</v>
      </c>
      <c r="L284" s="160">
        <v>695190.71</v>
      </c>
      <c r="M284" s="160">
        <v>35979.29</v>
      </c>
      <c r="N284" s="160">
        <v>35979.29</v>
      </c>
    </row>
    <row r="285" spans="1:14" x14ac:dyDescent="0.25">
      <c r="A285" s="158" t="s">
        <v>568</v>
      </c>
      <c r="B285" s="158" t="s">
        <v>260</v>
      </c>
      <c r="C285" s="158" t="s">
        <v>261</v>
      </c>
      <c r="D285" s="158" t="s">
        <v>564</v>
      </c>
      <c r="E285" s="160">
        <v>160000</v>
      </c>
      <c r="F285" s="160">
        <v>305000</v>
      </c>
      <c r="G285" s="160">
        <v>305000</v>
      </c>
      <c r="H285" s="160">
        <v>0</v>
      </c>
      <c r="I285" s="160">
        <v>0</v>
      </c>
      <c r="J285" s="160">
        <v>0</v>
      </c>
      <c r="K285" s="160">
        <v>286827.59999999998</v>
      </c>
      <c r="L285" s="160">
        <v>286827.59999999998</v>
      </c>
      <c r="M285" s="160">
        <v>18172.400000000001</v>
      </c>
      <c r="N285" s="160">
        <v>18172.400000000001</v>
      </c>
    </row>
    <row r="286" spans="1:14" x14ac:dyDescent="0.25">
      <c r="A286" s="158" t="s">
        <v>568</v>
      </c>
      <c r="B286" s="158" t="s">
        <v>262</v>
      </c>
      <c r="C286" s="158" t="s">
        <v>263</v>
      </c>
      <c r="D286" s="158" t="s">
        <v>564</v>
      </c>
      <c r="E286" s="160">
        <v>95000</v>
      </c>
      <c r="F286" s="160">
        <v>95000</v>
      </c>
      <c r="G286" s="160">
        <v>95000</v>
      </c>
      <c r="H286" s="160">
        <v>0</v>
      </c>
      <c r="I286" s="160">
        <v>0</v>
      </c>
      <c r="J286" s="160">
        <v>0</v>
      </c>
      <c r="K286" s="160">
        <v>90242.25</v>
      </c>
      <c r="L286" s="160">
        <v>90242.25</v>
      </c>
      <c r="M286" s="160">
        <v>4757.75</v>
      </c>
      <c r="N286" s="160">
        <v>4757.75</v>
      </c>
    </row>
    <row r="287" spans="1:14" x14ac:dyDescent="0.25">
      <c r="A287" s="158" t="s">
        <v>568</v>
      </c>
      <c r="B287" s="158" t="s">
        <v>264</v>
      </c>
      <c r="C287" s="158" t="s">
        <v>265</v>
      </c>
      <c r="D287" s="158" t="s">
        <v>564</v>
      </c>
      <c r="E287" s="160">
        <v>308000</v>
      </c>
      <c r="F287" s="160">
        <v>118000</v>
      </c>
      <c r="G287" s="160">
        <v>118000</v>
      </c>
      <c r="H287" s="160">
        <v>0</v>
      </c>
      <c r="I287" s="160">
        <v>0</v>
      </c>
      <c r="J287" s="160">
        <v>0</v>
      </c>
      <c r="K287" s="160">
        <v>76648.3</v>
      </c>
      <c r="L287" s="160">
        <v>76648.3</v>
      </c>
      <c r="M287" s="160">
        <v>41351.699999999997</v>
      </c>
      <c r="N287" s="160">
        <v>41351.699999999997</v>
      </c>
    </row>
    <row r="288" spans="1:14" x14ac:dyDescent="0.25">
      <c r="A288" s="158" t="s">
        <v>568</v>
      </c>
      <c r="B288" s="158" t="s">
        <v>296</v>
      </c>
      <c r="C288" s="158" t="s">
        <v>297</v>
      </c>
      <c r="D288" s="158" t="s">
        <v>564</v>
      </c>
      <c r="E288" s="160">
        <v>223602000</v>
      </c>
      <c r="F288" s="160">
        <v>282726000</v>
      </c>
      <c r="G288" s="160">
        <v>282726000</v>
      </c>
      <c r="H288" s="160">
        <v>0</v>
      </c>
      <c r="I288" s="160">
        <v>7575614.7000000002</v>
      </c>
      <c r="J288" s="160">
        <v>0</v>
      </c>
      <c r="K288" s="160">
        <v>269278922.76999998</v>
      </c>
      <c r="L288" s="160">
        <v>196230505.58000001</v>
      </c>
      <c r="M288" s="160">
        <v>5871462.5300000003</v>
      </c>
      <c r="N288" s="160">
        <v>5871462.5300000003</v>
      </c>
    </row>
    <row r="289" spans="1:14" x14ac:dyDescent="0.25">
      <c r="A289" s="158" t="s">
        <v>568</v>
      </c>
      <c r="B289" s="158" t="s">
        <v>298</v>
      </c>
      <c r="C289" s="158" t="s">
        <v>299</v>
      </c>
      <c r="D289" s="158" t="s">
        <v>564</v>
      </c>
      <c r="E289" s="160">
        <v>75332000</v>
      </c>
      <c r="F289" s="160">
        <v>108456000</v>
      </c>
      <c r="G289" s="160">
        <v>108456000</v>
      </c>
      <c r="H289" s="160">
        <v>0</v>
      </c>
      <c r="I289" s="160">
        <v>3044437.2</v>
      </c>
      <c r="J289" s="160">
        <v>0</v>
      </c>
      <c r="K289" s="160">
        <v>101440358.64</v>
      </c>
      <c r="L289" s="160">
        <v>91364753.549999997</v>
      </c>
      <c r="M289" s="160">
        <v>3971204.16</v>
      </c>
      <c r="N289" s="160">
        <v>3971204.16</v>
      </c>
    </row>
    <row r="290" spans="1:14" x14ac:dyDescent="0.25">
      <c r="A290" s="158" t="s">
        <v>568</v>
      </c>
      <c r="B290" s="158" t="s">
        <v>300</v>
      </c>
      <c r="C290" s="158" t="s">
        <v>301</v>
      </c>
      <c r="D290" s="158" t="s">
        <v>564</v>
      </c>
      <c r="E290" s="160">
        <v>0</v>
      </c>
      <c r="F290" s="160">
        <v>324000</v>
      </c>
      <c r="G290" s="160">
        <v>324000</v>
      </c>
      <c r="H290" s="160">
        <v>0</v>
      </c>
      <c r="I290" s="160">
        <v>0</v>
      </c>
      <c r="J290" s="160">
        <v>0</v>
      </c>
      <c r="K290" s="160">
        <v>209000</v>
      </c>
      <c r="L290" s="160">
        <v>209000</v>
      </c>
      <c r="M290" s="160">
        <v>115000</v>
      </c>
      <c r="N290" s="160">
        <v>115000</v>
      </c>
    </row>
    <row r="291" spans="1:14" x14ac:dyDescent="0.25">
      <c r="A291" s="158" t="s">
        <v>568</v>
      </c>
      <c r="B291" s="158" t="s">
        <v>421</v>
      </c>
      <c r="C291" s="158" t="s">
        <v>524</v>
      </c>
      <c r="D291" s="158" t="s">
        <v>564</v>
      </c>
      <c r="E291" s="160">
        <v>0</v>
      </c>
      <c r="F291" s="160">
        <v>1200000</v>
      </c>
      <c r="G291" s="160">
        <v>1200000</v>
      </c>
      <c r="H291" s="160">
        <v>0</v>
      </c>
      <c r="I291" s="160">
        <v>1200000</v>
      </c>
      <c r="J291" s="160">
        <v>0</v>
      </c>
      <c r="K291" s="160">
        <v>0</v>
      </c>
      <c r="L291" s="160">
        <v>0</v>
      </c>
      <c r="M291" s="160">
        <v>0</v>
      </c>
      <c r="N291" s="160">
        <v>0</v>
      </c>
    </row>
    <row r="292" spans="1:14" x14ac:dyDescent="0.25">
      <c r="A292" s="158" t="s">
        <v>568</v>
      </c>
      <c r="B292" s="158" t="s">
        <v>302</v>
      </c>
      <c r="C292" s="158" t="s">
        <v>303</v>
      </c>
      <c r="D292" s="158" t="s">
        <v>564</v>
      </c>
      <c r="E292" s="160">
        <v>0</v>
      </c>
      <c r="F292" s="160">
        <v>400000</v>
      </c>
      <c r="G292" s="160">
        <v>400000</v>
      </c>
      <c r="H292" s="160">
        <v>0</v>
      </c>
      <c r="I292" s="160">
        <v>0</v>
      </c>
      <c r="J292" s="160">
        <v>0</v>
      </c>
      <c r="K292" s="160">
        <v>373645</v>
      </c>
      <c r="L292" s="160">
        <v>217145</v>
      </c>
      <c r="M292" s="160">
        <v>26355</v>
      </c>
      <c r="N292" s="160">
        <v>26355</v>
      </c>
    </row>
    <row r="293" spans="1:14" x14ac:dyDescent="0.25">
      <c r="A293" s="158" t="s">
        <v>568</v>
      </c>
      <c r="B293" s="158" t="s">
        <v>304</v>
      </c>
      <c r="C293" s="158" t="s">
        <v>305</v>
      </c>
      <c r="D293" s="158" t="s">
        <v>564</v>
      </c>
      <c r="E293" s="160">
        <v>0</v>
      </c>
      <c r="F293" s="160">
        <v>5000000</v>
      </c>
      <c r="G293" s="160">
        <v>5000000</v>
      </c>
      <c r="H293" s="160">
        <v>0</v>
      </c>
      <c r="I293" s="160">
        <v>1611026</v>
      </c>
      <c r="J293" s="160">
        <v>0</v>
      </c>
      <c r="K293" s="160">
        <v>3290702.83</v>
      </c>
      <c r="L293" s="160">
        <v>0</v>
      </c>
      <c r="M293" s="160">
        <v>98271.17</v>
      </c>
      <c r="N293" s="160">
        <v>98271.17</v>
      </c>
    </row>
    <row r="294" spans="1:14" x14ac:dyDescent="0.25">
      <c r="A294" s="158" t="s">
        <v>568</v>
      </c>
      <c r="B294" s="158" t="s">
        <v>306</v>
      </c>
      <c r="C294" s="158" t="s">
        <v>307</v>
      </c>
      <c r="D294" s="158" t="s">
        <v>564</v>
      </c>
      <c r="E294" s="160">
        <v>0</v>
      </c>
      <c r="F294" s="160">
        <v>26000000</v>
      </c>
      <c r="G294" s="160">
        <v>26000000</v>
      </c>
      <c r="H294" s="160">
        <v>0</v>
      </c>
      <c r="I294" s="160">
        <v>0</v>
      </c>
      <c r="J294" s="160">
        <v>0</v>
      </c>
      <c r="K294" s="160">
        <v>24457079.859999999</v>
      </c>
      <c r="L294" s="160">
        <v>20790596.859999999</v>
      </c>
      <c r="M294" s="160">
        <v>1542920.14</v>
      </c>
      <c r="N294" s="160">
        <v>1542920.14</v>
      </c>
    </row>
    <row r="295" spans="1:14" x14ac:dyDescent="0.25">
      <c r="A295" s="158" t="s">
        <v>568</v>
      </c>
      <c r="B295" s="158" t="s">
        <v>308</v>
      </c>
      <c r="C295" s="158" t="s">
        <v>309</v>
      </c>
      <c r="D295" s="158" t="s">
        <v>564</v>
      </c>
      <c r="E295" s="160">
        <v>0</v>
      </c>
      <c r="F295" s="160">
        <v>200000</v>
      </c>
      <c r="G295" s="160">
        <v>200000</v>
      </c>
      <c r="H295" s="160">
        <v>0</v>
      </c>
      <c r="I295" s="160">
        <v>0</v>
      </c>
      <c r="J295" s="160">
        <v>0</v>
      </c>
      <c r="K295" s="160">
        <v>170000</v>
      </c>
      <c r="L295" s="160">
        <v>170000</v>
      </c>
      <c r="M295" s="160">
        <v>30000</v>
      </c>
      <c r="N295" s="160">
        <v>30000</v>
      </c>
    </row>
    <row r="296" spans="1:14" x14ac:dyDescent="0.25">
      <c r="A296" s="158" t="s">
        <v>568</v>
      </c>
      <c r="B296" s="158" t="s">
        <v>302</v>
      </c>
      <c r="C296" s="158" t="s">
        <v>303</v>
      </c>
      <c r="D296" s="158" t="s">
        <v>566</v>
      </c>
      <c r="E296" s="160">
        <v>0</v>
      </c>
      <c r="F296" s="160">
        <v>424285.29</v>
      </c>
      <c r="G296" s="160">
        <v>424285.29</v>
      </c>
      <c r="H296" s="160">
        <v>0</v>
      </c>
      <c r="I296" s="160">
        <v>0</v>
      </c>
      <c r="J296" s="160">
        <v>0</v>
      </c>
      <c r="K296" s="160">
        <v>387222.55</v>
      </c>
      <c r="L296" s="160">
        <v>387222.55</v>
      </c>
      <c r="M296" s="160">
        <v>37062.74</v>
      </c>
      <c r="N296" s="160">
        <v>37062.74</v>
      </c>
    </row>
    <row r="297" spans="1:14" x14ac:dyDescent="0.25">
      <c r="A297" s="158" t="s">
        <v>568</v>
      </c>
      <c r="B297" s="158" t="s">
        <v>304</v>
      </c>
      <c r="C297" s="158" t="s">
        <v>305</v>
      </c>
      <c r="D297" s="158" t="s">
        <v>566</v>
      </c>
      <c r="E297" s="160">
        <v>34000000</v>
      </c>
      <c r="F297" s="160">
        <v>34000000</v>
      </c>
      <c r="G297" s="160">
        <v>34000000</v>
      </c>
      <c r="H297" s="160">
        <v>0</v>
      </c>
      <c r="I297" s="160">
        <v>233411.20000000001</v>
      </c>
      <c r="J297" s="160">
        <v>0</v>
      </c>
      <c r="K297" s="160">
        <v>33641204.640000001</v>
      </c>
      <c r="L297" s="160">
        <v>32078404.140000001</v>
      </c>
      <c r="M297" s="160">
        <v>125384.16</v>
      </c>
      <c r="N297" s="160">
        <v>125384.16</v>
      </c>
    </row>
    <row r="298" spans="1:14" x14ac:dyDescent="0.25">
      <c r="A298" s="158" t="s">
        <v>568</v>
      </c>
      <c r="B298" s="158" t="s">
        <v>306</v>
      </c>
      <c r="C298" s="158" t="s">
        <v>307</v>
      </c>
      <c r="D298" s="158" t="s">
        <v>566</v>
      </c>
      <c r="E298" s="160">
        <v>41332000</v>
      </c>
      <c r="F298" s="160">
        <v>40907714.710000001</v>
      </c>
      <c r="G298" s="160">
        <v>40907714.710000001</v>
      </c>
      <c r="H298" s="160">
        <v>0</v>
      </c>
      <c r="I298" s="160">
        <v>0</v>
      </c>
      <c r="J298" s="160">
        <v>0</v>
      </c>
      <c r="K298" s="160">
        <v>38911503.759999998</v>
      </c>
      <c r="L298" s="160">
        <v>37512385</v>
      </c>
      <c r="M298" s="160">
        <v>1996210.95</v>
      </c>
      <c r="N298" s="160">
        <v>1996210.95</v>
      </c>
    </row>
    <row r="299" spans="1:14" x14ac:dyDescent="0.25">
      <c r="A299" s="158" t="s">
        <v>568</v>
      </c>
      <c r="B299" s="158" t="s">
        <v>314</v>
      </c>
      <c r="C299" s="158" t="s">
        <v>315</v>
      </c>
      <c r="D299" s="158" t="s">
        <v>564</v>
      </c>
      <c r="E299" s="160">
        <v>118270000</v>
      </c>
      <c r="F299" s="160">
        <v>144270000</v>
      </c>
      <c r="G299" s="160">
        <v>144270000</v>
      </c>
      <c r="H299" s="160">
        <v>0</v>
      </c>
      <c r="I299" s="160">
        <v>4531177.5</v>
      </c>
      <c r="J299" s="160">
        <v>0</v>
      </c>
      <c r="K299" s="160">
        <v>139637274.25</v>
      </c>
      <c r="L299" s="160">
        <v>78119824.25</v>
      </c>
      <c r="M299" s="160">
        <v>101548.25</v>
      </c>
      <c r="N299" s="160">
        <v>101548.25</v>
      </c>
    </row>
    <row r="300" spans="1:14" x14ac:dyDescent="0.25">
      <c r="A300" s="158" t="s">
        <v>568</v>
      </c>
      <c r="B300" s="158" t="s">
        <v>316</v>
      </c>
      <c r="C300" s="158" t="s">
        <v>317</v>
      </c>
      <c r="D300" s="158" t="s">
        <v>564</v>
      </c>
      <c r="E300" s="160">
        <v>0</v>
      </c>
      <c r="F300" s="160">
        <v>26000000</v>
      </c>
      <c r="G300" s="160">
        <v>26000000</v>
      </c>
      <c r="H300" s="160">
        <v>0</v>
      </c>
      <c r="I300" s="160">
        <v>0</v>
      </c>
      <c r="J300" s="160">
        <v>0</v>
      </c>
      <c r="K300" s="160">
        <v>25900000</v>
      </c>
      <c r="L300" s="160">
        <v>0</v>
      </c>
      <c r="M300" s="160">
        <v>100000</v>
      </c>
      <c r="N300" s="160">
        <v>100000</v>
      </c>
    </row>
    <row r="301" spans="1:14" x14ac:dyDescent="0.25">
      <c r="A301" s="158" t="s">
        <v>568</v>
      </c>
      <c r="B301" s="158" t="s">
        <v>316</v>
      </c>
      <c r="C301" s="158" t="s">
        <v>317</v>
      </c>
      <c r="D301" s="158" t="s">
        <v>566</v>
      </c>
      <c r="E301" s="160">
        <v>118270000</v>
      </c>
      <c r="F301" s="160">
        <v>118270000</v>
      </c>
      <c r="G301" s="160">
        <v>118270000</v>
      </c>
      <c r="H301" s="160">
        <v>0</v>
      </c>
      <c r="I301" s="160">
        <v>4531177.5</v>
      </c>
      <c r="J301" s="160">
        <v>0</v>
      </c>
      <c r="K301" s="160">
        <v>113737274.25</v>
      </c>
      <c r="L301" s="160">
        <v>78119824.25</v>
      </c>
      <c r="M301" s="160">
        <v>1548.25</v>
      </c>
      <c r="N301" s="160">
        <v>1548.25</v>
      </c>
    </row>
    <row r="302" spans="1:14" x14ac:dyDescent="0.25">
      <c r="A302" s="158" t="s">
        <v>568</v>
      </c>
      <c r="B302" s="158" t="s">
        <v>360</v>
      </c>
      <c r="C302" s="158" t="s">
        <v>361</v>
      </c>
      <c r="D302" s="158" t="s">
        <v>566</v>
      </c>
      <c r="E302" s="160">
        <v>30000000</v>
      </c>
      <c r="F302" s="160">
        <v>30000000</v>
      </c>
      <c r="G302" s="160">
        <v>30000000</v>
      </c>
      <c r="H302" s="160">
        <v>0</v>
      </c>
      <c r="I302" s="160">
        <v>0</v>
      </c>
      <c r="J302" s="160">
        <v>0</v>
      </c>
      <c r="K302" s="160">
        <v>28201289.879999999</v>
      </c>
      <c r="L302" s="160">
        <v>26745927.780000001</v>
      </c>
      <c r="M302" s="160">
        <v>1798710.12</v>
      </c>
      <c r="N302" s="160">
        <v>1798710.12</v>
      </c>
    </row>
    <row r="303" spans="1:14" x14ac:dyDescent="0.25">
      <c r="A303" s="158" t="s">
        <v>568</v>
      </c>
      <c r="B303" s="158" t="s">
        <v>362</v>
      </c>
      <c r="C303" s="158" t="s">
        <v>363</v>
      </c>
      <c r="D303" s="158" t="s">
        <v>566</v>
      </c>
      <c r="E303" s="160">
        <v>30000000</v>
      </c>
      <c r="F303" s="160">
        <v>30000000</v>
      </c>
      <c r="G303" s="160">
        <v>30000000</v>
      </c>
      <c r="H303" s="160">
        <v>0</v>
      </c>
      <c r="I303" s="160">
        <v>0</v>
      </c>
      <c r="J303" s="160">
        <v>0</v>
      </c>
      <c r="K303" s="160">
        <v>28201289.879999999</v>
      </c>
      <c r="L303" s="160">
        <v>26745927.780000001</v>
      </c>
      <c r="M303" s="160">
        <v>1798710.12</v>
      </c>
      <c r="N303" s="160">
        <v>1798710.12</v>
      </c>
    </row>
    <row r="304" spans="1:14" x14ac:dyDescent="0.25">
      <c r="A304" s="158" t="s">
        <v>568</v>
      </c>
      <c r="B304" s="158" t="s">
        <v>266</v>
      </c>
      <c r="C304" s="158" t="s">
        <v>267</v>
      </c>
      <c r="D304" s="158" t="s">
        <v>564</v>
      </c>
      <c r="E304" s="160">
        <v>165890000</v>
      </c>
      <c r="F304" s="160">
        <v>194691000</v>
      </c>
      <c r="G304" s="160">
        <v>194691000</v>
      </c>
      <c r="H304" s="160">
        <v>0</v>
      </c>
      <c r="I304" s="160">
        <v>0</v>
      </c>
      <c r="J304" s="160">
        <v>0</v>
      </c>
      <c r="K304" s="160">
        <v>184721869.13</v>
      </c>
      <c r="L304" s="160">
        <v>179377393.63</v>
      </c>
      <c r="M304" s="160">
        <v>9969130.8699999992</v>
      </c>
      <c r="N304" s="160">
        <v>9969130.8699999992</v>
      </c>
    </row>
    <row r="305" spans="1:14" x14ac:dyDescent="0.25">
      <c r="A305" s="158" t="s">
        <v>568</v>
      </c>
      <c r="B305" s="158" t="s">
        <v>268</v>
      </c>
      <c r="C305" s="158" t="s">
        <v>269</v>
      </c>
      <c r="D305" s="158" t="s">
        <v>564</v>
      </c>
      <c r="E305" s="160">
        <v>53054000</v>
      </c>
      <c r="F305" s="160">
        <v>50155000</v>
      </c>
      <c r="G305" s="160">
        <v>50155000</v>
      </c>
      <c r="H305" s="160">
        <v>0</v>
      </c>
      <c r="I305" s="160">
        <v>0</v>
      </c>
      <c r="J305" s="160">
        <v>0</v>
      </c>
      <c r="K305" s="160">
        <v>47777940.159999996</v>
      </c>
      <c r="L305" s="160">
        <v>47777940.159999996</v>
      </c>
      <c r="M305" s="160">
        <v>2377059.84</v>
      </c>
      <c r="N305" s="160">
        <v>2377059.84</v>
      </c>
    </row>
    <row r="306" spans="1:14" x14ac:dyDescent="0.25">
      <c r="A306" s="158" t="s">
        <v>568</v>
      </c>
      <c r="B306" s="158" t="s">
        <v>364</v>
      </c>
      <c r="C306" s="158" t="s">
        <v>275</v>
      </c>
      <c r="D306" s="158" t="s">
        <v>564</v>
      </c>
      <c r="E306" s="160">
        <v>37074000</v>
      </c>
      <c r="F306" s="160">
        <v>35048000</v>
      </c>
      <c r="G306" s="160">
        <v>35048000</v>
      </c>
      <c r="H306" s="160">
        <v>0</v>
      </c>
      <c r="I306" s="160">
        <v>0</v>
      </c>
      <c r="J306" s="160">
        <v>0</v>
      </c>
      <c r="K306" s="160">
        <v>33386994.309999999</v>
      </c>
      <c r="L306" s="160">
        <v>33386994.309999999</v>
      </c>
      <c r="M306" s="160">
        <v>1661005.69</v>
      </c>
      <c r="N306" s="160">
        <v>1661005.69</v>
      </c>
    </row>
    <row r="307" spans="1:14" x14ac:dyDescent="0.25">
      <c r="A307" s="158" t="s">
        <v>568</v>
      </c>
      <c r="B307" s="158" t="s">
        <v>365</v>
      </c>
      <c r="C307" s="158" t="s">
        <v>277</v>
      </c>
      <c r="D307" s="158" t="s">
        <v>564</v>
      </c>
      <c r="E307" s="160">
        <v>15980000</v>
      </c>
      <c r="F307" s="160">
        <v>15107000</v>
      </c>
      <c r="G307" s="160">
        <v>15107000</v>
      </c>
      <c r="H307" s="160">
        <v>0</v>
      </c>
      <c r="I307" s="160">
        <v>0</v>
      </c>
      <c r="J307" s="160">
        <v>0</v>
      </c>
      <c r="K307" s="160">
        <v>14390945.85</v>
      </c>
      <c r="L307" s="160">
        <v>14390945.85</v>
      </c>
      <c r="M307" s="160">
        <v>716054.15</v>
      </c>
      <c r="N307" s="160">
        <v>716054.15</v>
      </c>
    </row>
    <row r="308" spans="1:14" x14ac:dyDescent="0.25">
      <c r="A308" s="158" t="s">
        <v>568</v>
      </c>
      <c r="B308" s="158" t="s">
        <v>278</v>
      </c>
      <c r="C308" s="158" t="s">
        <v>279</v>
      </c>
      <c r="D308" s="158" t="s">
        <v>564</v>
      </c>
      <c r="E308" s="160">
        <v>110000000</v>
      </c>
      <c r="F308" s="160">
        <v>105500000</v>
      </c>
      <c r="G308" s="160">
        <v>105500000</v>
      </c>
      <c r="H308" s="160">
        <v>0</v>
      </c>
      <c r="I308" s="160">
        <v>0</v>
      </c>
      <c r="J308" s="160">
        <v>0</v>
      </c>
      <c r="K308" s="160">
        <v>98827994.159999996</v>
      </c>
      <c r="L308" s="160">
        <v>93483518.659999996</v>
      </c>
      <c r="M308" s="160">
        <v>6672005.8399999999</v>
      </c>
      <c r="N308" s="160">
        <v>6672005.8399999999</v>
      </c>
    </row>
    <row r="309" spans="1:14" x14ac:dyDescent="0.25">
      <c r="A309" s="158" t="s">
        <v>568</v>
      </c>
      <c r="B309" s="158" t="s">
        <v>280</v>
      </c>
      <c r="C309" s="158" t="s">
        <v>281</v>
      </c>
      <c r="D309" s="158" t="s">
        <v>564</v>
      </c>
      <c r="E309" s="160">
        <v>90000000</v>
      </c>
      <c r="F309" s="160">
        <v>80000000</v>
      </c>
      <c r="G309" s="160">
        <v>80000000</v>
      </c>
      <c r="H309" s="160">
        <v>0</v>
      </c>
      <c r="I309" s="160">
        <v>0</v>
      </c>
      <c r="J309" s="160">
        <v>0</v>
      </c>
      <c r="K309" s="160">
        <v>76932668.659999996</v>
      </c>
      <c r="L309" s="160">
        <v>76932668.659999996</v>
      </c>
      <c r="M309" s="160">
        <v>3067331.34</v>
      </c>
      <c r="N309" s="160">
        <v>3067331.34</v>
      </c>
    </row>
    <row r="310" spans="1:14" x14ac:dyDescent="0.25">
      <c r="A310" s="158" t="s">
        <v>568</v>
      </c>
      <c r="B310" s="158" t="s">
        <v>282</v>
      </c>
      <c r="C310" s="158" t="s">
        <v>283</v>
      </c>
      <c r="D310" s="158" t="s">
        <v>564</v>
      </c>
      <c r="E310" s="160">
        <v>20000000</v>
      </c>
      <c r="F310" s="160">
        <v>25500000</v>
      </c>
      <c r="G310" s="160">
        <v>25500000</v>
      </c>
      <c r="H310" s="160">
        <v>0</v>
      </c>
      <c r="I310" s="160">
        <v>0</v>
      </c>
      <c r="J310" s="160">
        <v>0</v>
      </c>
      <c r="K310" s="160">
        <v>21895325.5</v>
      </c>
      <c r="L310" s="160">
        <v>16550850</v>
      </c>
      <c r="M310" s="160">
        <v>3604674.5</v>
      </c>
      <c r="N310" s="160">
        <v>3604674.5</v>
      </c>
    </row>
    <row r="311" spans="1:14" x14ac:dyDescent="0.25">
      <c r="A311" s="158" t="s">
        <v>568</v>
      </c>
      <c r="B311" s="158" t="s">
        <v>284</v>
      </c>
      <c r="C311" s="158" t="s">
        <v>285</v>
      </c>
      <c r="D311" s="158" t="s">
        <v>564</v>
      </c>
      <c r="E311" s="160">
        <v>2836000</v>
      </c>
      <c r="F311" s="160">
        <v>39036000</v>
      </c>
      <c r="G311" s="160">
        <v>39036000</v>
      </c>
      <c r="H311" s="160">
        <v>0</v>
      </c>
      <c r="I311" s="160">
        <v>0</v>
      </c>
      <c r="J311" s="160">
        <v>0</v>
      </c>
      <c r="K311" s="160">
        <v>38115934.810000002</v>
      </c>
      <c r="L311" s="160">
        <v>38115934.810000002</v>
      </c>
      <c r="M311" s="160">
        <v>920065.19</v>
      </c>
      <c r="N311" s="160">
        <v>920065.19</v>
      </c>
    </row>
    <row r="312" spans="1:14" x14ac:dyDescent="0.25">
      <c r="A312" s="158" t="s">
        <v>568</v>
      </c>
      <c r="B312" s="158" t="s">
        <v>286</v>
      </c>
      <c r="C312" s="158" t="s">
        <v>287</v>
      </c>
      <c r="D312" s="158" t="s">
        <v>564</v>
      </c>
      <c r="E312" s="160">
        <v>2836000</v>
      </c>
      <c r="F312" s="160">
        <v>39036000</v>
      </c>
      <c r="G312" s="160">
        <v>39036000</v>
      </c>
      <c r="H312" s="160">
        <v>0</v>
      </c>
      <c r="I312" s="160">
        <v>0</v>
      </c>
      <c r="J312" s="160">
        <v>0</v>
      </c>
      <c r="K312" s="160">
        <v>38115934.810000002</v>
      </c>
      <c r="L312" s="160">
        <v>38115934.810000002</v>
      </c>
      <c r="M312" s="160">
        <v>920065.19</v>
      </c>
      <c r="N312" s="160">
        <v>920065.19</v>
      </c>
    </row>
    <row r="313" spans="1:14" s="65" customFormat="1" x14ac:dyDescent="0.25">
      <c r="A313" s="176">
        <v>214783</v>
      </c>
      <c r="B313" s="176"/>
      <c r="C313" s="176"/>
      <c r="D313" s="176" t="s">
        <v>564</v>
      </c>
      <c r="E313" s="177">
        <v>90581689000</v>
      </c>
      <c r="F313" s="177">
        <v>91129126515</v>
      </c>
      <c r="G313" s="177">
        <v>91129126482.279999</v>
      </c>
      <c r="H313" s="177">
        <v>0</v>
      </c>
      <c r="I313" s="177">
        <v>2762374454.9099998</v>
      </c>
      <c r="J313" s="177">
        <v>0</v>
      </c>
      <c r="K313" s="177">
        <v>85963389837.949997</v>
      </c>
      <c r="L313" s="177">
        <v>72802238472.309998</v>
      </c>
      <c r="M313" s="177">
        <v>2403362222.1399999</v>
      </c>
      <c r="N313" s="177">
        <v>2403362189.4200001</v>
      </c>
    </row>
    <row r="314" spans="1:14" x14ac:dyDescent="0.25">
      <c r="A314" s="158" t="s">
        <v>569</v>
      </c>
      <c r="B314" s="158" t="s">
        <v>100</v>
      </c>
      <c r="C314" s="158" t="s">
        <v>101</v>
      </c>
      <c r="D314" s="158" t="s">
        <v>564</v>
      </c>
      <c r="E314" s="160">
        <v>60168460000</v>
      </c>
      <c r="F314" s="160">
        <v>56663363174</v>
      </c>
      <c r="G314" s="160">
        <v>56663363174</v>
      </c>
      <c r="H314" s="160">
        <v>0</v>
      </c>
      <c r="I314" s="160">
        <v>36323.699999999997</v>
      </c>
      <c r="J314" s="160">
        <v>0</v>
      </c>
      <c r="K314" s="160">
        <v>55669252888.059998</v>
      </c>
      <c r="L314" s="160">
        <v>45741192899.169998</v>
      </c>
      <c r="M314" s="160">
        <v>994073962.24000001</v>
      </c>
      <c r="N314" s="160">
        <v>994073962.24000001</v>
      </c>
    </row>
    <row r="315" spans="1:14" x14ac:dyDescent="0.25">
      <c r="A315" s="158" t="s">
        <v>569</v>
      </c>
      <c r="B315" s="158" t="s">
        <v>102</v>
      </c>
      <c r="C315" s="158" t="s">
        <v>103</v>
      </c>
      <c r="D315" s="158" t="s">
        <v>564</v>
      </c>
      <c r="E315" s="160">
        <v>22049546000</v>
      </c>
      <c r="F315" s="160">
        <v>20276398335</v>
      </c>
      <c r="G315" s="160">
        <v>20276398335</v>
      </c>
      <c r="H315" s="160">
        <v>0</v>
      </c>
      <c r="I315" s="160">
        <v>299.93</v>
      </c>
      <c r="J315" s="160">
        <v>0</v>
      </c>
      <c r="K315" s="160">
        <v>19920922815.93</v>
      </c>
      <c r="L315" s="160">
        <v>16626082779.139999</v>
      </c>
      <c r="M315" s="160">
        <v>355475219.13999999</v>
      </c>
      <c r="N315" s="160">
        <v>355475219.13999999</v>
      </c>
    </row>
    <row r="316" spans="1:14" x14ac:dyDescent="0.25">
      <c r="A316" s="158" t="s">
        <v>569</v>
      </c>
      <c r="B316" s="158" t="s">
        <v>104</v>
      </c>
      <c r="C316" s="158" t="s">
        <v>105</v>
      </c>
      <c r="D316" s="158" t="s">
        <v>564</v>
      </c>
      <c r="E316" s="160">
        <v>21785124000</v>
      </c>
      <c r="F316" s="160">
        <v>20011976335</v>
      </c>
      <c r="G316" s="160">
        <v>20011976335</v>
      </c>
      <c r="H316" s="160">
        <v>0</v>
      </c>
      <c r="I316" s="160">
        <v>299.93</v>
      </c>
      <c r="J316" s="160">
        <v>0</v>
      </c>
      <c r="K316" s="160">
        <v>19695677633.990002</v>
      </c>
      <c r="L316" s="160">
        <v>16436236120.530001</v>
      </c>
      <c r="M316" s="160">
        <v>316298401.07999998</v>
      </c>
      <c r="N316" s="160">
        <v>316298401.07999998</v>
      </c>
    </row>
    <row r="317" spans="1:14" x14ac:dyDescent="0.25">
      <c r="A317" s="158" t="s">
        <v>569</v>
      </c>
      <c r="B317" s="158" t="s">
        <v>366</v>
      </c>
      <c r="C317" s="158" t="s">
        <v>367</v>
      </c>
      <c r="D317" s="158" t="s">
        <v>564</v>
      </c>
      <c r="E317" s="160">
        <v>264422000</v>
      </c>
      <c r="F317" s="160">
        <v>264422000</v>
      </c>
      <c r="G317" s="160">
        <v>264422000</v>
      </c>
      <c r="H317" s="160">
        <v>0</v>
      </c>
      <c r="I317" s="160">
        <v>0</v>
      </c>
      <c r="J317" s="160">
        <v>0</v>
      </c>
      <c r="K317" s="160">
        <v>225245181.94</v>
      </c>
      <c r="L317" s="160">
        <v>189846658.61000001</v>
      </c>
      <c r="M317" s="160">
        <v>39176818.060000002</v>
      </c>
      <c r="N317" s="160">
        <v>39176818.060000002</v>
      </c>
    </row>
    <row r="318" spans="1:14" x14ac:dyDescent="0.25">
      <c r="A318" s="158" t="s">
        <v>569</v>
      </c>
      <c r="B318" s="158" t="s">
        <v>106</v>
      </c>
      <c r="C318" s="158" t="s">
        <v>107</v>
      </c>
      <c r="D318" s="158" t="s">
        <v>564</v>
      </c>
      <c r="E318" s="160">
        <v>3398736000</v>
      </c>
      <c r="F318" s="160">
        <v>3060613466</v>
      </c>
      <c r="G318" s="160">
        <v>3060613466</v>
      </c>
      <c r="H318" s="160">
        <v>0</v>
      </c>
      <c r="I318" s="160">
        <v>31558.7</v>
      </c>
      <c r="J318" s="160">
        <v>0</v>
      </c>
      <c r="K318" s="160">
        <v>3025668118.4499998</v>
      </c>
      <c r="L318" s="160">
        <v>2523875293.6799998</v>
      </c>
      <c r="M318" s="160">
        <v>34913788.850000001</v>
      </c>
      <c r="N318" s="160">
        <v>34913788.850000001</v>
      </c>
    </row>
    <row r="319" spans="1:14" x14ac:dyDescent="0.25">
      <c r="A319" s="158" t="s">
        <v>569</v>
      </c>
      <c r="B319" s="158" t="s">
        <v>108</v>
      </c>
      <c r="C319" s="158" t="s">
        <v>109</v>
      </c>
      <c r="D319" s="158" t="s">
        <v>564</v>
      </c>
      <c r="E319" s="160">
        <v>30000000</v>
      </c>
      <c r="F319" s="160">
        <v>14877466</v>
      </c>
      <c r="G319" s="160">
        <v>14877466</v>
      </c>
      <c r="H319" s="160">
        <v>0</v>
      </c>
      <c r="I319" s="160">
        <v>31558.7</v>
      </c>
      <c r="J319" s="160">
        <v>0</v>
      </c>
      <c r="K319" s="160">
        <v>12056723.17</v>
      </c>
      <c r="L319" s="160">
        <v>10147476.539999999</v>
      </c>
      <c r="M319" s="160">
        <v>2789184.13</v>
      </c>
      <c r="N319" s="160">
        <v>2789184.13</v>
      </c>
    </row>
    <row r="320" spans="1:14" x14ac:dyDescent="0.25">
      <c r="A320" s="158" t="s">
        <v>569</v>
      </c>
      <c r="B320" s="158" t="s">
        <v>368</v>
      </c>
      <c r="C320" s="158" t="s">
        <v>369</v>
      </c>
      <c r="D320" s="158" t="s">
        <v>564</v>
      </c>
      <c r="E320" s="160">
        <v>12000000</v>
      </c>
      <c r="F320" s="160">
        <v>9000000</v>
      </c>
      <c r="G320" s="160">
        <v>9000000</v>
      </c>
      <c r="H320" s="160">
        <v>0</v>
      </c>
      <c r="I320" s="160">
        <v>0</v>
      </c>
      <c r="J320" s="160">
        <v>0</v>
      </c>
      <c r="K320" s="160">
        <v>7843142.5999999996</v>
      </c>
      <c r="L320" s="160">
        <v>6921856.5</v>
      </c>
      <c r="M320" s="160">
        <v>1156857.3999999999</v>
      </c>
      <c r="N320" s="160">
        <v>1156857.3999999999</v>
      </c>
    </row>
    <row r="321" spans="1:14" x14ac:dyDescent="0.25">
      <c r="A321" s="158" t="s">
        <v>569</v>
      </c>
      <c r="B321" s="158" t="s">
        <v>370</v>
      </c>
      <c r="C321" s="158" t="s">
        <v>371</v>
      </c>
      <c r="D321" s="158" t="s">
        <v>564</v>
      </c>
      <c r="E321" s="160">
        <v>3356736000</v>
      </c>
      <c r="F321" s="160">
        <v>3036736000</v>
      </c>
      <c r="G321" s="160">
        <v>3036736000</v>
      </c>
      <c r="H321" s="160">
        <v>0</v>
      </c>
      <c r="I321" s="160">
        <v>0</v>
      </c>
      <c r="J321" s="160">
        <v>0</v>
      </c>
      <c r="K321" s="160">
        <v>3005768252.6799998</v>
      </c>
      <c r="L321" s="160">
        <v>2506805960.6399999</v>
      </c>
      <c r="M321" s="160">
        <v>30967747.32</v>
      </c>
      <c r="N321" s="160">
        <v>30967747.32</v>
      </c>
    </row>
    <row r="322" spans="1:14" x14ac:dyDescent="0.25">
      <c r="A322" s="158" t="s">
        <v>569</v>
      </c>
      <c r="B322" s="158" t="s">
        <v>110</v>
      </c>
      <c r="C322" s="158" t="s">
        <v>111</v>
      </c>
      <c r="D322" s="158" t="s">
        <v>564</v>
      </c>
      <c r="E322" s="160">
        <v>25608476000</v>
      </c>
      <c r="F322" s="160">
        <v>24786476000</v>
      </c>
      <c r="G322" s="160">
        <v>24786476000</v>
      </c>
      <c r="H322" s="160">
        <v>0</v>
      </c>
      <c r="I322" s="160">
        <v>4465.07</v>
      </c>
      <c r="J322" s="160">
        <v>0</v>
      </c>
      <c r="K322" s="160">
        <v>24345224488.68</v>
      </c>
      <c r="L322" s="160">
        <v>18213847361.349998</v>
      </c>
      <c r="M322" s="160">
        <v>441247046.25</v>
      </c>
      <c r="N322" s="160">
        <v>441247046.25</v>
      </c>
    </row>
    <row r="323" spans="1:14" x14ac:dyDescent="0.25">
      <c r="A323" s="158" t="s">
        <v>569</v>
      </c>
      <c r="B323" s="158" t="s">
        <v>112</v>
      </c>
      <c r="C323" s="158" t="s">
        <v>113</v>
      </c>
      <c r="D323" s="158" t="s">
        <v>564</v>
      </c>
      <c r="E323" s="160">
        <v>8185162000</v>
      </c>
      <c r="F323" s="160">
        <v>8005162000</v>
      </c>
      <c r="G323" s="160">
        <v>8005162000</v>
      </c>
      <c r="H323" s="160">
        <v>0</v>
      </c>
      <c r="I323" s="160">
        <v>0</v>
      </c>
      <c r="J323" s="160">
        <v>0</v>
      </c>
      <c r="K323" s="160">
        <v>7938207598.8500004</v>
      </c>
      <c r="L323" s="160">
        <v>6640600145.8900003</v>
      </c>
      <c r="M323" s="160">
        <v>66954401.149999999</v>
      </c>
      <c r="N323" s="160">
        <v>66954401.149999999</v>
      </c>
    </row>
    <row r="324" spans="1:14" x14ac:dyDescent="0.25">
      <c r="A324" s="158" t="s">
        <v>569</v>
      </c>
      <c r="B324" s="158" t="s">
        <v>114</v>
      </c>
      <c r="C324" s="158" t="s">
        <v>115</v>
      </c>
      <c r="D324" s="158" t="s">
        <v>564</v>
      </c>
      <c r="E324" s="160">
        <v>3173928000</v>
      </c>
      <c r="F324" s="160">
        <v>2943928000</v>
      </c>
      <c r="G324" s="160">
        <v>2943928000</v>
      </c>
      <c r="H324" s="160">
        <v>0</v>
      </c>
      <c r="I324" s="160">
        <v>0</v>
      </c>
      <c r="J324" s="160">
        <v>0</v>
      </c>
      <c r="K324" s="160">
        <v>2904895806.0500002</v>
      </c>
      <c r="L324" s="160">
        <v>2430009877.3400002</v>
      </c>
      <c r="M324" s="160">
        <v>39032193.950000003</v>
      </c>
      <c r="N324" s="160">
        <v>39032193.950000003</v>
      </c>
    </row>
    <row r="325" spans="1:14" x14ac:dyDescent="0.25">
      <c r="A325" s="158" t="s">
        <v>569</v>
      </c>
      <c r="B325" s="158" t="s">
        <v>116</v>
      </c>
      <c r="C325" s="158" t="s">
        <v>117</v>
      </c>
      <c r="D325" s="158" t="s">
        <v>564</v>
      </c>
      <c r="E325" s="160">
        <v>3382000000</v>
      </c>
      <c r="F325" s="160">
        <v>3312000000</v>
      </c>
      <c r="G325" s="160">
        <v>3312000000</v>
      </c>
      <c r="H325" s="160">
        <v>0</v>
      </c>
      <c r="I325" s="160">
        <v>3626.42</v>
      </c>
      <c r="J325" s="160">
        <v>0</v>
      </c>
      <c r="K325" s="160">
        <v>3291741144.4000001</v>
      </c>
      <c r="L325" s="160">
        <v>9313783.1199999992</v>
      </c>
      <c r="M325" s="160">
        <v>20255229.18</v>
      </c>
      <c r="N325" s="160">
        <v>20255229.18</v>
      </c>
    </row>
    <row r="326" spans="1:14" x14ac:dyDescent="0.25">
      <c r="A326" s="158" t="s">
        <v>569</v>
      </c>
      <c r="B326" s="158" t="s">
        <v>118</v>
      </c>
      <c r="C326" s="158" t="s">
        <v>119</v>
      </c>
      <c r="D326" s="158" t="s">
        <v>564</v>
      </c>
      <c r="E326" s="160">
        <v>6946386000</v>
      </c>
      <c r="F326" s="160">
        <v>6674386000</v>
      </c>
      <c r="G326" s="160">
        <v>6674386000</v>
      </c>
      <c r="H326" s="160">
        <v>0</v>
      </c>
      <c r="I326" s="160">
        <v>0</v>
      </c>
      <c r="J326" s="160">
        <v>0</v>
      </c>
      <c r="K326" s="160">
        <v>6581896222.3299999</v>
      </c>
      <c r="L326" s="160">
        <v>5505843358.9300003</v>
      </c>
      <c r="M326" s="160">
        <v>92489777.670000002</v>
      </c>
      <c r="N326" s="160">
        <v>92489777.670000002</v>
      </c>
    </row>
    <row r="327" spans="1:14" x14ac:dyDescent="0.25">
      <c r="A327" s="158" t="s">
        <v>569</v>
      </c>
      <c r="B327" s="158" t="s">
        <v>120</v>
      </c>
      <c r="C327" s="158" t="s">
        <v>121</v>
      </c>
      <c r="D327" s="158" t="s">
        <v>566</v>
      </c>
      <c r="E327" s="160">
        <v>3921000000</v>
      </c>
      <c r="F327" s="160">
        <v>3851000000</v>
      </c>
      <c r="G327" s="160">
        <v>3851000000</v>
      </c>
      <c r="H327" s="160">
        <v>0</v>
      </c>
      <c r="I327" s="160">
        <v>838.65</v>
      </c>
      <c r="J327" s="160">
        <v>0</v>
      </c>
      <c r="K327" s="160">
        <v>3628483717.0500002</v>
      </c>
      <c r="L327" s="160">
        <v>3628080196.0700002</v>
      </c>
      <c r="M327" s="160">
        <v>222515444.30000001</v>
      </c>
      <c r="N327" s="160">
        <v>222515444.30000001</v>
      </c>
    </row>
    <row r="328" spans="1:14" x14ac:dyDescent="0.25">
      <c r="A328" s="158" t="s">
        <v>569</v>
      </c>
      <c r="B328" s="158" t="s">
        <v>122</v>
      </c>
      <c r="C328" s="158" t="s">
        <v>123</v>
      </c>
      <c r="D328" s="158" t="s">
        <v>564</v>
      </c>
      <c r="E328" s="160">
        <v>4595767000</v>
      </c>
      <c r="F328" s="160">
        <v>4285860656</v>
      </c>
      <c r="G328" s="160">
        <v>4285860656</v>
      </c>
      <c r="H328" s="160">
        <v>0</v>
      </c>
      <c r="I328" s="160">
        <v>0</v>
      </c>
      <c r="J328" s="160">
        <v>0</v>
      </c>
      <c r="K328" s="160">
        <v>4228771082</v>
      </c>
      <c r="L328" s="160">
        <v>4228771082</v>
      </c>
      <c r="M328" s="160">
        <v>57089574</v>
      </c>
      <c r="N328" s="160">
        <v>57089574</v>
      </c>
    </row>
    <row r="329" spans="1:14" x14ac:dyDescent="0.25">
      <c r="A329" s="158" t="s">
        <v>569</v>
      </c>
      <c r="B329" s="158" t="s">
        <v>372</v>
      </c>
      <c r="C329" s="158" t="s">
        <v>125</v>
      </c>
      <c r="D329" s="158" t="s">
        <v>564</v>
      </c>
      <c r="E329" s="160">
        <v>4360086000</v>
      </c>
      <c r="F329" s="160">
        <v>4062021007</v>
      </c>
      <c r="G329" s="160">
        <v>4062021007</v>
      </c>
      <c r="H329" s="160">
        <v>0</v>
      </c>
      <c r="I329" s="160">
        <v>0</v>
      </c>
      <c r="J329" s="160">
        <v>0</v>
      </c>
      <c r="K329" s="160">
        <v>4012044012</v>
      </c>
      <c r="L329" s="160">
        <v>4012044012</v>
      </c>
      <c r="M329" s="160">
        <v>49976995</v>
      </c>
      <c r="N329" s="160">
        <v>49976995</v>
      </c>
    </row>
    <row r="330" spans="1:14" x14ac:dyDescent="0.25">
      <c r="A330" s="158" t="s">
        <v>569</v>
      </c>
      <c r="B330" s="158" t="s">
        <v>373</v>
      </c>
      <c r="C330" s="158" t="s">
        <v>127</v>
      </c>
      <c r="D330" s="158" t="s">
        <v>564</v>
      </c>
      <c r="E330" s="160">
        <v>235681000</v>
      </c>
      <c r="F330" s="160">
        <v>223839649</v>
      </c>
      <c r="G330" s="160">
        <v>223839649</v>
      </c>
      <c r="H330" s="160">
        <v>0</v>
      </c>
      <c r="I330" s="160">
        <v>0</v>
      </c>
      <c r="J330" s="160">
        <v>0</v>
      </c>
      <c r="K330" s="160">
        <v>216727070</v>
      </c>
      <c r="L330" s="160">
        <v>216727070</v>
      </c>
      <c r="M330" s="160">
        <v>7112579</v>
      </c>
      <c r="N330" s="160">
        <v>7112579</v>
      </c>
    </row>
    <row r="331" spans="1:14" x14ac:dyDescent="0.25">
      <c r="A331" s="158" t="s">
        <v>569</v>
      </c>
      <c r="B331" s="158" t="s">
        <v>128</v>
      </c>
      <c r="C331" s="158" t="s">
        <v>129</v>
      </c>
      <c r="D331" s="158" t="s">
        <v>564</v>
      </c>
      <c r="E331" s="160">
        <v>4515635000</v>
      </c>
      <c r="F331" s="160">
        <v>4253714717</v>
      </c>
      <c r="G331" s="160">
        <v>4253714717</v>
      </c>
      <c r="H331" s="160">
        <v>0</v>
      </c>
      <c r="I331" s="160">
        <v>0</v>
      </c>
      <c r="J331" s="160">
        <v>0</v>
      </c>
      <c r="K331" s="160">
        <v>4148366383</v>
      </c>
      <c r="L331" s="160">
        <v>4148366383</v>
      </c>
      <c r="M331" s="160">
        <v>105348334</v>
      </c>
      <c r="N331" s="160">
        <v>105348334</v>
      </c>
    </row>
    <row r="332" spans="1:14" x14ac:dyDescent="0.25">
      <c r="A332" s="158" t="s">
        <v>569</v>
      </c>
      <c r="B332" s="158" t="s">
        <v>374</v>
      </c>
      <c r="C332" s="158" t="s">
        <v>131</v>
      </c>
      <c r="D332" s="158" t="s">
        <v>564</v>
      </c>
      <c r="E332" s="160">
        <v>2394512000</v>
      </c>
      <c r="F332" s="160">
        <v>2245163874</v>
      </c>
      <c r="G332" s="160">
        <v>2245163874</v>
      </c>
      <c r="H332" s="160">
        <v>0</v>
      </c>
      <c r="I332" s="160">
        <v>0</v>
      </c>
      <c r="J332" s="160">
        <v>0</v>
      </c>
      <c r="K332" s="160">
        <v>2197886550</v>
      </c>
      <c r="L332" s="160">
        <v>2197886550</v>
      </c>
      <c r="M332" s="160">
        <v>47277324</v>
      </c>
      <c r="N332" s="160">
        <v>47277324</v>
      </c>
    </row>
    <row r="333" spans="1:14" x14ac:dyDescent="0.25">
      <c r="A333" s="158" t="s">
        <v>569</v>
      </c>
      <c r="B333" s="158" t="s">
        <v>375</v>
      </c>
      <c r="C333" s="158" t="s">
        <v>133</v>
      </c>
      <c r="D333" s="158" t="s">
        <v>564</v>
      </c>
      <c r="E333" s="160">
        <v>707041000</v>
      </c>
      <c r="F333" s="160">
        <v>669516948</v>
      </c>
      <c r="G333" s="160">
        <v>669516948</v>
      </c>
      <c r="H333" s="160">
        <v>0</v>
      </c>
      <c r="I333" s="160">
        <v>0</v>
      </c>
      <c r="J333" s="160">
        <v>0</v>
      </c>
      <c r="K333" s="160">
        <v>650122849</v>
      </c>
      <c r="L333" s="160">
        <v>650122849</v>
      </c>
      <c r="M333" s="160">
        <v>19394099</v>
      </c>
      <c r="N333" s="160">
        <v>19394099</v>
      </c>
    </row>
    <row r="334" spans="1:14" x14ac:dyDescent="0.25">
      <c r="A334" s="158" t="s">
        <v>569</v>
      </c>
      <c r="B334" s="158" t="s">
        <v>376</v>
      </c>
      <c r="C334" s="158" t="s">
        <v>135</v>
      </c>
      <c r="D334" s="158" t="s">
        <v>564</v>
      </c>
      <c r="E334" s="160">
        <v>1414082000</v>
      </c>
      <c r="F334" s="160">
        <v>1339033895</v>
      </c>
      <c r="G334" s="160">
        <v>1339033895</v>
      </c>
      <c r="H334" s="160">
        <v>0</v>
      </c>
      <c r="I334" s="160">
        <v>0</v>
      </c>
      <c r="J334" s="160">
        <v>0</v>
      </c>
      <c r="K334" s="160">
        <v>1300356984</v>
      </c>
      <c r="L334" s="160">
        <v>1300356984</v>
      </c>
      <c r="M334" s="160">
        <v>38676911</v>
      </c>
      <c r="N334" s="160">
        <v>38676911</v>
      </c>
    </row>
    <row r="335" spans="1:14" x14ac:dyDescent="0.25">
      <c r="A335" s="158" t="s">
        <v>569</v>
      </c>
      <c r="B335" s="158" t="s">
        <v>377</v>
      </c>
      <c r="C335" s="158" t="s">
        <v>378</v>
      </c>
      <c r="D335" s="158" t="s">
        <v>564</v>
      </c>
      <c r="E335" s="160">
        <v>300000</v>
      </c>
      <c r="F335" s="160">
        <v>300000</v>
      </c>
      <c r="G335" s="160">
        <v>300000</v>
      </c>
      <c r="H335" s="160">
        <v>0</v>
      </c>
      <c r="I335" s="160">
        <v>0</v>
      </c>
      <c r="J335" s="160">
        <v>0</v>
      </c>
      <c r="K335" s="160">
        <v>300000</v>
      </c>
      <c r="L335" s="160">
        <v>250000</v>
      </c>
      <c r="M335" s="160">
        <v>0</v>
      </c>
      <c r="N335" s="160">
        <v>0</v>
      </c>
    </row>
    <row r="336" spans="1:14" x14ac:dyDescent="0.25">
      <c r="A336" s="158" t="s">
        <v>569</v>
      </c>
      <c r="B336" s="158" t="s">
        <v>379</v>
      </c>
      <c r="C336" s="158" t="s">
        <v>380</v>
      </c>
      <c r="D336" s="158" t="s">
        <v>564</v>
      </c>
      <c r="E336" s="160">
        <v>300000</v>
      </c>
      <c r="F336" s="160">
        <v>300000</v>
      </c>
      <c r="G336" s="160">
        <v>300000</v>
      </c>
      <c r="H336" s="160">
        <v>0</v>
      </c>
      <c r="I336" s="160">
        <v>0</v>
      </c>
      <c r="J336" s="160">
        <v>0</v>
      </c>
      <c r="K336" s="160">
        <v>300000</v>
      </c>
      <c r="L336" s="160">
        <v>250000</v>
      </c>
      <c r="M336" s="160">
        <v>0</v>
      </c>
      <c r="N336" s="160">
        <v>0</v>
      </c>
    </row>
    <row r="337" spans="1:14" x14ac:dyDescent="0.25">
      <c r="A337" s="158" t="s">
        <v>569</v>
      </c>
      <c r="B337" s="158" t="s">
        <v>136</v>
      </c>
      <c r="C337" s="158" t="s">
        <v>137</v>
      </c>
      <c r="D337" s="158" t="s">
        <v>564</v>
      </c>
      <c r="E337" s="160">
        <v>7300779000</v>
      </c>
      <c r="F337" s="160">
        <v>7643929189</v>
      </c>
      <c r="G337" s="160">
        <v>7643929166.4300003</v>
      </c>
      <c r="H337" s="160">
        <v>0</v>
      </c>
      <c r="I337" s="160">
        <v>939408033.65999997</v>
      </c>
      <c r="J337" s="160">
        <v>0</v>
      </c>
      <c r="K337" s="160">
        <v>6477905203.75</v>
      </c>
      <c r="L337" s="160">
        <v>5718074413.3199997</v>
      </c>
      <c r="M337" s="160">
        <v>226615951.59</v>
      </c>
      <c r="N337" s="160">
        <v>226615929.02000001</v>
      </c>
    </row>
    <row r="338" spans="1:14" x14ac:dyDescent="0.25">
      <c r="A338" s="158" t="s">
        <v>569</v>
      </c>
      <c r="B338" s="158" t="s">
        <v>138</v>
      </c>
      <c r="C338" s="158" t="s">
        <v>139</v>
      </c>
      <c r="D338" s="158" t="s">
        <v>564</v>
      </c>
      <c r="E338" s="160">
        <v>1959641000</v>
      </c>
      <c r="F338" s="160">
        <v>1174750680.5</v>
      </c>
      <c r="G338" s="160">
        <v>1174750680.1700001</v>
      </c>
      <c r="H338" s="160">
        <v>0</v>
      </c>
      <c r="I338" s="160">
        <v>58841854.659999996</v>
      </c>
      <c r="J338" s="160">
        <v>0</v>
      </c>
      <c r="K338" s="160">
        <v>1015120092.23</v>
      </c>
      <c r="L338" s="160">
        <v>855728009.91999996</v>
      </c>
      <c r="M338" s="160">
        <v>100788733.61</v>
      </c>
      <c r="N338" s="160">
        <v>100788733.28</v>
      </c>
    </row>
    <row r="339" spans="1:14" x14ac:dyDescent="0.25">
      <c r="A339" s="158" t="s">
        <v>569</v>
      </c>
      <c r="B339" s="158" t="s">
        <v>323</v>
      </c>
      <c r="C339" s="158" t="s">
        <v>324</v>
      </c>
      <c r="D339" s="158" t="s">
        <v>564</v>
      </c>
      <c r="E339" s="160">
        <v>490000000</v>
      </c>
      <c r="F339" s="160">
        <v>433520154</v>
      </c>
      <c r="G339" s="160">
        <v>433520154</v>
      </c>
      <c r="H339" s="160">
        <v>0</v>
      </c>
      <c r="I339" s="160">
        <v>5317156.25</v>
      </c>
      <c r="J339" s="160">
        <v>0</v>
      </c>
      <c r="K339" s="160">
        <v>428202997.75</v>
      </c>
      <c r="L339" s="160">
        <v>392805702.38999999</v>
      </c>
      <c r="M339" s="160">
        <v>0</v>
      </c>
      <c r="N339" s="160">
        <v>0</v>
      </c>
    </row>
    <row r="340" spans="1:14" x14ac:dyDescent="0.25">
      <c r="A340" s="158" t="s">
        <v>569</v>
      </c>
      <c r="B340" s="158" t="s">
        <v>338</v>
      </c>
      <c r="C340" s="158" t="s">
        <v>339</v>
      </c>
      <c r="D340" s="158" t="s">
        <v>564</v>
      </c>
      <c r="E340" s="160">
        <v>1000000</v>
      </c>
      <c r="F340" s="160">
        <v>1000000</v>
      </c>
      <c r="G340" s="160">
        <v>1000000</v>
      </c>
      <c r="H340" s="160">
        <v>0</v>
      </c>
      <c r="I340" s="160">
        <v>0</v>
      </c>
      <c r="J340" s="160">
        <v>0</v>
      </c>
      <c r="K340" s="160">
        <v>996169.5</v>
      </c>
      <c r="L340" s="160">
        <v>996169.5</v>
      </c>
      <c r="M340" s="160">
        <v>3830.5</v>
      </c>
      <c r="N340" s="160">
        <v>3830.5</v>
      </c>
    </row>
    <row r="341" spans="1:14" x14ac:dyDescent="0.25">
      <c r="A341" s="158" t="s">
        <v>569</v>
      </c>
      <c r="B341" s="158" t="s">
        <v>140</v>
      </c>
      <c r="C341" s="158" t="s">
        <v>141</v>
      </c>
      <c r="D341" s="158" t="s">
        <v>564</v>
      </c>
      <c r="E341" s="160">
        <v>1261382000</v>
      </c>
      <c r="F341" s="160">
        <v>716888283.5</v>
      </c>
      <c r="G341" s="160">
        <v>716888283.16999996</v>
      </c>
      <c r="H341" s="160">
        <v>0</v>
      </c>
      <c r="I341" s="160">
        <v>35656107.869999997</v>
      </c>
      <c r="J341" s="160">
        <v>0</v>
      </c>
      <c r="K341" s="160">
        <v>580468475.51999998</v>
      </c>
      <c r="L341" s="160">
        <v>456473688.56999999</v>
      </c>
      <c r="M341" s="160">
        <v>100763700.11</v>
      </c>
      <c r="N341" s="160">
        <v>100763699.78</v>
      </c>
    </row>
    <row r="342" spans="1:14" x14ac:dyDescent="0.25">
      <c r="A342" s="158" t="s">
        <v>569</v>
      </c>
      <c r="B342" s="158" t="s">
        <v>340</v>
      </c>
      <c r="C342" s="158" t="s">
        <v>341</v>
      </c>
      <c r="D342" s="158" t="s">
        <v>564</v>
      </c>
      <c r="E342" s="160">
        <v>7706000</v>
      </c>
      <c r="F342" s="160">
        <v>7706000</v>
      </c>
      <c r="G342" s="160">
        <v>7706000</v>
      </c>
      <c r="H342" s="160">
        <v>0</v>
      </c>
      <c r="I342" s="160">
        <v>2253550.54</v>
      </c>
      <c r="J342" s="160">
        <v>0</v>
      </c>
      <c r="K342" s="160">
        <v>5452449.46</v>
      </c>
      <c r="L342" s="160">
        <v>5452449.46</v>
      </c>
      <c r="M342" s="160">
        <v>0</v>
      </c>
      <c r="N342" s="160">
        <v>0</v>
      </c>
    </row>
    <row r="343" spans="1:14" x14ac:dyDescent="0.25">
      <c r="A343" s="158" t="s">
        <v>569</v>
      </c>
      <c r="B343" s="158" t="s">
        <v>142</v>
      </c>
      <c r="C343" s="158" t="s">
        <v>143</v>
      </c>
      <c r="D343" s="158" t="s">
        <v>564</v>
      </c>
      <c r="E343" s="160">
        <v>199553000</v>
      </c>
      <c r="F343" s="160">
        <v>15636243</v>
      </c>
      <c r="G343" s="160">
        <v>15636243</v>
      </c>
      <c r="H343" s="160">
        <v>0</v>
      </c>
      <c r="I343" s="160">
        <v>15615040</v>
      </c>
      <c r="J343" s="160">
        <v>0</v>
      </c>
      <c r="K343" s="160">
        <v>0</v>
      </c>
      <c r="L343" s="160">
        <v>0</v>
      </c>
      <c r="M343" s="160">
        <v>21203</v>
      </c>
      <c r="N343" s="160">
        <v>21203</v>
      </c>
    </row>
    <row r="344" spans="1:14" x14ac:dyDescent="0.25">
      <c r="A344" s="158" t="s">
        <v>569</v>
      </c>
      <c r="B344" s="158" t="s">
        <v>144</v>
      </c>
      <c r="C344" s="158" t="s">
        <v>145</v>
      </c>
      <c r="D344" s="158" t="s">
        <v>564</v>
      </c>
      <c r="E344" s="160">
        <v>3647405000</v>
      </c>
      <c r="F344" s="160">
        <v>4465488069</v>
      </c>
      <c r="G344" s="160">
        <v>4465488068.3400002</v>
      </c>
      <c r="H344" s="160">
        <v>0</v>
      </c>
      <c r="I344" s="160">
        <v>680573147.60000002</v>
      </c>
      <c r="J344" s="160">
        <v>0</v>
      </c>
      <c r="K344" s="160">
        <v>3768729378.7600002</v>
      </c>
      <c r="L344" s="160">
        <v>3683595589</v>
      </c>
      <c r="M344" s="160">
        <v>16185542.640000001</v>
      </c>
      <c r="N344" s="160">
        <v>16185541.98</v>
      </c>
    </row>
    <row r="345" spans="1:14" x14ac:dyDescent="0.25">
      <c r="A345" s="158" t="s">
        <v>569</v>
      </c>
      <c r="B345" s="158" t="s">
        <v>146</v>
      </c>
      <c r="C345" s="158" t="s">
        <v>147</v>
      </c>
      <c r="D345" s="158" t="s">
        <v>564</v>
      </c>
      <c r="E345" s="160">
        <v>2583223000</v>
      </c>
      <c r="F345" s="160">
        <v>2569223000</v>
      </c>
      <c r="G345" s="160">
        <v>2569222999.6700001</v>
      </c>
      <c r="H345" s="160">
        <v>0</v>
      </c>
      <c r="I345" s="160">
        <v>441079134.17000002</v>
      </c>
      <c r="J345" s="160">
        <v>0</v>
      </c>
      <c r="K345" s="160">
        <v>2128143865.5</v>
      </c>
      <c r="L345" s="160">
        <v>2128143865.5</v>
      </c>
      <c r="M345" s="160">
        <v>0.33</v>
      </c>
      <c r="N345" s="160">
        <v>0</v>
      </c>
    </row>
    <row r="346" spans="1:14" x14ac:dyDescent="0.25">
      <c r="A346" s="158" t="s">
        <v>569</v>
      </c>
      <c r="B346" s="158" t="s">
        <v>148</v>
      </c>
      <c r="C346" s="158" t="s">
        <v>149</v>
      </c>
      <c r="D346" s="158" t="s">
        <v>564</v>
      </c>
      <c r="E346" s="160">
        <v>500000000</v>
      </c>
      <c r="F346" s="160">
        <v>1254620097</v>
      </c>
      <c r="G346" s="160">
        <v>1254620097</v>
      </c>
      <c r="H346" s="160">
        <v>0</v>
      </c>
      <c r="I346" s="160">
        <v>154874266.83000001</v>
      </c>
      <c r="J346" s="160">
        <v>0</v>
      </c>
      <c r="K346" s="160">
        <v>1099745830.1700001</v>
      </c>
      <c r="L346" s="160">
        <v>1069069970.17</v>
      </c>
      <c r="M346" s="160">
        <v>0</v>
      </c>
      <c r="N346" s="160">
        <v>0</v>
      </c>
    </row>
    <row r="347" spans="1:14" x14ac:dyDescent="0.25">
      <c r="A347" s="158" t="s">
        <v>569</v>
      </c>
      <c r="B347" s="158" t="s">
        <v>150</v>
      </c>
      <c r="C347" s="158" t="s">
        <v>151</v>
      </c>
      <c r="D347" s="158" t="s">
        <v>564</v>
      </c>
      <c r="E347" s="160">
        <v>18000000</v>
      </c>
      <c r="F347" s="160">
        <v>4050000</v>
      </c>
      <c r="G347" s="160">
        <v>4050000</v>
      </c>
      <c r="H347" s="160">
        <v>0</v>
      </c>
      <c r="I347" s="160">
        <v>895940</v>
      </c>
      <c r="J347" s="160">
        <v>0</v>
      </c>
      <c r="K347" s="160">
        <v>3154060</v>
      </c>
      <c r="L347" s="160">
        <v>2976160</v>
      </c>
      <c r="M347" s="160">
        <v>0</v>
      </c>
      <c r="N347" s="160">
        <v>0</v>
      </c>
    </row>
    <row r="348" spans="1:14" x14ac:dyDescent="0.25">
      <c r="A348" s="158" t="s">
        <v>569</v>
      </c>
      <c r="B348" s="158" t="s">
        <v>152</v>
      </c>
      <c r="C348" s="158" t="s">
        <v>153</v>
      </c>
      <c r="D348" s="158" t="s">
        <v>564</v>
      </c>
      <c r="E348" s="160">
        <v>442254000</v>
      </c>
      <c r="F348" s="160">
        <v>493844000</v>
      </c>
      <c r="G348" s="160">
        <v>493844000</v>
      </c>
      <c r="H348" s="160">
        <v>0</v>
      </c>
      <c r="I348" s="160">
        <v>55016411.93</v>
      </c>
      <c r="J348" s="160">
        <v>0</v>
      </c>
      <c r="K348" s="160">
        <v>438803845.30000001</v>
      </c>
      <c r="L348" s="160">
        <v>387317115.54000002</v>
      </c>
      <c r="M348" s="160">
        <v>23742.77</v>
      </c>
      <c r="N348" s="160">
        <v>23742.77</v>
      </c>
    </row>
    <row r="349" spans="1:14" x14ac:dyDescent="0.25">
      <c r="A349" s="158" t="s">
        <v>569</v>
      </c>
      <c r="B349" s="158" t="s">
        <v>154</v>
      </c>
      <c r="C349" s="158" t="s">
        <v>155</v>
      </c>
      <c r="D349" s="158" t="s">
        <v>564</v>
      </c>
      <c r="E349" s="160">
        <v>103928000</v>
      </c>
      <c r="F349" s="160">
        <v>143750972</v>
      </c>
      <c r="G349" s="160">
        <v>143750971.66999999</v>
      </c>
      <c r="H349" s="160">
        <v>0</v>
      </c>
      <c r="I349" s="160">
        <v>28707394.670000002</v>
      </c>
      <c r="J349" s="160">
        <v>0</v>
      </c>
      <c r="K349" s="160">
        <v>98881777.790000007</v>
      </c>
      <c r="L349" s="160">
        <v>96088477.790000007</v>
      </c>
      <c r="M349" s="160">
        <v>16161799.539999999</v>
      </c>
      <c r="N349" s="160">
        <v>16161799.210000001</v>
      </c>
    </row>
    <row r="350" spans="1:14" x14ac:dyDescent="0.25">
      <c r="A350" s="158" t="s">
        <v>569</v>
      </c>
      <c r="B350" s="158" t="s">
        <v>156</v>
      </c>
      <c r="C350" s="158" t="s">
        <v>157</v>
      </c>
      <c r="D350" s="158" t="s">
        <v>564</v>
      </c>
      <c r="E350" s="160">
        <v>5550000</v>
      </c>
      <c r="F350" s="160">
        <v>7108450</v>
      </c>
      <c r="G350" s="160">
        <v>7108450</v>
      </c>
      <c r="H350" s="160">
        <v>0</v>
      </c>
      <c r="I350" s="160">
        <v>1446230</v>
      </c>
      <c r="J350" s="160">
        <v>0</v>
      </c>
      <c r="K350" s="160">
        <v>3492220</v>
      </c>
      <c r="L350" s="160">
        <v>2958690</v>
      </c>
      <c r="M350" s="160">
        <v>2170000</v>
      </c>
      <c r="N350" s="160">
        <v>2170000</v>
      </c>
    </row>
    <row r="351" spans="1:14" x14ac:dyDescent="0.25">
      <c r="A351" s="158" t="s">
        <v>569</v>
      </c>
      <c r="B351" s="158" t="s">
        <v>158</v>
      </c>
      <c r="C351" s="158" t="s">
        <v>159</v>
      </c>
      <c r="D351" s="158" t="s">
        <v>564</v>
      </c>
      <c r="E351" s="160">
        <v>1500000</v>
      </c>
      <c r="F351" s="160">
        <v>3000450</v>
      </c>
      <c r="G351" s="160">
        <v>3000450</v>
      </c>
      <c r="H351" s="160">
        <v>0</v>
      </c>
      <c r="I351" s="160">
        <v>1143230</v>
      </c>
      <c r="J351" s="160">
        <v>0</v>
      </c>
      <c r="K351" s="160">
        <v>1857220</v>
      </c>
      <c r="L351" s="160">
        <v>1616690</v>
      </c>
      <c r="M351" s="160">
        <v>0</v>
      </c>
      <c r="N351" s="160">
        <v>0</v>
      </c>
    </row>
    <row r="352" spans="1:14" x14ac:dyDescent="0.25">
      <c r="A352" s="158" t="s">
        <v>569</v>
      </c>
      <c r="B352" s="158" t="s">
        <v>160</v>
      </c>
      <c r="C352" s="158" t="s">
        <v>161</v>
      </c>
      <c r="D352" s="158" t="s">
        <v>564</v>
      </c>
      <c r="E352" s="160">
        <v>3300000</v>
      </c>
      <c r="F352" s="160">
        <v>3358000</v>
      </c>
      <c r="G352" s="160">
        <v>3358000</v>
      </c>
      <c r="H352" s="160">
        <v>0</v>
      </c>
      <c r="I352" s="160">
        <v>303000</v>
      </c>
      <c r="J352" s="160">
        <v>0</v>
      </c>
      <c r="K352" s="160">
        <v>1635000</v>
      </c>
      <c r="L352" s="160">
        <v>1342000</v>
      </c>
      <c r="M352" s="160">
        <v>1420000</v>
      </c>
      <c r="N352" s="160">
        <v>1420000</v>
      </c>
    </row>
    <row r="353" spans="1:14" x14ac:dyDescent="0.25">
      <c r="A353" s="158" t="s">
        <v>569</v>
      </c>
      <c r="B353" s="158" t="s">
        <v>342</v>
      </c>
      <c r="C353" s="158" t="s">
        <v>343</v>
      </c>
      <c r="D353" s="158" t="s">
        <v>564</v>
      </c>
      <c r="E353" s="160">
        <v>750000</v>
      </c>
      <c r="F353" s="160">
        <v>750000</v>
      </c>
      <c r="G353" s="160">
        <v>750000</v>
      </c>
      <c r="H353" s="160">
        <v>0</v>
      </c>
      <c r="I353" s="160">
        <v>0</v>
      </c>
      <c r="J353" s="160">
        <v>0</v>
      </c>
      <c r="K353" s="160">
        <v>0</v>
      </c>
      <c r="L353" s="160">
        <v>0</v>
      </c>
      <c r="M353" s="160">
        <v>750000</v>
      </c>
      <c r="N353" s="160">
        <v>750000</v>
      </c>
    </row>
    <row r="354" spans="1:14" x14ac:dyDescent="0.25">
      <c r="A354" s="158" t="s">
        <v>569</v>
      </c>
      <c r="B354" s="158" t="s">
        <v>164</v>
      </c>
      <c r="C354" s="158" t="s">
        <v>165</v>
      </c>
      <c r="D354" s="158" t="s">
        <v>564</v>
      </c>
      <c r="E354" s="160">
        <v>215500000</v>
      </c>
      <c r="F354" s="160">
        <v>194289205</v>
      </c>
      <c r="G354" s="160">
        <v>194289205</v>
      </c>
      <c r="H354" s="160">
        <v>0</v>
      </c>
      <c r="I354" s="160">
        <v>11584689.58</v>
      </c>
      <c r="J354" s="160">
        <v>0</v>
      </c>
      <c r="K354" s="160">
        <v>162998727.68000001</v>
      </c>
      <c r="L354" s="160">
        <v>144182976.09999999</v>
      </c>
      <c r="M354" s="160">
        <v>19705787.739999998</v>
      </c>
      <c r="N354" s="160">
        <v>19705787.739999998</v>
      </c>
    </row>
    <row r="355" spans="1:14" x14ac:dyDescent="0.25">
      <c r="A355" s="158" t="s">
        <v>569</v>
      </c>
      <c r="B355" s="158" t="s">
        <v>381</v>
      </c>
      <c r="C355" s="158" t="s">
        <v>382</v>
      </c>
      <c r="D355" s="158" t="s">
        <v>564</v>
      </c>
      <c r="E355" s="160">
        <v>3900000</v>
      </c>
      <c r="F355" s="160">
        <v>3900000</v>
      </c>
      <c r="G355" s="160">
        <v>3900000</v>
      </c>
      <c r="H355" s="160">
        <v>0</v>
      </c>
      <c r="I355" s="160">
        <v>1849000</v>
      </c>
      <c r="J355" s="160">
        <v>0</v>
      </c>
      <c r="K355" s="160">
        <v>2050000</v>
      </c>
      <c r="L355" s="160">
        <v>2050000</v>
      </c>
      <c r="M355" s="160">
        <v>1000</v>
      </c>
      <c r="N355" s="160">
        <v>1000</v>
      </c>
    </row>
    <row r="356" spans="1:14" x14ac:dyDescent="0.25">
      <c r="A356" s="158" t="s">
        <v>569</v>
      </c>
      <c r="B356" s="158" t="s">
        <v>348</v>
      </c>
      <c r="C356" s="158" t="s">
        <v>349</v>
      </c>
      <c r="D356" s="158" t="s">
        <v>564</v>
      </c>
      <c r="E356" s="160">
        <v>50000000</v>
      </c>
      <c r="F356" s="160">
        <v>44559145</v>
      </c>
      <c r="G356" s="160">
        <v>44559145</v>
      </c>
      <c r="H356" s="160">
        <v>0</v>
      </c>
      <c r="I356" s="160">
        <v>4530000</v>
      </c>
      <c r="J356" s="160">
        <v>0</v>
      </c>
      <c r="K356" s="160">
        <v>29943767.199999999</v>
      </c>
      <c r="L356" s="160">
        <v>20530910</v>
      </c>
      <c r="M356" s="160">
        <v>10085377.800000001</v>
      </c>
      <c r="N356" s="160">
        <v>10085377.800000001</v>
      </c>
    </row>
    <row r="357" spans="1:14" x14ac:dyDescent="0.25">
      <c r="A357" s="158" t="s">
        <v>569</v>
      </c>
      <c r="B357" s="158" t="s">
        <v>168</v>
      </c>
      <c r="C357" s="158" t="s">
        <v>169</v>
      </c>
      <c r="D357" s="158" t="s">
        <v>564</v>
      </c>
      <c r="E357" s="160">
        <v>134000000</v>
      </c>
      <c r="F357" s="160">
        <v>106406880</v>
      </c>
      <c r="G357" s="160">
        <v>106406880</v>
      </c>
      <c r="H357" s="160">
        <v>0</v>
      </c>
      <c r="I357" s="160">
        <v>4667467.58</v>
      </c>
      <c r="J357" s="160">
        <v>0</v>
      </c>
      <c r="K357" s="160">
        <v>96435556.269999996</v>
      </c>
      <c r="L357" s="160">
        <v>87032661.890000001</v>
      </c>
      <c r="M357" s="160">
        <v>5303856.1500000004</v>
      </c>
      <c r="N357" s="160">
        <v>5303856.1500000004</v>
      </c>
    </row>
    <row r="358" spans="1:14" x14ac:dyDescent="0.25">
      <c r="A358" s="158" t="s">
        <v>569</v>
      </c>
      <c r="B358" s="158" t="s">
        <v>170</v>
      </c>
      <c r="C358" s="158" t="s">
        <v>171</v>
      </c>
      <c r="D358" s="158" t="s">
        <v>564</v>
      </c>
      <c r="E358" s="160">
        <v>27600000</v>
      </c>
      <c r="F358" s="160">
        <v>39423180</v>
      </c>
      <c r="G358" s="160">
        <v>39423180</v>
      </c>
      <c r="H358" s="160">
        <v>0</v>
      </c>
      <c r="I358" s="160">
        <v>538222</v>
      </c>
      <c r="J358" s="160">
        <v>0</v>
      </c>
      <c r="K358" s="160">
        <v>34569404.210000001</v>
      </c>
      <c r="L358" s="160">
        <v>34569404.210000001</v>
      </c>
      <c r="M358" s="160">
        <v>4315553.79</v>
      </c>
      <c r="N358" s="160">
        <v>4315553.79</v>
      </c>
    </row>
    <row r="359" spans="1:14" x14ac:dyDescent="0.25">
      <c r="A359" s="158" t="s">
        <v>569</v>
      </c>
      <c r="B359" s="158" t="s">
        <v>172</v>
      </c>
      <c r="C359" s="158" t="s">
        <v>173</v>
      </c>
      <c r="D359" s="158" t="s">
        <v>564</v>
      </c>
      <c r="E359" s="160">
        <v>93000000</v>
      </c>
      <c r="F359" s="160">
        <v>140211613.63999999</v>
      </c>
      <c r="G359" s="160">
        <v>140211592.74000001</v>
      </c>
      <c r="H359" s="160">
        <v>0</v>
      </c>
      <c r="I359" s="160">
        <v>29539930.760000002</v>
      </c>
      <c r="J359" s="160">
        <v>0</v>
      </c>
      <c r="K359" s="160">
        <v>102817905.27</v>
      </c>
      <c r="L359" s="160">
        <v>102937955.27</v>
      </c>
      <c r="M359" s="160">
        <v>7853777.6100000003</v>
      </c>
      <c r="N359" s="160">
        <v>7853756.71</v>
      </c>
    </row>
    <row r="360" spans="1:14" x14ac:dyDescent="0.25">
      <c r="A360" s="158" t="s">
        <v>569</v>
      </c>
      <c r="B360" s="158" t="s">
        <v>174</v>
      </c>
      <c r="C360" s="158" t="s">
        <v>175</v>
      </c>
      <c r="D360" s="158" t="s">
        <v>564</v>
      </c>
      <c r="E360" s="160">
        <v>9000000</v>
      </c>
      <c r="F360" s="160">
        <v>9000000</v>
      </c>
      <c r="G360" s="160">
        <v>8999999.1999999993</v>
      </c>
      <c r="H360" s="160">
        <v>0</v>
      </c>
      <c r="I360" s="160">
        <v>1573694.2</v>
      </c>
      <c r="J360" s="160">
        <v>0</v>
      </c>
      <c r="K360" s="160">
        <v>7416375</v>
      </c>
      <c r="L360" s="160">
        <v>7459875</v>
      </c>
      <c r="M360" s="160">
        <v>9930.7999999999993</v>
      </c>
      <c r="N360" s="160">
        <v>9930</v>
      </c>
    </row>
    <row r="361" spans="1:14" x14ac:dyDescent="0.25">
      <c r="A361" s="158" t="s">
        <v>569</v>
      </c>
      <c r="B361" s="158" t="s">
        <v>176</v>
      </c>
      <c r="C361" s="158" t="s">
        <v>177</v>
      </c>
      <c r="D361" s="158" t="s">
        <v>564</v>
      </c>
      <c r="E361" s="160">
        <v>84000000</v>
      </c>
      <c r="F361" s="160">
        <v>129567398</v>
      </c>
      <c r="G361" s="160">
        <v>129567377.90000001</v>
      </c>
      <c r="H361" s="160">
        <v>0</v>
      </c>
      <c r="I361" s="160">
        <v>27966236.559999999</v>
      </c>
      <c r="J361" s="160">
        <v>0</v>
      </c>
      <c r="K361" s="160">
        <v>93757315.489999995</v>
      </c>
      <c r="L361" s="160">
        <v>93833865.489999995</v>
      </c>
      <c r="M361" s="160">
        <v>7843845.9500000002</v>
      </c>
      <c r="N361" s="160">
        <v>7843825.8499999996</v>
      </c>
    </row>
    <row r="362" spans="1:14" x14ac:dyDescent="0.25">
      <c r="A362" s="158" t="s">
        <v>569</v>
      </c>
      <c r="B362" s="158" t="s">
        <v>178</v>
      </c>
      <c r="C362" s="158" t="s">
        <v>179</v>
      </c>
      <c r="D362" s="158" t="s">
        <v>564</v>
      </c>
      <c r="E362" s="160">
        <v>0</v>
      </c>
      <c r="F362" s="160">
        <v>917174</v>
      </c>
      <c r="G362" s="160">
        <v>917174</v>
      </c>
      <c r="H362" s="160">
        <v>0</v>
      </c>
      <c r="I362" s="160">
        <v>0</v>
      </c>
      <c r="J362" s="160">
        <v>0</v>
      </c>
      <c r="K362" s="160">
        <v>917174</v>
      </c>
      <c r="L362" s="160">
        <v>917174</v>
      </c>
      <c r="M362" s="160">
        <v>0</v>
      </c>
      <c r="N362" s="160">
        <v>0</v>
      </c>
    </row>
    <row r="363" spans="1:14" x14ac:dyDescent="0.25">
      <c r="A363" s="158" t="s">
        <v>569</v>
      </c>
      <c r="B363" s="158" t="s">
        <v>180</v>
      </c>
      <c r="C363" s="158" t="s">
        <v>181</v>
      </c>
      <c r="D363" s="158" t="s">
        <v>564</v>
      </c>
      <c r="E363" s="160">
        <v>0</v>
      </c>
      <c r="F363" s="160">
        <v>727041.64</v>
      </c>
      <c r="G363" s="160">
        <v>727041.64</v>
      </c>
      <c r="H363" s="160">
        <v>0</v>
      </c>
      <c r="I363" s="160">
        <v>0</v>
      </c>
      <c r="J363" s="160">
        <v>0</v>
      </c>
      <c r="K363" s="160">
        <v>727040.78</v>
      </c>
      <c r="L363" s="160">
        <v>727040.78</v>
      </c>
      <c r="M363" s="160">
        <v>0.86</v>
      </c>
      <c r="N363" s="160">
        <v>0.86</v>
      </c>
    </row>
    <row r="364" spans="1:14" x14ac:dyDescent="0.25">
      <c r="A364" s="158" t="s">
        <v>569</v>
      </c>
      <c r="B364" s="158" t="s">
        <v>182</v>
      </c>
      <c r="C364" s="158" t="s">
        <v>183</v>
      </c>
      <c r="D364" s="158" t="s">
        <v>564</v>
      </c>
      <c r="E364" s="160">
        <v>860000000</v>
      </c>
      <c r="F364" s="160">
        <v>1210000000</v>
      </c>
      <c r="G364" s="160">
        <v>1210000000</v>
      </c>
      <c r="H364" s="160">
        <v>0</v>
      </c>
      <c r="I364" s="160">
        <v>7575319</v>
      </c>
      <c r="J364" s="160">
        <v>0</v>
      </c>
      <c r="K364" s="160">
        <v>1175691452</v>
      </c>
      <c r="L364" s="160">
        <v>733170795</v>
      </c>
      <c r="M364" s="160">
        <v>26733229</v>
      </c>
      <c r="N364" s="160">
        <v>26733229</v>
      </c>
    </row>
    <row r="365" spans="1:14" x14ac:dyDescent="0.25">
      <c r="A365" s="158" t="s">
        <v>569</v>
      </c>
      <c r="B365" s="158" t="s">
        <v>184</v>
      </c>
      <c r="C365" s="158" t="s">
        <v>185</v>
      </c>
      <c r="D365" s="158" t="s">
        <v>564</v>
      </c>
      <c r="E365" s="160">
        <v>860000000</v>
      </c>
      <c r="F365" s="160">
        <v>1210000000</v>
      </c>
      <c r="G365" s="160">
        <v>1210000000</v>
      </c>
      <c r="H365" s="160">
        <v>0</v>
      </c>
      <c r="I365" s="160">
        <v>7575319</v>
      </c>
      <c r="J365" s="160">
        <v>0</v>
      </c>
      <c r="K365" s="160">
        <v>1175691452</v>
      </c>
      <c r="L365" s="160">
        <v>733170795</v>
      </c>
      <c r="M365" s="160">
        <v>26733229</v>
      </c>
      <c r="N365" s="160">
        <v>26733229</v>
      </c>
    </row>
    <row r="366" spans="1:14" x14ac:dyDescent="0.25">
      <c r="A366" s="158" t="s">
        <v>569</v>
      </c>
      <c r="B366" s="158" t="s">
        <v>186</v>
      </c>
      <c r="C366" s="158" t="s">
        <v>187</v>
      </c>
      <c r="D366" s="158" t="s">
        <v>564</v>
      </c>
      <c r="E366" s="160">
        <v>0</v>
      </c>
      <c r="F366" s="160">
        <v>773740</v>
      </c>
      <c r="G366" s="160">
        <v>773740</v>
      </c>
      <c r="H366" s="160">
        <v>0</v>
      </c>
      <c r="I366" s="160">
        <v>0</v>
      </c>
      <c r="J366" s="160">
        <v>0</v>
      </c>
      <c r="K366" s="160">
        <v>757810</v>
      </c>
      <c r="L366" s="160">
        <v>757810</v>
      </c>
      <c r="M366" s="160">
        <v>15930</v>
      </c>
      <c r="N366" s="160">
        <v>15930</v>
      </c>
    </row>
    <row r="367" spans="1:14" x14ac:dyDescent="0.25">
      <c r="A367" s="158" t="s">
        <v>569</v>
      </c>
      <c r="B367" s="158" t="s">
        <v>327</v>
      </c>
      <c r="C367" s="158" t="s">
        <v>328</v>
      </c>
      <c r="D367" s="158" t="s">
        <v>564</v>
      </c>
      <c r="E367" s="160">
        <v>0</v>
      </c>
      <c r="F367" s="160">
        <v>773740</v>
      </c>
      <c r="G367" s="160">
        <v>773740</v>
      </c>
      <c r="H367" s="160">
        <v>0</v>
      </c>
      <c r="I367" s="160">
        <v>0</v>
      </c>
      <c r="J367" s="160">
        <v>0</v>
      </c>
      <c r="K367" s="160">
        <v>757810</v>
      </c>
      <c r="L367" s="160">
        <v>757810</v>
      </c>
      <c r="M367" s="160">
        <v>15930</v>
      </c>
      <c r="N367" s="160">
        <v>15930</v>
      </c>
    </row>
    <row r="368" spans="1:14" x14ac:dyDescent="0.25">
      <c r="A368" s="158" t="s">
        <v>569</v>
      </c>
      <c r="B368" s="158" t="s">
        <v>192</v>
      </c>
      <c r="C368" s="158" t="s">
        <v>193</v>
      </c>
      <c r="D368" s="158" t="s">
        <v>564</v>
      </c>
      <c r="E368" s="160">
        <v>474683000</v>
      </c>
      <c r="F368" s="160">
        <v>412063781</v>
      </c>
      <c r="G368" s="160">
        <v>412063781</v>
      </c>
      <c r="H368" s="160">
        <v>0</v>
      </c>
      <c r="I368" s="160">
        <v>136234317.58000001</v>
      </c>
      <c r="J368" s="160">
        <v>0</v>
      </c>
      <c r="K368" s="160">
        <v>231907574.88999999</v>
      </c>
      <c r="L368" s="160">
        <v>187007348.11000001</v>
      </c>
      <c r="M368" s="160">
        <v>43921888.530000001</v>
      </c>
      <c r="N368" s="160">
        <v>43921888.530000001</v>
      </c>
    </row>
    <row r="369" spans="1:14" x14ac:dyDescent="0.25">
      <c r="A369" s="158" t="s">
        <v>569</v>
      </c>
      <c r="B369" s="158" t="s">
        <v>194</v>
      </c>
      <c r="C369" s="158" t="s">
        <v>195</v>
      </c>
      <c r="D369" s="158" t="s">
        <v>564</v>
      </c>
      <c r="E369" s="160">
        <v>23000000</v>
      </c>
      <c r="F369" s="160">
        <v>54677250</v>
      </c>
      <c r="G369" s="160">
        <v>54677250</v>
      </c>
      <c r="H369" s="160">
        <v>0</v>
      </c>
      <c r="I369" s="160">
        <v>54463500</v>
      </c>
      <c r="J369" s="160">
        <v>0</v>
      </c>
      <c r="K369" s="160">
        <v>0</v>
      </c>
      <c r="L369" s="160">
        <v>0</v>
      </c>
      <c r="M369" s="160">
        <v>213750</v>
      </c>
      <c r="N369" s="160">
        <v>213750</v>
      </c>
    </row>
    <row r="370" spans="1:14" x14ac:dyDescent="0.25">
      <c r="A370" s="158" t="s">
        <v>569</v>
      </c>
      <c r="B370" s="158" t="s">
        <v>352</v>
      </c>
      <c r="C370" s="158" t="s">
        <v>353</v>
      </c>
      <c r="D370" s="158" t="s">
        <v>564</v>
      </c>
      <c r="E370" s="160">
        <v>120000000</v>
      </c>
      <c r="F370" s="160">
        <v>159173543</v>
      </c>
      <c r="G370" s="160">
        <v>159173543</v>
      </c>
      <c r="H370" s="160">
        <v>0</v>
      </c>
      <c r="I370" s="160">
        <v>47628941.960000001</v>
      </c>
      <c r="J370" s="160">
        <v>0</v>
      </c>
      <c r="K370" s="160">
        <v>103996632.13</v>
      </c>
      <c r="L370" s="160">
        <v>84695003.099999994</v>
      </c>
      <c r="M370" s="160">
        <v>7547968.9100000001</v>
      </c>
      <c r="N370" s="160">
        <v>7547968.9100000001</v>
      </c>
    </row>
    <row r="371" spans="1:14" x14ac:dyDescent="0.25">
      <c r="A371" s="158" t="s">
        <v>569</v>
      </c>
      <c r="B371" s="158" t="s">
        <v>196</v>
      </c>
      <c r="C371" s="158" t="s">
        <v>197</v>
      </c>
      <c r="D371" s="158" t="s">
        <v>564</v>
      </c>
      <c r="E371" s="160">
        <v>113475000</v>
      </c>
      <c r="F371" s="160">
        <v>49408530</v>
      </c>
      <c r="G371" s="160">
        <v>49408530</v>
      </c>
      <c r="H371" s="160">
        <v>0</v>
      </c>
      <c r="I371" s="160">
        <v>13163546.619999999</v>
      </c>
      <c r="J371" s="160">
        <v>0</v>
      </c>
      <c r="K371" s="160">
        <v>34177103.240000002</v>
      </c>
      <c r="L371" s="160">
        <v>23770719.359999999</v>
      </c>
      <c r="M371" s="160">
        <v>2067880.14</v>
      </c>
      <c r="N371" s="160">
        <v>2067880.14</v>
      </c>
    </row>
    <row r="372" spans="1:14" x14ac:dyDescent="0.25">
      <c r="A372" s="158" t="s">
        <v>569</v>
      </c>
      <c r="B372" s="158" t="s">
        <v>198</v>
      </c>
      <c r="C372" s="158" t="s">
        <v>199</v>
      </c>
      <c r="D372" s="158" t="s">
        <v>564</v>
      </c>
      <c r="E372" s="160">
        <v>4100000</v>
      </c>
      <c r="F372" s="160">
        <v>4100000</v>
      </c>
      <c r="G372" s="160">
        <v>4100000</v>
      </c>
      <c r="H372" s="160">
        <v>0</v>
      </c>
      <c r="I372" s="160">
        <v>837136</v>
      </c>
      <c r="J372" s="160">
        <v>0</v>
      </c>
      <c r="K372" s="160">
        <v>1472410</v>
      </c>
      <c r="L372" s="160">
        <v>1047046</v>
      </c>
      <c r="M372" s="160">
        <v>1790454</v>
      </c>
      <c r="N372" s="160">
        <v>1790454</v>
      </c>
    </row>
    <row r="373" spans="1:14" x14ac:dyDescent="0.25">
      <c r="A373" s="158" t="s">
        <v>569</v>
      </c>
      <c r="B373" s="158" t="s">
        <v>200</v>
      </c>
      <c r="C373" s="158" t="s">
        <v>201</v>
      </c>
      <c r="D373" s="158" t="s">
        <v>564</v>
      </c>
      <c r="E373" s="160">
        <v>13033000</v>
      </c>
      <c r="F373" s="160">
        <v>10353743</v>
      </c>
      <c r="G373" s="160">
        <v>10353743</v>
      </c>
      <c r="H373" s="160">
        <v>0</v>
      </c>
      <c r="I373" s="160">
        <v>2612354</v>
      </c>
      <c r="J373" s="160">
        <v>0</v>
      </c>
      <c r="K373" s="160">
        <v>7684612.2599999998</v>
      </c>
      <c r="L373" s="160">
        <v>6950000.1600000001</v>
      </c>
      <c r="M373" s="160">
        <v>56776.74</v>
      </c>
      <c r="N373" s="160">
        <v>56776.74</v>
      </c>
    </row>
    <row r="374" spans="1:14" x14ac:dyDescent="0.25">
      <c r="A374" s="158" t="s">
        <v>569</v>
      </c>
      <c r="B374" s="158" t="s">
        <v>202</v>
      </c>
      <c r="C374" s="158" t="s">
        <v>203</v>
      </c>
      <c r="D374" s="158" t="s">
        <v>564</v>
      </c>
      <c r="E374" s="160">
        <v>69915000</v>
      </c>
      <c r="F374" s="160">
        <v>57123143</v>
      </c>
      <c r="G374" s="160">
        <v>57123143</v>
      </c>
      <c r="H374" s="160">
        <v>0</v>
      </c>
      <c r="I374" s="160">
        <v>3129676.52</v>
      </c>
      <c r="J374" s="160">
        <v>0</v>
      </c>
      <c r="K374" s="160">
        <v>45900237.840000004</v>
      </c>
      <c r="L374" s="160">
        <v>43677610.479999997</v>
      </c>
      <c r="M374" s="160">
        <v>8093228.6399999997</v>
      </c>
      <c r="N374" s="160">
        <v>8093228.6399999997</v>
      </c>
    </row>
    <row r="375" spans="1:14" x14ac:dyDescent="0.25">
      <c r="A375" s="158" t="s">
        <v>569</v>
      </c>
      <c r="B375" s="158" t="s">
        <v>204</v>
      </c>
      <c r="C375" s="158" t="s">
        <v>205</v>
      </c>
      <c r="D375" s="158" t="s">
        <v>564</v>
      </c>
      <c r="E375" s="160">
        <v>131160000</v>
      </c>
      <c r="F375" s="160">
        <v>77227572</v>
      </c>
      <c r="G375" s="160">
        <v>77227572</v>
      </c>
      <c r="H375" s="160">
        <v>0</v>
      </c>
      <c r="I375" s="160">
        <v>14399162.48</v>
      </c>
      <c r="J375" s="160">
        <v>0</v>
      </c>
      <c r="K375" s="160">
        <v>38676579.420000002</v>
      </c>
      <c r="L375" s="160">
        <v>26866969.010000002</v>
      </c>
      <c r="M375" s="160">
        <v>24151830.100000001</v>
      </c>
      <c r="N375" s="160">
        <v>24151830.100000001</v>
      </c>
    </row>
    <row r="376" spans="1:14" x14ac:dyDescent="0.25">
      <c r="A376" s="158" t="s">
        <v>569</v>
      </c>
      <c r="B376" s="158" t="s">
        <v>206</v>
      </c>
      <c r="C376" s="158" t="s">
        <v>207</v>
      </c>
      <c r="D376" s="158" t="s">
        <v>564</v>
      </c>
      <c r="E376" s="160">
        <v>15000000</v>
      </c>
      <c r="F376" s="160">
        <v>16500000</v>
      </c>
      <c r="G376" s="160">
        <v>16500000</v>
      </c>
      <c r="H376" s="160">
        <v>0</v>
      </c>
      <c r="I376" s="160">
        <v>382087</v>
      </c>
      <c r="J376" s="160">
        <v>0</v>
      </c>
      <c r="K376" s="160">
        <v>12082863</v>
      </c>
      <c r="L376" s="160">
        <v>3833060</v>
      </c>
      <c r="M376" s="160">
        <v>4035050</v>
      </c>
      <c r="N376" s="160">
        <v>4035050</v>
      </c>
    </row>
    <row r="377" spans="1:14" x14ac:dyDescent="0.25">
      <c r="A377" s="158" t="s">
        <v>569</v>
      </c>
      <c r="B377" s="158" t="s">
        <v>208</v>
      </c>
      <c r="C377" s="158" t="s">
        <v>209</v>
      </c>
      <c r="D377" s="158" t="s">
        <v>564</v>
      </c>
      <c r="E377" s="160">
        <v>15000000</v>
      </c>
      <c r="F377" s="160">
        <v>16500000</v>
      </c>
      <c r="G377" s="160">
        <v>16500000</v>
      </c>
      <c r="H377" s="160">
        <v>0</v>
      </c>
      <c r="I377" s="160">
        <v>382087</v>
      </c>
      <c r="J377" s="160">
        <v>0</v>
      </c>
      <c r="K377" s="160">
        <v>12082863</v>
      </c>
      <c r="L377" s="160">
        <v>3833060</v>
      </c>
      <c r="M377" s="160">
        <v>4035050</v>
      </c>
      <c r="N377" s="160">
        <v>4035050</v>
      </c>
    </row>
    <row r="378" spans="1:14" x14ac:dyDescent="0.25">
      <c r="A378" s="158" t="s">
        <v>569</v>
      </c>
      <c r="B378" s="158" t="s">
        <v>210</v>
      </c>
      <c r="C378" s="158" t="s">
        <v>211</v>
      </c>
      <c r="D378" s="158" t="s">
        <v>564</v>
      </c>
      <c r="E378" s="160">
        <v>30000000</v>
      </c>
      <c r="F378" s="160">
        <v>22743649.859999999</v>
      </c>
      <c r="G378" s="160">
        <v>22743649.18</v>
      </c>
      <c r="H378" s="160">
        <v>0</v>
      </c>
      <c r="I378" s="160">
        <v>13230457.48</v>
      </c>
      <c r="J378" s="160">
        <v>0</v>
      </c>
      <c r="K378" s="160">
        <v>4307179.92</v>
      </c>
      <c r="L378" s="160">
        <v>3902179.92</v>
      </c>
      <c r="M378" s="160">
        <v>5206012.46</v>
      </c>
      <c r="N378" s="160">
        <v>5206011.78</v>
      </c>
    </row>
    <row r="379" spans="1:14" x14ac:dyDescent="0.25">
      <c r="A379" s="158" t="s">
        <v>569</v>
      </c>
      <c r="B379" s="158" t="s">
        <v>383</v>
      </c>
      <c r="C379" s="158" t="s">
        <v>384</v>
      </c>
      <c r="D379" s="158" t="s">
        <v>564</v>
      </c>
      <c r="E379" s="160">
        <v>5000000</v>
      </c>
      <c r="F379" s="160">
        <v>3000000</v>
      </c>
      <c r="G379" s="160">
        <v>2999999.32</v>
      </c>
      <c r="H379" s="160">
        <v>0</v>
      </c>
      <c r="I379" s="160">
        <v>2569500.48</v>
      </c>
      <c r="J379" s="160">
        <v>0</v>
      </c>
      <c r="K379" s="160">
        <v>143499.84</v>
      </c>
      <c r="L379" s="160">
        <v>143499.84</v>
      </c>
      <c r="M379" s="160">
        <v>286999.67999999999</v>
      </c>
      <c r="N379" s="160">
        <v>286999</v>
      </c>
    </row>
    <row r="380" spans="1:14" x14ac:dyDescent="0.25">
      <c r="A380" s="158" t="s">
        <v>569</v>
      </c>
      <c r="B380" s="158" t="s">
        <v>354</v>
      </c>
      <c r="C380" s="158" t="s">
        <v>355</v>
      </c>
      <c r="D380" s="158" t="s">
        <v>564</v>
      </c>
      <c r="E380" s="160">
        <v>5000000</v>
      </c>
      <c r="F380" s="160">
        <v>6085649.8600000003</v>
      </c>
      <c r="G380" s="160">
        <v>6085649.8600000003</v>
      </c>
      <c r="H380" s="160">
        <v>0</v>
      </c>
      <c r="I380" s="160">
        <v>122527</v>
      </c>
      <c r="J380" s="160">
        <v>0</v>
      </c>
      <c r="K380" s="160">
        <v>1044231.08</v>
      </c>
      <c r="L380" s="160">
        <v>1044231.08</v>
      </c>
      <c r="M380" s="160">
        <v>4918891.78</v>
      </c>
      <c r="N380" s="160">
        <v>4918891.78</v>
      </c>
    </row>
    <row r="381" spans="1:14" x14ac:dyDescent="0.25">
      <c r="A381" s="158" t="s">
        <v>569</v>
      </c>
      <c r="B381" s="158" t="s">
        <v>212</v>
      </c>
      <c r="C381" s="158" t="s">
        <v>213</v>
      </c>
      <c r="D381" s="158" t="s">
        <v>564</v>
      </c>
      <c r="E381" s="160">
        <v>20000000</v>
      </c>
      <c r="F381" s="160">
        <v>13658000</v>
      </c>
      <c r="G381" s="160">
        <v>13658000</v>
      </c>
      <c r="H381" s="160">
        <v>0</v>
      </c>
      <c r="I381" s="160">
        <v>10538430</v>
      </c>
      <c r="J381" s="160">
        <v>0</v>
      </c>
      <c r="K381" s="160">
        <v>3119449</v>
      </c>
      <c r="L381" s="160">
        <v>2714449</v>
      </c>
      <c r="M381" s="160">
        <v>121</v>
      </c>
      <c r="N381" s="160">
        <v>121</v>
      </c>
    </row>
    <row r="382" spans="1:14" x14ac:dyDescent="0.25">
      <c r="A382" s="158" t="s">
        <v>569</v>
      </c>
      <c r="B382" s="158" t="s">
        <v>214</v>
      </c>
      <c r="C382" s="158" t="s">
        <v>215</v>
      </c>
      <c r="D382" s="158" t="s">
        <v>564</v>
      </c>
      <c r="E382" s="160">
        <v>15744319000</v>
      </c>
      <c r="F382" s="160">
        <v>12811972896</v>
      </c>
      <c r="G382" s="160">
        <v>12811972889.41</v>
      </c>
      <c r="H382" s="160">
        <v>0</v>
      </c>
      <c r="I382" s="160">
        <v>1103911245.6400001</v>
      </c>
      <c r="J382" s="160">
        <v>0</v>
      </c>
      <c r="K382" s="160">
        <v>10754897788.25</v>
      </c>
      <c r="L382" s="160">
        <v>9948643185.9699993</v>
      </c>
      <c r="M382" s="160">
        <v>953163862.11000001</v>
      </c>
      <c r="N382" s="160">
        <v>953163855.51999998</v>
      </c>
    </row>
    <row r="383" spans="1:14" x14ac:dyDescent="0.25">
      <c r="A383" s="158" t="s">
        <v>569</v>
      </c>
      <c r="B383" s="158" t="s">
        <v>216</v>
      </c>
      <c r="C383" s="158" t="s">
        <v>217</v>
      </c>
      <c r="D383" s="158" t="s">
        <v>564</v>
      </c>
      <c r="E383" s="160">
        <v>894036000</v>
      </c>
      <c r="F383" s="160">
        <v>578274742</v>
      </c>
      <c r="G383" s="160">
        <v>578274741.85000002</v>
      </c>
      <c r="H383" s="160">
        <v>0</v>
      </c>
      <c r="I383" s="160">
        <v>36489055.280000001</v>
      </c>
      <c r="J383" s="160">
        <v>0</v>
      </c>
      <c r="K383" s="160">
        <v>529534840.37</v>
      </c>
      <c r="L383" s="160">
        <v>420375077.75</v>
      </c>
      <c r="M383" s="160">
        <v>12250846.35</v>
      </c>
      <c r="N383" s="160">
        <v>12250846.199999999</v>
      </c>
    </row>
    <row r="384" spans="1:14" x14ac:dyDescent="0.25">
      <c r="A384" s="158" t="s">
        <v>569</v>
      </c>
      <c r="B384" s="158" t="s">
        <v>218</v>
      </c>
      <c r="C384" s="158" t="s">
        <v>219</v>
      </c>
      <c r="D384" s="158" t="s">
        <v>564</v>
      </c>
      <c r="E384" s="160">
        <v>652430000</v>
      </c>
      <c r="F384" s="160">
        <v>453735000</v>
      </c>
      <c r="G384" s="160">
        <v>453734999.85000002</v>
      </c>
      <c r="H384" s="160">
        <v>0</v>
      </c>
      <c r="I384" s="160">
        <v>36489053.380000003</v>
      </c>
      <c r="J384" s="160">
        <v>0</v>
      </c>
      <c r="K384" s="160">
        <v>406663723.19</v>
      </c>
      <c r="L384" s="160">
        <v>386920168.73000002</v>
      </c>
      <c r="M384" s="160">
        <v>10582223.43</v>
      </c>
      <c r="N384" s="160">
        <v>10582223.279999999</v>
      </c>
    </row>
    <row r="385" spans="1:14" x14ac:dyDescent="0.25">
      <c r="A385" s="158" t="s">
        <v>569</v>
      </c>
      <c r="B385" s="158" t="s">
        <v>220</v>
      </c>
      <c r="C385" s="158" t="s">
        <v>221</v>
      </c>
      <c r="D385" s="158" t="s">
        <v>564</v>
      </c>
      <c r="E385" s="160">
        <v>163569000</v>
      </c>
      <c r="F385" s="160">
        <v>69640670</v>
      </c>
      <c r="G385" s="160">
        <v>69640670</v>
      </c>
      <c r="H385" s="160">
        <v>0</v>
      </c>
      <c r="I385" s="160">
        <v>0</v>
      </c>
      <c r="J385" s="160">
        <v>0</v>
      </c>
      <c r="K385" s="160">
        <v>69037570</v>
      </c>
      <c r="L385" s="160">
        <v>26720570</v>
      </c>
      <c r="M385" s="160">
        <v>603100</v>
      </c>
      <c r="N385" s="160">
        <v>603100</v>
      </c>
    </row>
    <row r="386" spans="1:14" x14ac:dyDescent="0.25">
      <c r="A386" s="158" t="s">
        <v>569</v>
      </c>
      <c r="B386" s="158" t="s">
        <v>385</v>
      </c>
      <c r="C386" s="158" t="s">
        <v>386</v>
      </c>
      <c r="D386" s="158" t="s">
        <v>564</v>
      </c>
      <c r="E386" s="160">
        <v>1941000</v>
      </c>
      <c r="F386" s="160">
        <v>1941000</v>
      </c>
      <c r="G386" s="160">
        <v>1941000</v>
      </c>
      <c r="H386" s="160">
        <v>0</v>
      </c>
      <c r="I386" s="160">
        <v>0</v>
      </c>
      <c r="J386" s="160">
        <v>0</v>
      </c>
      <c r="K386" s="160">
        <v>1746786.65</v>
      </c>
      <c r="L386" s="160">
        <v>44935</v>
      </c>
      <c r="M386" s="160">
        <v>194213.35</v>
      </c>
      <c r="N386" s="160">
        <v>194213.35</v>
      </c>
    </row>
    <row r="387" spans="1:14" x14ac:dyDescent="0.25">
      <c r="A387" s="158" t="s">
        <v>569</v>
      </c>
      <c r="B387" s="158" t="s">
        <v>222</v>
      </c>
      <c r="C387" s="158" t="s">
        <v>223</v>
      </c>
      <c r="D387" s="158" t="s">
        <v>564</v>
      </c>
      <c r="E387" s="160">
        <v>68225000</v>
      </c>
      <c r="F387" s="160">
        <v>52661402</v>
      </c>
      <c r="G387" s="160">
        <v>52661402</v>
      </c>
      <c r="H387" s="160">
        <v>0</v>
      </c>
      <c r="I387" s="160">
        <v>1.9</v>
      </c>
      <c r="J387" s="160">
        <v>0</v>
      </c>
      <c r="K387" s="160">
        <v>51810760.530000001</v>
      </c>
      <c r="L387" s="160">
        <v>6413404.0199999996</v>
      </c>
      <c r="M387" s="160">
        <v>850639.57</v>
      </c>
      <c r="N387" s="160">
        <v>850639.57</v>
      </c>
    </row>
    <row r="388" spans="1:14" x14ac:dyDescent="0.25">
      <c r="A388" s="158" t="s">
        <v>569</v>
      </c>
      <c r="B388" s="158" t="s">
        <v>224</v>
      </c>
      <c r="C388" s="158" t="s">
        <v>225</v>
      </c>
      <c r="D388" s="158" t="s">
        <v>564</v>
      </c>
      <c r="E388" s="160">
        <v>7871000</v>
      </c>
      <c r="F388" s="160">
        <v>296670</v>
      </c>
      <c r="G388" s="160">
        <v>296670</v>
      </c>
      <c r="H388" s="160">
        <v>0</v>
      </c>
      <c r="I388" s="160">
        <v>0</v>
      </c>
      <c r="J388" s="160">
        <v>0</v>
      </c>
      <c r="K388" s="160">
        <v>276000</v>
      </c>
      <c r="L388" s="160">
        <v>276000</v>
      </c>
      <c r="M388" s="160">
        <v>20670</v>
      </c>
      <c r="N388" s="160">
        <v>20670</v>
      </c>
    </row>
    <row r="389" spans="1:14" x14ac:dyDescent="0.25">
      <c r="A389" s="158" t="s">
        <v>569</v>
      </c>
      <c r="B389" s="158" t="s">
        <v>226</v>
      </c>
      <c r="C389" s="158" t="s">
        <v>227</v>
      </c>
      <c r="D389" s="158" t="s">
        <v>564</v>
      </c>
      <c r="E389" s="160">
        <v>11384582000</v>
      </c>
      <c r="F389" s="160">
        <v>10477091903</v>
      </c>
      <c r="G389" s="160">
        <v>10477091898.870001</v>
      </c>
      <c r="H389" s="160">
        <v>0</v>
      </c>
      <c r="I389" s="160">
        <v>1007612013.84</v>
      </c>
      <c r="J389" s="160">
        <v>0</v>
      </c>
      <c r="K389" s="160">
        <v>8637573250.0300007</v>
      </c>
      <c r="L389" s="160">
        <v>8168743535.4300003</v>
      </c>
      <c r="M389" s="160">
        <v>831906639.13</v>
      </c>
      <c r="N389" s="160">
        <v>831906635</v>
      </c>
    </row>
    <row r="390" spans="1:14" x14ac:dyDescent="0.25">
      <c r="A390" s="158" t="s">
        <v>569</v>
      </c>
      <c r="B390" s="158" t="s">
        <v>228</v>
      </c>
      <c r="C390" s="158" t="s">
        <v>229</v>
      </c>
      <c r="D390" s="158" t="s">
        <v>564</v>
      </c>
      <c r="E390" s="160">
        <v>11375882000</v>
      </c>
      <c r="F390" s="160">
        <v>10468391903</v>
      </c>
      <c r="G390" s="160">
        <v>10468391898.870001</v>
      </c>
      <c r="H390" s="160">
        <v>0</v>
      </c>
      <c r="I390" s="160">
        <v>1007612013.84</v>
      </c>
      <c r="J390" s="160">
        <v>0</v>
      </c>
      <c r="K390" s="160">
        <v>8628874610.0300007</v>
      </c>
      <c r="L390" s="160">
        <v>8160044895.4300003</v>
      </c>
      <c r="M390" s="160">
        <v>831905279.13</v>
      </c>
      <c r="N390" s="160">
        <v>831905275</v>
      </c>
    </row>
    <row r="391" spans="1:14" x14ac:dyDescent="0.25">
      <c r="A391" s="158" t="s">
        <v>569</v>
      </c>
      <c r="B391" s="158" t="s">
        <v>387</v>
      </c>
      <c r="C391" s="158" t="s">
        <v>388</v>
      </c>
      <c r="D391" s="158" t="s">
        <v>564</v>
      </c>
      <c r="E391" s="160">
        <v>8700000</v>
      </c>
      <c r="F391" s="160">
        <v>8700000</v>
      </c>
      <c r="G391" s="160">
        <v>8700000</v>
      </c>
      <c r="H391" s="160">
        <v>0</v>
      </c>
      <c r="I391" s="160">
        <v>0</v>
      </c>
      <c r="J391" s="160">
        <v>0</v>
      </c>
      <c r="K391" s="160">
        <v>8698640</v>
      </c>
      <c r="L391" s="160">
        <v>8698640</v>
      </c>
      <c r="M391" s="160">
        <v>1360</v>
      </c>
      <c r="N391" s="160">
        <v>1360</v>
      </c>
    </row>
    <row r="392" spans="1:14" x14ac:dyDescent="0.25">
      <c r="A392" s="158" t="s">
        <v>569</v>
      </c>
      <c r="B392" s="158" t="s">
        <v>230</v>
      </c>
      <c r="C392" s="158" t="s">
        <v>231</v>
      </c>
      <c r="D392" s="158" t="s">
        <v>564</v>
      </c>
      <c r="E392" s="160">
        <v>963876000</v>
      </c>
      <c r="F392" s="160">
        <v>601901564</v>
      </c>
      <c r="G392" s="160">
        <v>601901562.71000004</v>
      </c>
      <c r="H392" s="160">
        <v>0</v>
      </c>
      <c r="I392" s="160">
        <v>27850697.350000001</v>
      </c>
      <c r="J392" s="160">
        <v>0</v>
      </c>
      <c r="K392" s="160">
        <v>510932466.18000001</v>
      </c>
      <c r="L392" s="160">
        <v>396029943.18000001</v>
      </c>
      <c r="M392" s="160">
        <v>63118400.469999999</v>
      </c>
      <c r="N392" s="160">
        <v>63118399.18</v>
      </c>
    </row>
    <row r="393" spans="1:14" x14ac:dyDescent="0.25">
      <c r="A393" s="158" t="s">
        <v>569</v>
      </c>
      <c r="B393" s="158" t="s">
        <v>232</v>
      </c>
      <c r="C393" s="158" t="s">
        <v>233</v>
      </c>
      <c r="D393" s="158" t="s">
        <v>564</v>
      </c>
      <c r="E393" s="160">
        <v>273083000</v>
      </c>
      <c r="F393" s="160">
        <v>144560610</v>
      </c>
      <c r="G393" s="160">
        <v>144560610</v>
      </c>
      <c r="H393" s="160">
        <v>0</v>
      </c>
      <c r="I393" s="160">
        <v>12921037.6</v>
      </c>
      <c r="J393" s="160">
        <v>0</v>
      </c>
      <c r="K393" s="160">
        <v>129675641.40000001</v>
      </c>
      <c r="L393" s="160">
        <v>129675641.40000001</v>
      </c>
      <c r="M393" s="160">
        <v>1963931</v>
      </c>
      <c r="N393" s="160">
        <v>1963931</v>
      </c>
    </row>
    <row r="394" spans="1:14" x14ac:dyDescent="0.25">
      <c r="A394" s="158" t="s">
        <v>569</v>
      </c>
      <c r="B394" s="158" t="s">
        <v>356</v>
      </c>
      <c r="C394" s="158" t="s">
        <v>357</v>
      </c>
      <c r="D394" s="158" t="s">
        <v>564</v>
      </c>
      <c r="E394" s="160">
        <v>61362000</v>
      </c>
      <c r="F394" s="160">
        <v>150893313</v>
      </c>
      <c r="G394" s="160">
        <v>150893312.69</v>
      </c>
      <c r="H394" s="160">
        <v>0</v>
      </c>
      <c r="I394" s="160">
        <v>0</v>
      </c>
      <c r="J394" s="160">
        <v>0</v>
      </c>
      <c r="K394" s="160">
        <v>146640841.69</v>
      </c>
      <c r="L394" s="160">
        <v>53139259.689999998</v>
      </c>
      <c r="M394" s="160">
        <v>4252471.3099999996</v>
      </c>
      <c r="N394" s="160">
        <v>4252471</v>
      </c>
    </row>
    <row r="395" spans="1:14" x14ac:dyDescent="0.25">
      <c r="A395" s="158" t="s">
        <v>569</v>
      </c>
      <c r="B395" s="158" t="s">
        <v>358</v>
      </c>
      <c r="C395" s="158" t="s">
        <v>359</v>
      </c>
      <c r="D395" s="158" t="s">
        <v>564</v>
      </c>
      <c r="E395" s="160">
        <v>133521000</v>
      </c>
      <c r="F395" s="160">
        <v>31433102</v>
      </c>
      <c r="G395" s="160">
        <v>31433102</v>
      </c>
      <c r="H395" s="160">
        <v>0</v>
      </c>
      <c r="I395" s="160">
        <v>0</v>
      </c>
      <c r="J395" s="160">
        <v>0</v>
      </c>
      <c r="K395" s="160">
        <v>30827282.5</v>
      </c>
      <c r="L395" s="160">
        <v>30827282.5</v>
      </c>
      <c r="M395" s="160">
        <v>605819.5</v>
      </c>
      <c r="N395" s="160">
        <v>605819.5</v>
      </c>
    </row>
    <row r="396" spans="1:14" x14ac:dyDescent="0.25">
      <c r="A396" s="158" t="s">
        <v>569</v>
      </c>
      <c r="B396" s="158" t="s">
        <v>234</v>
      </c>
      <c r="C396" s="158" t="s">
        <v>235</v>
      </c>
      <c r="D396" s="158" t="s">
        <v>564</v>
      </c>
      <c r="E396" s="160">
        <v>290739000</v>
      </c>
      <c r="F396" s="160">
        <v>194164515</v>
      </c>
      <c r="G396" s="160">
        <v>194164514.02000001</v>
      </c>
      <c r="H396" s="160">
        <v>0</v>
      </c>
      <c r="I396" s="160">
        <v>3741903.4</v>
      </c>
      <c r="J396" s="160">
        <v>0</v>
      </c>
      <c r="K396" s="160">
        <v>168617667.13999999</v>
      </c>
      <c r="L396" s="160">
        <v>147216726.13999999</v>
      </c>
      <c r="M396" s="160">
        <v>21804944.460000001</v>
      </c>
      <c r="N396" s="160">
        <v>21804943.48</v>
      </c>
    </row>
    <row r="397" spans="1:14" x14ac:dyDescent="0.25">
      <c r="A397" s="158" t="s">
        <v>569</v>
      </c>
      <c r="B397" s="158" t="s">
        <v>236</v>
      </c>
      <c r="C397" s="158" t="s">
        <v>237</v>
      </c>
      <c r="D397" s="158" t="s">
        <v>564</v>
      </c>
      <c r="E397" s="160">
        <v>5000000</v>
      </c>
      <c r="F397" s="160">
        <v>3000000</v>
      </c>
      <c r="G397" s="160">
        <v>3000000</v>
      </c>
      <c r="H397" s="160">
        <v>0</v>
      </c>
      <c r="I397" s="160">
        <v>0</v>
      </c>
      <c r="J397" s="160">
        <v>0</v>
      </c>
      <c r="K397" s="160">
        <v>2709168</v>
      </c>
      <c r="L397" s="160">
        <v>2709168</v>
      </c>
      <c r="M397" s="160">
        <v>290832</v>
      </c>
      <c r="N397" s="160">
        <v>290832</v>
      </c>
    </row>
    <row r="398" spans="1:14" x14ac:dyDescent="0.25">
      <c r="A398" s="158" t="s">
        <v>569</v>
      </c>
      <c r="B398" s="158" t="s">
        <v>238</v>
      </c>
      <c r="C398" s="158" t="s">
        <v>239</v>
      </c>
      <c r="D398" s="158" t="s">
        <v>564</v>
      </c>
      <c r="E398" s="160">
        <v>80158000</v>
      </c>
      <c r="F398" s="160">
        <v>40125485</v>
      </c>
      <c r="G398" s="160">
        <v>40125485</v>
      </c>
      <c r="H398" s="160">
        <v>0</v>
      </c>
      <c r="I398" s="160">
        <v>7968629.3499999996</v>
      </c>
      <c r="J398" s="160">
        <v>0</v>
      </c>
      <c r="K398" s="160">
        <v>15125484.949999999</v>
      </c>
      <c r="L398" s="160">
        <v>15125484.949999999</v>
      </c>
      <c r="M398" s="160">
        <v>17031370.699999999</v>
      </c>
      <c r="N398" s="160">
        <v>17031370.699999999</v>
      </c>
    </row>
    <row r="399" spans="1:14" x14ac:dyDescent="0.25">
      <c r="A399" s="158" t="s">
        <v>569</v>
      </c>
      <c r="B399" s="158" t="s">
        <v>240</v>
      </c>
      <c r="C399" s="158" t="s">
        <v>241</v>
      </c>
      <c r="D399" s="158" t="s">
        <v>564</v>
      </c>
      <c r="E399" s="160">
        <v>120013000</v>
      </c>
      <c r="F399" s="160">
        <v>37724539</v>
      </c>
      <c r="G399" s="160">
        <v>37724539</v>
      </c>
      <c r="H399" s="160">
        <v>0</v>
      </c>
      <c r="I399" s="160">
        <v>3219127</v>
      </c>
      <c r="J399" s="160">
        <v>0</v>
      </c>
      <c r="K399" s="160">
        <v>17336380.5</v>
      </c>
      <c r="L399" s="160">
        <v>17336380.5</v>
      </c>
      <c r="M399" s="160">
        <v>17169031.5</v>
      </c>
      <c r="N399" s="160">
        <v>17169031.5</v>
      </c>
    </row>
    <row r="400" spans="1:14" x14ac:dyDescent="0.25">
      <c r="A400" s="158" t="s">
        <v>569</v>
      </c>
      <c r="B400" s="158" t="s">
        <v>242</v>
      </c>
      <c r="C400" s="158" t="s">
        <v>243</v>
      </c>
      <c r="D400" s="158" t="s">
        <v>564</v>
      </c>
      <c r="E400" s="160">
        <v>189526000</v>
      </c>
      <c r="F400" s="160">
        <v>238322777</v>
      </c>
      <c r="G400" s="160">
        <v>238322776.47</v>
      </c>
      <c r="H400" s="160">
        <v>0</v>
      </c>
      <c r="I400" s="160">
        <v>7055070.04</v>
      </c>
      <c r="J400" s="160">
        <v>0</v>
      </c>
      <c r="K400" s="160">
        <v>212353571.66999999</v>
      </c>
      <c r="L400" s="160">
        <v>182551050.94</v>
      </c>
      <c r="M400" s="160">
        <v>18914135.289999999</v>
      </c>
      <c r="N400" s="160">
        <v>18914134.760000002</v>
      </c>
    </row>
    <row r="401" spans="1:14" x14ac:dyDescent="0.25">
      <c r="A401" s="158" t="s">
        <v>569</v>
      </c>
      <c r="B401" s="158" t="s">
        <v>244</v>
      </c>
      <c r="C401" s="158" t="s">
        <v>245</v>
      </c>
      <c r="D401" s="158" t="s">
        <v>564</v>
      </c>
      <c r="E401" s="160">
        <v>98455000</v>
      </c>
      <c r="F401" s="160">
        <v>71796612</v>
      </c>
      <c r="G401" s="160">
        <v>71796611.590000004</v>
      </c>
      <c r="H401" s="160">
        <v>0</v>
      </c>
      <c r="I401" s="160">
        <v>2178440</v>
      </c>
      <c r="J401" s="160">
        <v>0</v>
      </c>
      <c r="K401" s="160">
        <v>61121317.890000001</v>
      </c>
      <c r="L401" s="160">
        <v>60723118.590000004</v>
      </c>
      <c r="M401" s="160">
        <v>8496854.1099999994</v>
      </c>
      <c r="N401" s="160">
        <v>8496853.6999999993</v>
      </c>
    </row>
    <row r="402" spans="1:14" x14ac:dyDescent="0.25">
      <c r="A402" s="158" t="s">
        <v>569</v>
      </c>
      <c r="B402" s="158" t="s">
        <v>246</v>
      </c>
      <c r="C402" s="158" t="s">
        <v>247</v>
      </c>
      <c r="D402" s="158" t="s">
        <v>564</v>
      </c>
      <c r="E402" s="160">
        <v>91071000</v>
      </c>
      <c r="F402" s="160">
        <v>166526165</v>
      </c>
      <c r="G402" s="160">
        <v>166526164.88</v>
      </c>
      <c r="H402" s="160">
        <v>0</v>
      </c>
      <c r="I402" s="160">
        <v>4876630.04</v>
      </c>
      <c r="J402" s="160">
        <v>0</v>
      </c>
      <c r="K402" s="160">
        <v>151232253.78</v>
      </c>
      <c r="L402" s="160">
        <v>121827932.34999999</v>
      </c>
      <c r="M402" s="160">
        <v>10417281.18</v>
      </c>
      <c r="N402" s="160">
        <v>10417281.060000001</v>
      </c>
    </row>
    <row r="403" spans="1:14" x14ac:dyDescent="0.25">
      <c r="A403" s="158" t="s">
        <v>569</v>
      </c>
      <c r="B403" s="158" t="s">
        <v>248</v>
      </c>
      <c r="C403" s="158" t="s">
        <v>249</v>
      </c>
      <c r="D403" s="158" t="s">
        <v>564</v>
      </c>
      <c r="E403" s="160">
        <v>2312299000</v>
      </c>
      <c r="F403" s="160">
        <v>916381910</v>
      </c>
      <c r="G403" s="160">
        <v>916381909.50999999</v>
      </c>
      <c r="H403" s="160">
        <v>0</v>
      </c>
      <c r="I403" s="160">
        <v>24904409.129999999</v>
      </c>
      <c r="J403" s="160">
        <v>0</v>
      </c>
      <c r="K403" s="160">
        <v>864503660</v>
      </c>
      <c r="L403" s="160">
        <v>780943578.66999996</v>
      </c>
      <c r="M403" s="160">
        <v>26973840.870000001</v>
      </c>
      <c r="N403" s="160">
        <v>26973840.379999999</v>
      </c>
    </row>
    <row r="404" spans="1:14" x14ac:dyDescent="0.25">
      <c r="A404" s="158" t="s">
        <v>569</v>
      </c>
      <c r="B404" s="158" t="s">
        <v>250</v>
      </c>
      <c r="C404" s="158" t="s">
        <v>251</v>
      </c>
      <c r="D404" s="158" t="s">
        <v>564</v>
      </c>
      <c r="E404" s="160">
        <v>33412000</v>
      </c>
      <c r="F404" s="160">
        <v>8279576</v>
      </c>
      <c r="G404" s="160">
        <v>8279576</v>
      </c>
      <c r="H404" s="160">
        <v>0</v>
      </c>
      <c r="I404" s="160">
        <v>0</v>
      </c>
      <c r="J404" s="160">
        <v>0</v>
      </c>
      <c r="K404" s="160">
        <v>8262320.5099999998</v>
      </c>
      <c r="L404" s="160">
        <v>8262320.5099999998</v>
      </c>
      <c r="M404" s="160">
        <v>17255.490000000002</v>
      </c>
      <c r="N404" s="160">
        <v>17255.490000000002</v>
      </c>
    </row>
    <row r="405" spans="1:14" x14ac:dyDescent="0.25">
      <c r="A405" s="158" t="s">
        <v>569</v>
      </c>
      <c r="B405" s="158" t="s">
        <v>252</v>
      </c>
      <c r="C405" s="158" t="s">
        <v>253</v>
      </c>
      <c r="D405" s="158" t="s">
        <v>564</v>
      </c>
      <c r="E405" s="160">
        <v>14258000</v>
      </c>
      <c r="F405" s="160">
        <v>10888000</v>
      </c>
      <c r="G405" s="160">
        <v>10888000</v>
      </c>
      <c r="H405" s="160">
        <v>0</v>
      </c>
      <c r="I405" s="160">
        <v>0</v>
      </c>
      <c r="J405" s="160">
        <v>0</v>
      </c>
      <c r="K405" s="160">
        <v>10141996.48</v>
      </c>
      <c r="L405" s="160">
        <v>6406996.4800000004</v>
      </c>
      <c r="M405" s="160">
        <v>746003.52</v>
      </c>
      <c r="N405" s="160">
        <v>746003.52</v>
      </c>
    </row>
    <row r="406" spans="1:14" x14ac:dyDescent="0.25">
      <c r="A406" s="158" t="s">
        <v>569</v>
      </c>
      <c r="B406" s="158" t="s">
        <v>254</v>
      </c>
      <c r="C406" s="158" t="s">
        <v>255</v>
      </c>
      <c r="D406" s="158" t="s">
        <v>564</v>
      </c>
      <c r="E406" s="160">
        <v>222125000</v>
      </c>
      <c r="F406" s="160">
        <v>88523637</v>
      </c>
      <c r="G406" s="160">
        <v>88523636.969999999</v>
      </c>
      <c r="H406" s="160">
        <v>0</v>
      </c>
      <c r="I406" s="160">
        <v>21267</v>
      </c>
      <c r="J406" s="160">
        <v>0</v>
      </c>
      <c r="K406" s="160">
        <v>87450184.969999999</v>
      </c>
      <c r="L406" s="160">
        <v>65955339.969999999</v>
      </c>
      <c r="M406" s="160">
        <v>1052185.03</v>
      </c>
      <c r="N406" s="160">
        <v>1052185</v>
      </c>
    </row>
    <row r="407" spans="1:14" x14ac:dyDescent="0.25">
      <c r="A407" s="158" t="s">
        <v>569</v>
      </c>
      <c r="B407" s="158" t="s">
        <v>256</v>
      </c>
      <c r="C407" s="158" t="s">
        <v>257</v>
      </c>
      <c r="D407" s="158" t="s">
        <v>564</v>
      </c>
      <c r="E407" s="160">
        <v>704170000</v>
      </c>
      <c r="F407" s="160">
        <v>118776418</v>
      </c>
      <c r="G407" s="160">
        <v>118776418</v>
      </c>
      <c r="H407" s="160">
        <v>0</v>
      </c>
      <c r="I407" s="160">
        <v>6656872</v>
      </c>
      <c r="J407" s="160">
        <v>0</v>
      </c>
      <c r="K407" s="160">
        <v>106388541.36</v>
      </c>
      <c r="L407" s="160">
        <v>94933729.359999999</v>
      </c>
      <c r="M407" s="160">
        <v>5731004.6399999997</v>
      </c>
      <c r="N407" s="160">
        <v>5731004.6399999997</v>
      </c>
    </row>
    <row r="408" spans="1:14" x14ac:dyDescent="0.25">
      <c r="A408" s="158" t="s">
        <v>569</v>
      </c>
      <c r="B408" s="158" t="s">
        <v>258</v>
      </c>
      <c r="C408" s="158" t="s">
        <v>259</v>
      </c>
      <c r="D408" s="158" t="s">
        <v>564</v>
      </c>
      <c r="E408" s="160">
        <v>310178000</v>
      </c>
      <c r="F408" s="160">
        <v>135745769</v>
      </c>
      <c r="G408" s="160">
        <v>135745768.72</v>
      </c>
      <c r="H408" s="160">
        <v>0</v>
      </c>
      <c r="I408" s="160">
        <v>3189335.41</v>
      </c>
      <c r="J408" s="160">
        <v>0</v>
      </c>
      <c r="K408" s="160">
        <v>125154271.91</v>
      </c>
      <c r="L408" s="160">
        <v>112191668.72</v>
      </c>
      <c r="M408" s="160">
        <v>7402161.6799999997</v>
      </c>
      <c r="N408" s="160">
        <v>7402161.4000000004</v>
      </c>
    </row>
    <row r="409" spans="1:14" x14ac:dyDescent="0.25">
      <c r="A409" s="158" t="s">
        <v>569</v>
      </c>
      <c r="B409" s="158" t="s">
        <v>260</v>
      </c>
      <c r="C409" s="158" t="s">
        <v>261</v>
      </c>
      <c r="D409" s="158" t="s">
        <v>564</v>
      </c>
      <c r="E409" s="160">
        <v>790766000</v>
      </c>
      <c r="F409" s="160">
        <v>413224406</v>
      </c>
      <c r="G409" s="160">
        <v>413224406</v>
      </c>
      <c r="H409" s="160">
        <v>0</v>
      </c>
      <c r="I409" s="160">
        <v>0</v>
      </c>
      <c r="J409" s="160">
        <v>0</v>
      </c>
      <c r="K409" s="160">
        <v>402873097.83999997</v>
      </c>
      <c r="L409" s="160">
        <v>397938000</v>
      </c>
      <c r="M409" s="160">
        <v>10351308.16</v>
      </c>
      <c r="N409" s="160">
        <v>10351308.16</v>
      </c>
    </row>
    <row r="410" spans="1:14" x14ac:dyDescent="0.25">
      <c r="A410" s="158" t="s">
        <v>569</v>
      </c>
      <c r="B410" s="158" t="s">
        <v>262</v>
      </c>
      <c r="C410" s="158" t="s">
        <v>263</v>
      </c>
      <c r="D410" s="158" t="s">
        <v>564</v>
      </c>
      <c r="E410" s="160">
        <v>62931000</v>
      </c>
      <c r="F410" s="160">
        <v>62931000</v>
      </c>
      <c r="G410" s="160">
        <v>62930999.82</v>
      </c>
      <c r="H410" s="160">
        <v>0</v>
      </c>
      <c r="I410" s="160">
        <v>11691240.970000001</v>
      </c>
      <c r="J410" s="160">
        <v>0</v>
      </c>
      <c r="K410" s="160">
        <v>51239680.68</v>
      </c>
      <c r="L410" s="160">
        <v>46554892.380000003</v>
      </c>
      <c r="M410" s="160">
        <v>78.349999999999994</v>
      </c>
      <c r="N410" s="160">
        <v>78.17</v>
      </c>
    </row>
    <row r="411" spans="1:14" x14ac:dyDescent="0.25">
      <c r="A411" s="158" t="s">
        <v>569</v>
      </c>
      <c r="B411" s="158" t="s">
        <v>264</v>
      </c>
      <c r="C411" s="158" t="s">
        <v>265</v>
      </c>
      <c r="D411" s="158" t="s">
        <v>564</v>
      </c>
      <c r="E411" s="160">
        <v>174459000</v>
      </c>
      <c r="F411" s="160">
        <v>78013104</v>
      </c>
      <c r="G411" s="160">
        <v>78013104</v>
      </c>
      <c r="H411" s="160">
        <v>0</v>
      </c>
      <c r="I411" s="160">
        <v>3345693.75</v>
      </c>
      <c r="J411" s="160">
        <v>0</v>
      </c>
      <c r="K411" s="160">
        <v>72993566.25</v>
      </c>
      <c r="L411" s="160">
        <v>48700631.25</v>
      </c>
      <c r="M411" s="160">
        <v>1673844</v>
      </c>
      <c r="N411" s="160">
        <v>1673844</v>
      </c>
    </row>
    <row r="412" spans="1:14" x14ac:dyDescent="0.25">
      <c r="A412" s="158" t="s">
        <v>569</v>
      </c>
      <c r="B412" s="158" t="s">
        <v>296</v>
      </c>
      <c r="C412" s="158" t="s">
        <v>297</v>
      </c>
      <c r="D412" s="158" t="s">
        <v>564</v>
      </c>
      <c r="E412" s="160">
        <v>1789900000</v>
      </c>
      <c r="F412" s="160">
        <v>2699563062</v>
      </c>
      <c r="G412" s="160">
        <v>2699563061</v>
      </c>
      <c r="H412" s="160">
        <v>0</v>
      </c>
      <c r="I412" s="160">
        <v>426548100.87</v>
      </c>
      <c r="J412" s="160">
        <v>0</v>
      </c>
      <c r="K412" s="160">
        <v>2144970522.99</v>
      </c>
      <c r="L412" s="160">
        <v>1003680204.45</v>
      </c>
      <c r="M412" s="160">
        <v>128044438.14</v>
      </c>
      <c r="N412" s="160">
        <v>128044437.14</v>
      </c>
    </row>
    <row r="413" spans="1:14" x14ac:dyDescent="0.25">
      <c r="A413" s="158" t="s">
        <v>569</v>
      </c>
      <c r="B413" s="158" t="s">
        <v>298</v>
      </c>
      <c r="C413" s="158" t="s">
        <v>299</v>
      </c>
      <c r="D413" s="158" t="s">
        <v>564</v>
      </c>
      <c r="E413" s="160">
        <v>764482000</v>
      </c>
      <c r="F413" s="160">
        <v>816491235</v>
      </c>
      <c r="G413" s="160">
        <v>816491234.72000003</v>
      </c>
      <c r="H413" s="160">
        <v>0</v>
      </c>
      <c r="I413" s="160">
        <v>86088386.390000001</v>
      </c>
      <c r="J413" s="160">
        <v>0</v>
      </c>
      <c r="K413" s="160">
        <v>635840616.58000004</v>
      </c>
      <c r="L413" s="160">
        <v>401557848.37</v>
      </c>
      <c r="M413" s="160">
        <v>94562232.030000001</v>
      </c>
      <c r="N413" s="160">
        <v>94562231.75</v>
      </c>
    </row>
    <row r="414" spans="1:14" x14ac:dyDescent="0.25">
      <c r="A414" s="158" t="s">
        <v>569</v>
      </c>
      <c r="B414" s="158" t="s">
        <v>300</v>
      </c>
      <c r="C414" s="158" t="s">
        <v>301</v>
      </c>
      <c r="D414" s="158" t="s">
        <v>564</v>
      </c>
      <c r="E414" s="160">
        <v>0</v>
      </c>
      <c r="F414" s="160">
        <v>5973040</v>
      </c>
      <c r="G414" s="160">
        <v>5973040</v>
      </c>
      <c r="H414" s="160">
        <v>0</v>
      </c>
      <c r="I414" s="160">
        <v>0</v>
      </c>
      <c r="J414" s="160">
        <v>0</v>
      </c>
      <c r="K414" s="160">
        <v>0</v>
      </c>
      <c r="L414" s="160">
        <v>0</v>
      </c>
      <c r="M414" s="160">
        <v>5973040</v>
      </c>
      <c r="N414" s="160">
        <v>5973040</v>
      </c>
    </row>
    <row r="415" spans="1:14" x14ac:dyDescent="0.25">
      <c r="A415" s="158" t="s">
        <v>569</v>
      </c>
      <c r="B415" s="158" t="s">
        <v>421</v>
      </c>
      <c r="C415" s="158" t="s">
        <v>524</v>
      </c>
      <c r="D415" s="158" t="s">
        <v>564</v>
      </c>
      <c r="E415" s="160">
        <v>0</v>
      </c>
      <c r="F415" s="160">
        <v>48630956</v>
      </c>
      <c r="G415" s="160">
        <v>48630956</v>
      </c>
      <c r="H415" s="160">
        <v>0</v>
      </c>
      <c r="I415" s="160">
        <v>2330373.37</v>
      </c>
      <c r="J415" s="160">
        <v>0</v>
      </c>
      <c r="K415" s="160">
        <v>45277472.630000003</v>
      </c>
      <c r="L415" s="160">
        <v>45277472.630000003</v>
      </c>
      <c r="M415" s="160">
        <v>1023110</v>
      </c>
      <c r="N415" s="160">
        <v>1023110</v>
      </c>
    </row>
    <row r="416" spans="1:14" x14ac:dyDescent="0.25">
      <c r="A416" s="158" t="s">
        <v>569</v>
      </c>
      <c r="B416" s="158" t="s">
        <v>304</v>
      </c>
      <c r="C416" s="158" t="s">
        <v>305</v>
      </c>
      <c r="D416" s="158" t="s">
        <v>564</v>
      </c>
      <c r="E416" s="160">
        <v>0</v>
      </c>
      <c r="F416" s="160">
        <v>67681350</v>
      </c>
      <c r="G416" s="160">
        <v>67681350</v>
      </c>
      <c r="H416" s="160">
        <v>0</v>
      </c>
      <c r="I416" s="160">
        <v>858057.55</v>
      </c>
      <c r="J416" s="160">
        <v>0</v>
      </c>
      <c r="K416" s="160">
        <v>63084229.75</v>
      </c>
      <c r="L416" s="160">
        <v>45449724.109999999</v>
      </c>
      <c r="M416" s="160">
        <v>3739062.7</v>
      </c>
      <c r="N416" s="160">
        <v>3739062.7</v>
      </c>
    </row>
    <row r="417" spans="1:14" x14ac:dyDescent="0.25">
      <c r="A417" s="158" t="s">
        <v>569</v>
      </c>
      <c r="B417" s="158" t="s">
        <v>306</v>
      </c>
      <c r="C417" s="158" t="s">
        <v>307</v>
      </c>
      <c r="D417" s="158" t="s">
        <v>564</v>
      </c>
      <c r="E417" s="160">
        <v>0</v>
      </c>
      <c r="F417" s="160">
        <v>46000000</v>
      </c>
      <c r="G417" s="160">
        <v>46000000</v>
      </c>
      <c r="H417" s="160">
        <v>0</v>
      </c>
      <c r="I417" s="160">
        <v>3400</v>
      </c>
      <c r="J417" s="160">
        <v>0</v>
      </c>
      <c r="K417" s="160">
        <v>45157588</v>
      </c>
      <c r="L417" s="160">
        <v>45157588</v>
      </c>
      <c r="M417" s="160">
        <v>839012</v>
      </c>
      <c r="N417" s="160">
        <v>839012</v>
      </c>
    </row>
    <row r="418" spans="1:14" x14ac:dyDescent="0.25">
      <c r="A418" s="158" t="s">
        <v>569</v>
      </c>
      <c r="B418" s="158" t="s">
        <v>308</v>
      </c>
      <c r="C418" s="158" t="s">
        <v>309</v>
      </c>
      <c r="D418" s="158" t="s">
        <v>564</v>
      </c>
      <c r="E418" s="160">
        <v>0</v>
      </c>
      <c r="F418" s="160">
        <v>3530698</v>
      </c>
      <c r="G418" s="160">
        <v>3530698</v>
      </c>
      <c r="H418" s="160">
        <v>0</v>
      </c>
      <c r="I418" s="160">
        <v>0</v>
      </c>
      <c r="J418" s="160">
        <v>0</v>
      </c>
      <c r="K418" s="160">
        <v>3248000</v>
      </c>
      <c r="L418" s="160">
        <v>3248000</v>
      </c>
      <c r="M418" s="160">
        <v>282698</v>
      </c>
      <c r="N418" s="160">
        <v>282698</v>
      </c>
    </row>
    <row r="419" spans="1:14" x14ac:dyDescent="0.25">
      <c r="A419" s="158" t="s">
        <v>569</v>
      </c>
      <c r="B419" s="158" t="s">
        <v>310</v>
      </c>
      <c r="C419" s="158" t="s">
        <v>311</v>
      </c>
      <c r="D419" s="158" t="s">
        <v>564</v>
      </c>
      <c r="E419" s="160">
        <v>0</v>
      </c>
      <c r="F419" s="160">
        <v>0</v>
      </c>
      <c r="G419" s="160">
        <v>0</v>
      </c>
      <c r="H419" s="160">
        <v>0</v>
      </c>
      <c r="I419" s="160">
        <v>0</v>
      </c>
      <c r="J419" s="160">
        <v>0</v>
      </c>
      <c r="K419" s="160">
        <v>0</v>
      </c>
      <c r="L419" s="160">
        <v>0</v>
      </c>
      <c r="M419" s="160">
        <v>0</v>
      </c>
      <c r="N419" s="160">
        <v>0</v>
      </c>
    </row>
    <row r="420" spans="1:14" x14ac:dyDescent="0.25">
      <c r="A420" s="158" t="s">
        <v>569</v>
      </c>
      <c r="B420" s="158" t="s">
        <v>312</v>
      </c>
      <c r="C420" s="158" t="s">
        <v>313</v>
      </c>
      <c r="D420" s="158" t="s">
        <v>564</v>
      </c>
      <c r="E420" s="160">
        <v>0</v>
      </c>
      <c r="F420" s="160">
        <v>76100000</v>
      </c>
      <c r="G420" s="160">
        <v>76100000</v>
      </c>
      <c r="H420" s="160">
        <v>0</v>
      </c>
      <c r="I420" s="160">
        <v>0</v>
      </c>
      <c r="J420" s="160">
        <v>0</v>
      </c>
      <c r="K420" s="160">
        <v>69564000</v>
      </c>
      <c r="L420" s="160">
        <v>0</v>
      </c>
      <c r="M420" s="160">
        <v>6536000</v>
      </c>
      <c r="N420" s="160">
        <v>6536000</v>
      </c>
    </row>
    <row r="421" spans="1:14" x14ac:dyDescent="0.25">
      <c r="A421" s="158" t="s">
        <v>569</v>
      </c>
      <c r="B421" s="158" t="s">
        <v>300</v>
      </c>
      <c r="C421" s="158" t="s">
        <v>301</v>
      </c>
      <c r="D421" s="158" t="s">
        <v>566</v>
      </c>
      <c r="E421" s="160">
        <v>54555000</v>
      </c>
      <c r="F421" s="160">
        <v>48946260</v>
      </c>
      <c r="G421" s="160">
        <v>48946260</v>
      </c>
      <c r="H421" s="160">
        <v>0</v>
      </c>
      <c r="I421" s="160">
        <v>31642125.27</v>
      </c>
      <c r="J421" s="160">
        <v>0</v>
      </c>
      <c r="K421" s="160">
        <v>5618538.4299999997</v>
      </c>
      <c r="L421" s="160">
        <v>4586978.43</v>
      </c>
      <c r="M421" s="160">
        <v>11685596.300000001</v>
      </c>
      <c r="N421" s="160">
        <v>11685596.300000001</v>
      </c>
    </row>
    <row r="422" spans="1:14" x14ac:dyDescent="0.25">
      <c r="A422" s="158" t="s">
        <v>569</v>
      </c>
      <c r="B422" s="158" t="s">
        <v>421</v>
      </c>
      <c r="C422" s="158" t="s">
        <v>524</v>
      </c>
      <c r="D422" s="158" t="s">
        <v>566</v>
      </c>
      <c r="E422" s="160">
        <v>0</v>
      </c>
      <c r="F422" s="160">
        <v>1500000</v>
      </c>
      <c r="G422" s="160">
        <v>1500000</v>
      </c>
      <c r="H422" s="160">
        <v>0</v>
      </c>
      <c r="I422" s="160">
        <v>0</v>
      </c>
      <c r="J422" s="160">
        <v>0</v>
      </c>
      <c r="K422" s="160">
        <v>0</v>
      </c>
      <c r="L422" s="160">
        <v>0</v>
      </c>
      <c r="M422" s="160">
        <v>1500000</v>
      </c>
      <c r="N422" s="160">
        <v>1500000</v>
      </c>
    </row>
    <row r="423" spans="1:14" x14ac:dyDescent="0.25">
      <c r="A423" s="158" t="s">
        <v>569</v>
      </c>
      <c r="B423" s="158" t="s">
        <v>302</v>
      </c>
      <c r="C423" s="158" t="s">
        <v>303</v>
      </c>
      <c r="D423" s="158" t="s">
        <v>566</v>
      </c>
      <c r="E423" s="160">
        <v>102953000</v>
      </c>
      <c r="F423" s="160">
        <v>45791325</v>
      </c>
      <c r="G423" s="160">
        <v>45791325</v>
      </c>
      <c r="H423" s="160">
        <v>0</v>
      </c>
      <c r="I423" s="160">
        <v>0</v>
      </c>
      <c r="J423" s="160">
        <v>0</v>
      </c>
      <c r="K423" s="160">
        <v>44249794.850000001</v>
      </c>
      <c r="L423" s="160">
        <v>7779100</v>
      </c>
      <c r="M423" s="160">
        <v>1541530.15</v>
      </c>
      <c r="N423" s="160">
        <v>1541530.15</v>
      </c>
    </row>
    <row r="424" spans="1:14" x14ac:dyDescent="0.25">
      <c r="A424" s="158" t="s">
        <v>569</v>
      </c>
      <c r="B424" s="158" t="s">
        <v>304</v>
      </c>
      <c r="C424" s="158" t="s">
        <v>305</v>
      </c>
      <c r="D424" s="158" t="s">
        <v>566</v>
      </c>
      <c r="E424" s="160">
        <v>121400000</v>
      </c>
      <c r="F424" s="160">
        <v>111043536</v>
      </c>
      <c r="G424" s="160">
        <v>111043536</v>
      </c>
      <c r="H424" s="160">
        <v>0</v>
      </c>
      <c r="I424" s="160">
        <v>40751290</v>
      </c>
      <c r="J424" s="160">
        <v>0</v>
      </c>
      <c r="K424" s="160">
        <v>64689448.600000001</v>
      </c>
      <c r="L424" s="160">
        <v>56987228.799999997</v>
      </c>
      <c r="M424" s="160">
        <v>5602797.4000000004</v>
      </c>
      <c r="N424" s="160">
        <v>5602797.4000000004</v>
      </c>
    </row>
    <row r="425" spans="1:14" x14ac:dyDescent="0.25">
      <c r="A425" s="158" t="s">
        <v>569</v>
      </c>
      <c r="B425" s="158" t="s">
        <v>306</v>
      </c>
      <c r="C425" s="158" t="s">
        <v>307</v>
      </c>
      <c r="D425" s="158" t="s">
        <v>566</v>
      </c>
      <c r="E425" s="160">
        <v>112922000</v>
      </c>
      <c r="F425" s="160">
        <v>123741016</v>
      </c>
      <c r="G425" s="160">
        <v>123741016</v>
      </c>
      <c r="H425" s="160">
        <v>0</v>
      </c>
      <c r="I425" s="160">
        <v>0</v>
      </c>
      <c r="J425" s="160">
        <v>0</v>
      </c>
      <c r="K425" s="160">
        <v>120030839.5</v>
      </c>
      <c r="L425" s="160">
        <v>95030839.5</v>
      </c>
      <c r="M425" s="160">
        <v>3710176.5</v>
      </c>
      <c r="N425" s="160">
        <v>3710176.5</v>
      </c>
    </row>
    <row r="426" spans="1:14" x14ac:dyDescent="0.25">
      <c r="A426" s="158" t="s">
        <v>569</v>
      </c>
      <c r="B426" s="158" t="s">
        <v>308</v>
      </c>
      <c r="C426" s="158" t="s">
        <v>309</v>
      </c>
      <c r="D426" s="158" t="s">
        <v>566</v>
      </c>
      <c r="E426" s="160">
        <v>17695000</v>
      </c>
      <c r="F426" s="160">
        <v>21465000</v>
      </c>
      <c r="G426" s="160">
        <v>21465000</v>
      </c>
      <c r="H426" s="160">
        <v>0</v>
      </c>
      <c r="I426" s="160">
        <v>0</v>
      </c>
      <c r="J426" s="160">
        <v>0</v>
      </c>
      <c r="K426" s="160">
        <v>21202280.75</v>
      </c>
      <c r="L426" s="160">
        <v>14202280.75</v>
      </c>
      <c r="M426" s="160">
        <v>262719.25</v>
      </c>
      <c r="N426" s="160">
        <v>262719.25</v>
      </c>
    </row>
    <row r="427" spans="1:14" x14ac:dyDescent="0.25">
      <c r="A427" s="158" t="s">
        <v>569</v>
      </c>
      <c r="B427" s="158" t="s">
        <v>310</v>
      </c>
      <c r="C427" s="158" t="s">
        <v>311</v>
      </c>
      <c r="D427" s="158" t="s">
        <v>566</v>
      </c>
      <c r="E427" s="160">
        <v>5748000</v>
      </c>
      <c r="F427" s="160">
        <v>0</v>
      </c>
      <c r="G427" s="160">
        <v>0</v>
      </c>
      <c r="H427" s="160">
        <v>0</v>
      </c>
      <c r="I427" s="160">
        <v>0</v>
      </c>
      <c r="J427" s="160">
        <v>0</v>
      </c>
      <c r="K427" s="160">
        <v>0</v>
      </c>
      <c r="L427" s="160">
        <v>0</v>
      </c>
      <c r="M427" s="160">
        <v>0</v>
      </c>
      <c r="N427" s="160">
        <v>0</v>
      </c>
    </row>
    <row r="428" spans="1:14" x14ac:dyDescent="0.25">
      <c r="A428" s="158" t="s">
        <v>569</v>
      </c>
      <c r="B428" s="158" t="s">
        <v>312</v>
      </c>
      <c r="C428" s="158" t="s">
        <v>313</v>
      </c>
      <c r="D428" s="158" t="s">
        <v>566</v>
      </c>
      <c r="E428" s="160">
        <v>349209000</v>
      </c>
      <c r="F428" s="160">
        <v>216088054</v>
      </c>
      <c r="G428" s="160">
        <v>216088053.72</v>
      </c>
      <c r="H428" s="160">
        <v>0</v>
      </c>
      <c r="I428" s="160">
        <v>10503140.199999999</v>
      </c>
      <c r="J428" s="160">
        <v>0</v>
      </c>
      <c r="K428" s="160">
        <v>153718424.06999999</v>
      </c>
      <c r="L428" s="160">
        <v>83838636.150000006</v>
      </c>
      <c r="M428" s="160">
        <v>51866489.729999997</v>
      </c>
      <c r="N428" s="160">
        <v>51866489.450000003</v>
      </c>
    </row>
    <row r="429" spans="1:14" x14ac:dyDescent="0.25">
      <c r="A429" s="158" t="s">
        <v>569</v>
      </c>
      <c r="B429" s="158" t="s">
        <v>314</v>
      </c>
      <c r="C429" s="158" t="s">
        <v>315</v>
      </c>
      <c r="D429" s="158" t="s">
        <v>564</v>
      </c>
      <c r="E429" s="160">
        <v>964368000</v>
      </c>
      <c r="F429" s="160">
        <v>1712975864</v>
      </c>
      <c r="G429" s="160">
        <v>1712975864</v>
      </c>
      <c r="H429" s="160">
        <v>0</v>
      </c>
      <c r="I429" s="160">
        <v>340459714.48000002</v>
      </c>
      <c r="J429" s="160">
        <v>0</v>
      </c>
      <c r="K429" s="160">
        <v>1362974406.52</v>
      </c>
      <c r="L429" s="160">
        <v>572463137.24000001</v>
      </c>
      <c r="M429" s="160">
        <v>9541743</v>
      </c>
      <c r="N429" s="160">
        <v>9541743</v>
      </c>
    </row>
    <row r="430" spans="1:14" x14ac:dyDescent="0.25">
      <c r="A430" s="158" t="s">
        <v>569</v>
      </c>
      <c r="B430" s="158" t="s">
        <v>316</v>
      </c>
      <c r="C430" s="158" t="s">
        <v>317</v>
      </c>
      <c r="D430" s="158" t="s">
        <v>564</v>
      </c>
      <c r="E430" s="160">
        <v>0</v>
      </c>
      <c r="F430" s="160">
        <v>6872165</v>
      </c>
      <c r="G430" s="160">
        <v>6872165</v>
      </c>
      <c r="H430" s="160">
        <v>0</v>
      </c>
      <c r="I430" s="160">
        <v>0</v>
      </c>
      <c r="J430" s="160">
        <v>0</v>
      </c>
      <c r="K430" s="160">
        <v>0</v>
      </c>
      <c r="L430" s="160">
        <v>0</v>
      </c>
      <c r="M430" s="160">
        <v>6872165</v>
      </c>
      <c r="N430" s="160">
        <v>6872165</v>
      </c>
    </row>
    <row r="431" spans="1:14" x14ac:dyDescent="0.25">
      <c r="A431" s="158" t="s">
        <v>569</v>
      </c>
      <c r="B431" s="158" t="s">
        <v>389</v>
      </c>
      <c r="C431" s="158" t="s">
        <v>390</v>
      </c>
      <c r="D431" s="158" t="s">
        <v>564</v>
      </c>
      <c r="E431" s="160">
        <v>0</v>
      </c>
      <c r="F431" s="160">
        <v>0</v>
      </c>
      <c r="G431" s="160">
        <v>0</v>
      </c>
      <c r="H431" s="160">
        <v>0</v>
      </c>
      <c r="I431" s="160">
        <v>0</v>
      </c>
      <c r="J431" s="160">
        <v>0</v>
      </c>
      <c r="K431" s="160">
        <v>0</v>
      </c>
      <c r="L431" s="160">
        <v>0</v>
      </c>
      <c r="M431" s="160">
        <v>0</v>
      </c>
      <c r="N431" s="160">
        <v>0</v>
      </c>
    </row>
    <row r="432" spans="1:14" x14ac:dyDescent="0.25">
      <c r="A432" s="158" t="s">
        <v>569</v>
      </c>
      <c r="B432" s="158" t="s">
        <v>316</v>
      </c>
      <c r="C432" s="158" t="s">
        <v>317</v>
      </c>
      <c r="D432" s="158" t="s">
        <v>566</v>
      </c>
      <c r="E432" s="160">
        <v>964368000</v>
      </c>
      <c r="F432" s="160">
        <v>1671117998</v>
      </c>
      <c r="G432" s="160">
        <v>1671117998</v>
      </c>
      <c r="H432" s="160">
        <v>0</v>
      </c>
      <c r="I432" s="160">
        <v>336018989.23000002</v>
      </c>
      <c r="J432" s="160">
        <v>0</v>
      </c>
      <c r="K432" s="160">
        <v>1334109960.52</v>
      </c>
      <c r="L432" s="160">
        <v>556143137.24000001</v>
      </c>
      <c r="M432" s="160">
        <v>989048.25</v>
      </c>
      <c r="N432" s="160">
        <v>989048.25</v>
      </c>
    </row>
    <row r="433" spans="1:14" x14ac:dyDescent="0.25">
      <c r="A433" s="158" t="s">
        <v>569</v>
      </c>
      <c r="B433" s="158" t="s">
        <v>389</v>
      </c>
      <c r="C433" s="158" t="s">
        <v>390</v>
      </c>
      <c r="D433" s="158" t="s">
        <v>566</v>
      </c>
      <c r="E433" s="160">
        <v>0</v>
      </c>
      <c r="F433" s="160">
        <v>34985701</v>
      </c>
      <c r="G433" s="160">
        <v>34985701</v>
      </c>
      <c r="H433" s="160">
        <v>0</v>
      </c>
      <c r="I433" s="160">
        <v>4440725.25</v>
      </c>
      <c r="J433" s="160">
        <v>0</v>
      </c>
      <c r="K433" s="160">
        <v>28864446</v>
      </c>
      <c r="L433" s="160">
        <v>16320000</v>
      </c>
      <c r="M433" s="160">
        <v>1680529.75</v>
      </c>
      <c r="N433" s="160">
        <v>1680529.75</v>
      </c>
    </row>
    <row r="434" spans="1:14" x14ac:dyDescent="0.25">
      <c r="A434" s="158" t="s">
        <v>569</v>
      </c>
      <c r="B434" s="158" t="s">
        <v>360</v>
      </c>
      <c r="C434" s="158" t="s">
        <v>361</v>
      </c>
      <c r="D434" s="158" t="s">
        <v>564</v>
      </c>
      <c r="E434" s="160">
        <v>61050000</v>
      </c>
      <c r="F434" s="160">
        <v>170095963</v>
      </c>
      <c r="G434" s="160">
        <v>170095962.28</v>
      </c>
      <c r="H434" s="160">
        <v>0</v>
      </c>
      <c r="I434" s="160">
        <v>0</v>
      </c>
      <c r="J434" s="160">
        <v>0</v>
      </c>
      <c r="K434" s="160">
        <v>146155499.88999999</v>
      </c>
      <c r="L434" s="160">
        <v>29659218.84</v>
      </c>
      <c r="M434" s="160">
        <v>23940463.109999999</v>
      </c>
      <c r="N434" s="160">
        <v>23940462.390000001</v>
      </c>
    </row>
    <row r="435" spans="1:14" x14ac:dyDescent="0.25">
      <c r="A435" s="158" t="s">
        <v>569</v>
      </c>
      <c r="B435" s="158" t="s">
        <v>362</v>
      </c>
      <c r="C435" s="158" t="s">
        <v>363</v>
      </c>
      <c r="D435" s="158" t="s">
        <v>564</v>
      </c>
      <c r="E435" s="160">
        <v>0</v>
      </c>
      <c r="F435" s="160">
        <v>134495963</v>
      </c>
      <c r="G435" s="160">
        <v>134495963</v>
      </c>
      <c r="H435" s="160">
        <v>0</v>
      </c>
      <c r="I435" s="160">
        <v>0</v>
      </c>
      <c r="J435" s="160">
        <v>0</v>
      </c>
      <c r="K435" s="160">
        <v>113954784.8</v>
      </c>
      <c r="L435" s="160">
        <v>17808571.800000001</v>
      </c>
      <c r="M435" s="160">
        <v>20541178.199999999</v>
      </c>
      <c r="N435" s="160">
        <v>20541178.199999999</v>
      </c>
    </row>
    <row r="436" spans="1:14" x14ac:dyDescent="0.25">
      <c r="A436" s="158" t="s">
        <v>569</v>
      </c>
      <c r="B436" s="158" t="s">
        <v>362</v>
      </c>
      <c r="C436" s="158" t="s">
        <v>363</v>
      </c>
      <c r="D436" s="158" t="s">
        <v>566</v>
      </c>
      <c r="E436" s="160">
        <v>61050000</v>
      </c>
      <c r="F436" s="160">
        <v>35600000</v>
      </c>
      <c r="G436" s="160">
        <v>35599999.280000001</v>
      </c>
      <c r="H436" s="160">
        <v>0</v>
      </c>
      <c r="I436" s="160">
        <v>0</v>
      </c>
      <c r="J436" s="160">
        <v>0</v>
      </c>
      <c r="K436" s="160">
        <v>32200715.09</v>
      </c>
      <c r="L436" s="160">
        <v>11850647.039999999</v>
      </c>
      <c r="M436" s="160">
        <v>3399284.91</v>
      </c>
      <c r="N436" s="160">
        <v>3399284.19</v>
      </c>
    </row>
    <row r="437" spans="1:14" x14ac:dyDescent="0.25">
      <c r="A437" s="158" t="s">
        <v>569</v>
      </c>
      <c r="B437" s="158" t="s">
        <v>266</v>
      </c>
      <c r="C437" s="158" t="s">
        <v>267</v>
      </c>
      <c r="D437" s="158" t="s">
        <v>564</v>
      </c>
      <c r="E437" s="160">
        <v>1670731000</v>
      </c>
      <c r="F437" s="160">
        <v>2084034358</v>
      </c>
      <c r="G437" s="160">
        <v>2084034356.4400001</v>
      </c>
      <c r="H437" s="160">
        <v>0</v>
      </c>
      <c r="I437" s="160">
        <v>292470751.04000002</v>
      </c>
      <c r="J437" s="160">
        <v>0</v>
      </c>
      <c r="K437" s="160">
        <v>1690099599.9000001</v>
      </c>
      <c r="L437" s="160">
        <v>1643595175.4000001</v>
      </c>
      <c r="M437" s="160">
        <v>101464007.06</v>
      </c>
      <c r="N437" s="160">
        <v>101464005.5</v>
      </c>
    </row>
    <row r="438" spans="1:14" x14ac:dyDescent="0.25">
      <c r="A438" s="158" t="s">
        <v>569</v>
      </c>
      <c r="B438" s="158" t="s">
        <v>268</v>
      </c>
      <c r="C438" s="158" t="s">
        <v>269</v>
      </c>
      <c r="D438" s="158" t="s">
        <v>564</v>
      </c>
      <c r="E438" s="160">
        <v>570731000</v>
      </c>
      <c r="F438" s="160">
        <v>550034358</v>
      </c>
      <c r="G438" s="160">
        <v>550034358</v>
      </c>
      <c r="H438" s="160">
        <v>0</v>
      </c>
      <c r="I438" s="160">
        <v>0</v>
      </c>
      <c r="J438" s="160">
        <v>0</v>
      </c>
      <c r="K438" s="160">
        <v>539082825</v>
      </c>
      <c r="L438" s="160">
        <v>539082825</v>
      </c>
      <c r="M438" s="160">
        <v>10951533</v>
      </c>
      <c r="N438" s="160">
        <v>10951533</v>
      </c>
    </row>
    <row r="439" spans="1:14" x14ac:dyDescent="0.25">
      <c r="A439" s="158" t="s">
        <v>569</v>
      </c>
      <c r="B439" s="158" t="s">
        <v>391</v>
      </c>
      <c r="C439" s="158" t="s">
        <v>392</v>
      </c>
      <c r="D439" s="158" t="s">
        <v>564</v>
      </c>
      <c r="E439" s="160">
        <v>179500000</v>
      </c>
      <c r="F439" s="160">
        <v>179500000</v>
      </c>
      <c r="G439" s="160">
        <v>179500000</v>
      </c>
      <c r="H439" s="160">
        <v>0</v>
      </c>
      <c r="I439" s="160">
        <v>0</v>
      </c>
      <c r="J439" s="160">
        <v>0</v>
      </c>
      <c r="K439" s="160">
        <v>179500000</v>
      </c>
      <c r="L439" s="160">
        <v>179500000</v>
      </c>
      <c r="M439" s="160">
        <v>0</v>
      </c>
      <c r="N439" s="160">
        <v>0</v>
      </c>
    </row>
    <row r="440" spans="1:14" x14ac:dyDescent="0.25">
      <c r="A440" s="158" t="s">
        <v>569</v>
      </c>
      <c r="B440" s="158" t="s">
        <v>393</v>
      </c>
      <c r="C440" s="158" t="s">
        <v>275</v>
      </c>
      <c r="D440" s="158" t="s">
        <v>564</v>
      </c>
      <c r="E440" s="160">
        <v>273390000</v>
      </c>
      <c r="F440" s="160">
        <v>258614033</v>
      </c>
      <c r="G440" s="160">
        <v>258614033</v>
      </c>
      <c r="H440" s="160">
        <v>0</v>
      </c>
      <c r="I440" s="160">
        <v>0</v>
      </c>
      <c r="J440" s="160">
        <v>0</v>
      </c>
      <c r="K440" s="160">
        <v>251274749</v>
      </c>
      <c r="L440" s="160">
        <v>251274749</v>
      </c>
      <c r="M440" s="160">
        <v>7339284</v>
      </c>
      <c r="N440" s="160">
        <v>7339284</v>
      </c>
    </row>
    <row r="441" spans="1:14" x14ac:dyDescent="0.25">
      <c r="A441" s="158" t="s">
        <v>569</v>
      </c>
      <c r="B441" s="158" t="s">
        <v>394</v>
      </c>
      <c r="C441" s="158" t="s">
        <v>277</v>
      </c>
      <c r="D441" s="158" t="s">
        <v>564</v>
      </c>
      <c r="E441" s="160">
        <v>117841000</v>
      </c>
      <c r="F441" s="160">
        <v>111920325</v>
      </c>
      <c r="G441" s="160">
        <v>111920325</v>
      </c>
      <c r="H441" s="160">
        <v>0</v>
      </c>
      <c r="I441" s="160">
        <v>0</v>
      </c>
      <c r="J441" s="160">
        <v>0</v>
      </c>
      <c r="K441" s="160">
        <v>108308076</v>
      </c>
      <c r="L441" s="160">
        <v>108308076</v>
      </c>
      <c r="M441" s="160">
        <v>3612249</v>
      </c>
      <c r="N441" s="160">
        <v>3612249</v>
      </c>
    </row>
    <row r="442" spans="1:14" x14ac:dyDescent="0.25">
      <c r="A442" s="158" t="s">
        <v>569</v>
      </c>
      <c r="B442" s="158" t="s">
        <v>395</v>
      </c>
      <c r="C442" s="158" t="s">
        <v>396</v>
      </c>
      <c r="D442" s="158" t="s">
        <v>564</v>
      </c>
      <c r="E442" s="160">
        <v>400000000</v>
      </c>
      <c r="F442" s="160">
        <v>450000000</v>
      </c>
      <c r="G442" s="160">
        <v>450000000</v>
      </c>
      <c r="H442" s="160">
        <v>0</v>
      </c>
      <c r="I442" s="160">
        <v>40000000</v>
      </c>
      <c r="J442" s="160">
        <v>0</v>
      </c>
      <c r="K442" s="160">
        <v>333000000</v>
      </c>
      <c r="L442" s="160">
        <v>333000000</v>
      </c>
      <c r="M442" s="160">
        <v>77000000</v>
      </c>
      <c r="N442" s="160">
        <v>77000000</v>
      </c>
    </row>
    <row r="443" spans="1:14" x14ac:dyDescent="0.25">
      <c r="A443" s="158" t="s">
        <v>569</v>
      </c>
      <c r="B443" s="158" t="s">
        <v>397</v>
      </c>
      <c r="C443" s="158" t="s">
        <v>398</v>
      </c>
      <c r="D443" s="158" t="s">
        <v>564</v>
      </c>
      <c r="E443" s="160">
        <v>400000000</v>
      </c>
      <c r="F443" s="160">
        <v>450000000</v>
      </c>
      <c r="G443" s="160">
        <v>450000000</v>
      </c>
      <c r="H443" s="160">
        <v>0</v>
      </c>
      <c r="I443" s="160">
        <v>40000000</v>
      </c>
      <c r="J443" s="160">
        <v>0</v>
      </c>
      <c r="K443" s="160">
        <v>333000000</v>
      </c>
      <c r="L443" s="160">
        <v>333000000</v>
      </c>
      <c r="M443" s="160">
        <v>77000000</v>
      </c>
      <c r="N443" s="160">
        <v>77000000</v>
      </c>
    </row>
    <row r="444" spans="1:14" x14ac:dyDescent="0.25">
      <c r="A444" s="158" t="s">
        <v>569</v>
      </c>
      <c r="B444" s="158" t="s">
        <v>278</v>
      </c>
      <c r="C444" s="158" t="s">
        <v>279</v>
      </c>
      <c r="D444" s="158" t="s">
        <v>564</v>
      </c>
      <c r="E444" s="160">
        <v>620000000</v>
      </c>
      <c r="F444" s="160">
        <v>876000000</v>
      </c>
      <c r="G444" s="160">
        <v>875999999.25999999</v>
      </c>
      <c r="H444" s="160">
        <v>0</v>
      </c>
      <c r="I444" s="160">
        <v>86877270.700000003</v>
      </c>
      <c r="J444" s="160">
        <v>0</v>
      </c>
      <c r="K444" s="160">
        <v>775622406.05999994</v>
      </c>
      <c r="L444" s="160">
        <v>729117981.55999994</v>
      </c>
      <c r="M444" s="160">
        <v>13500323.24</v>
      </c>
      <c r="N444" s="160">
        <v>13500322.5</v>
      </c>
    </row>
    <row r="445" spans="1:14" x14ac:dyDescent="0.25">
      <c r="A445" s="158" t="s">
        <v>569</v>
      </c>
      <c r="B445" s="158" t="s">
        <v>280</v>
      </c>
      <c r="C445" s="158" t="s">
        <v>281</v>
      </c>
      <c r="D445" s="158" t="s">
        <v>564</v>
      </c>
      <c r="E445" s="160">
        <v>380000000</v>
      </c>
      <c r="F445" s="160">
        <v>591000000</v>
      </c>
      <c r="G445" s="160">
        <v>590999999.25999999</v>
      </c>
      <c r="H445" s="160">
        <v>0</v>
      </c>
      <c r="I445" s="160">
        <v>86877270.700000003</v>
      </c>
      <c r="J445" s="160">
        <v>0</v>
      </c>
      <c r="K445" s="160">
        <v>504122728.56</v>
      </c>
      <c r="L445" s="160">
        <v>504122728.56</v>
      </c>
      <c r="M445" s="160">
        <v>0.74</v>
      </c>
      <c r="N445" s="160">
        <v>0</v>
      </c>
    </row>
    <row r="446" spans="1:14" x14ac:dyDescent="0.25">
      <c r="A446" s="158" t="s">
        <v>569</v>
      </c>
      <c r="B446" s="158" t="s">
        <v>282</v>
      </c>
      <c r="C446" s="158" t="s">
        <v>283</v>
      </c>
      <c r="D446" s="158" t="s">
        <v>564</v>
      </c>
      <c r="E446" s="160">
        <v>240000000</v>
      </c>
      <c r="F446" s="160">
        <v>285000000</v>
      </c>
      <c r="G446" s="160">
        <v>285000000</v>
      </c>
      <c r="H446" s="160">
        <v>0</v>
      </c>
      <c r="I446" s="160">
        <v>0</v>
      </c>
      <c r="J446" s="160">
        <v>0</v>
      </c>
      <c r="K446" s="160">
        <v>271499677.5</v>
      </c>
      <c r="L446" s="160">
        <v>224995253</v>
      </c>
      <c r="M446" s="160">
        <v>13500322.5</v>
      </c>
      <c r="N446" s="160">
        <v>13500322.5</v>
      </c>
    </row>
    <row r="447" spans="1:14" x14ac:dyDescent="0.25">
      <c r="A447" s="158" t="s">
        <v>569</v>
      </c>
      <c r="B447" s="158" t="s">
        <v>284</v>
      </c>
      <c r="C447" s="158" t="s">
        <v>285</v>
      </c>
      <c r="D447" s="158" t="s">
        <v>564</v>
      </c>
      <c r="E447" s="160">
        <v>80000000</v>
      </c>
      <c r="F447" s="160">
        <v>208000000</v>
      </c>
      <c r="G447" s="160">
        <v>207999999.18000001</v>
      </c>
      <c r="H447" s="160">
        <v>0</v>
      </c>
      <c r="I447" s="160">
        <v>165593480.34</v>
      </c>
      <c r="J447" s="160">
        <v>0</v>
      </c>
      <c r="K447" s="160">
        <v>42394368.840000004</v>
      </c>
      <c r="L447" s="160">
        <v>42394368.840000004</v>
      </c>
      <c r="M447" s="160">
        <v>12150.82</v>
      </c>
      <c r="N447" s="160">
        <v>12150</v>
      </c>
    </row>
    <row r="448" spans="1:14" x14ac:dyDescent="0.25">
      <c r="A448" s="158" t="s">
        <v>569</v>
      </c>
      <c r="B448" s="158" t="s">
        <v>286</v>
      </c>
      <c r="C448" s="158" t="s">
        <v>287</v>
      </c>
      <c r="D448" s="158" t="s">
        <v>564</v>
      </c>
      <c r="E448" s="160">
        <v>60000000</v>
      </c>
      <c r="F448" s="160">
        <v>163000000</v>
      </c>
      <c r="G448" s="160">
        <v>162999999.18000001</v>
      </c>
      <c r="H448" s="160">
        <v>0</v>
      </c>
      <c r="I448" s="160">
        <v>143345437.58000001</v>
      </c>
      <c r="J448" s="160">
        <v>0</v>
      </c>
      <c r="K448" s="160">
        <v>19642411.600000001</v>
      </c>
      <c r="L448" s="160">
        <v>19642411.600000001</v>
      </c>
      <c r="M448" s="160">
        <v>12150.82</v>
      </c>
      <c r="N448" s="160">
        <v>12150</v>
      </c>
    </row>
    <row r="449" spans="1:14" x14ac:dyDescent="0.25">
      <c r="A449" s="158" t="s">
        <v>569</v>
      </c>
      <c r="B449" s="158" t="s">
        <v>288</v>
      </c>
      <c r="C449" s="158" t="s">
        <v>289</v>
      </c>
      <c r="D449" s="158" t="s">
        <v>564</v>
      </c>
      <c r="E449" s="160">
        <v>20000000</v>
      </c>
      <c r="F449" s="160">
        <v>45000000</v>
      </c>
      <c r="G449" s="160">
        <v>45000000</v>
      </c>
      <c r="H449" s="160">
        <v>0</v>
      </c>
      <c r="I449" s="160">
        <v>22248042.760000002</v>
      </c>
      <c r="J449" s="160">
        <v>0</v>
      </c>
      <c r="K449" s="160">
        <v>22751957.239999998</v>
      </c>
      <c r="L449" s="160">
        <v>22751957.239999998</v>
      </c>
      <c r="M449" s="160">
        <v>0</v>
      </c>
      <c r="N449" s="160">
        <v>0</v>
      </c>
    </row>
    <row r="450" spans="1:14" x14ac:dyDescent="0.25">
      <c r="A450" s="158" t="s">
        <v>569</v>
      </c>
      <c r="B450" s="158" t="s">
        <v>399</v>
      </c>
      <c r="C450" s="158" t="s">
        <v>400</v>
      </c>
      <c r="D450" s="158" t="s">
        <v>564</v>
      </c>
      <c r="E450" s="160">
        <v>3907500000</v>
      </c>
      <c r="F450" s="160">
        <v>9226263836</v>
      </c>
      <c r="G450" s="160">
        <v>9226263835</v>
      </c>
      <c r="H450" s="160">
        <v>0</v>
      </c>
      <c r="I450" s="160">
        <v>0</v>
      </c>
      <c r="J450" s="160">
        <v>0</v>
      </c>
      <c r="K450" s="160">
        <v>9226263835</v>
      </c>
      <c r="L450" s="160">
        <v>8747052594</v>
      </c>
      <c r="M450" s="160">
        <v>1</v>
      </c>
      <c r="N450" s="160">
        <v>0</v>
      </c>
    </row>
    <row r="451" spans="1:14" x14ac:dyDescent="0.25">
      <c r="A451" s="158" t="s">
        <v>569</v>
      </c>
      <c r="B451" s="158" t="s">
        <v>401</v>
      </c>
      <c r="C451" s="158" t="s">
        <v>402</v>
      </c>
      <c r="D451" s="158" t="s">
        <v>564</v>
      </c>
      <c r="E451" s="160">
        <v>3907500000</v>
      </c>
      <c r="F451" s="160">
        <v>9226263836</v>
      </c>
      <c r="G451" s="160">
        <v>9226263835</v>
      </c>
      <c r="H451" s="160">
        <v>0</v>
      </c>
      <c r="I451" s="160">
        <v>0</v>
      </c>
      <c r="J451" s="160">
        <v>0</v>
      </c>
      <c r="K451" s="160">
        <v>9226263835</v>
      </c>
      <c r="L451" s="160">
        <v>8747052594</v>
      </c>
      <c r="M451" s="160">
        <v>1</v>
      </c>
      <c r="N451" s="160">
        <v>0</v>
      </c>
    </row>
    <row r="452" spans="1:14" x14ac:dyDescent="0.25">
      <c r="A452" s="158" t="s">
        <v>569</v>
      </c>
      <c r="B452" s="158" t="s">
        <v>403</v>
      </c>
      <c r="C452" s="158" t="s">
        <v>404</v>
      </c>
      <c r="D452" s="158" t="s">
        <v>564</v>
      </c>
      <c r="E452" s="160">
        <v>0</v>
      </c>
      <c r="F452" s="160">
        <v>4883376984</v>
      </c>
      <c r="G452" s="160">
        <v>4883376984</v>
      </c>
      <c r="H452" s="160">
        <v>0</v>
      </c>
      <c r="I452" s="160">
        <v>0</v>
      </c>
      <c r="J452" s="160">
        <v>0</v>
      </c>
      <c r="K452" s="160">
        <v>4883376984</v>
      </c>
      <c r="L452" s="160">
        <v>4417911743</v>
      </c>
      <c r="M452" s="160">
        <v>0</v>
      </c>
      <c r="N452" s="160">
        <v>0</v>
      </c>
    </row>
    <row r="453" spans="1:14" x14ac:dyDescent="0.25">
      <c r="A453" s="158" t="s">
        <v>569</v>
      </c>
      <c r="B453" s="158" t="s">
        <v>403</v>
      </c>
      <c r="C453" s="158" t="s">
        <v>404</v>
      </c>
      <c r="D453" s="158" t="s">
        <v>566</v>
      </c>
      <c r="E453" s="160">
        <v>3907500000</v>
      </c>
      <c r="F453" s="160">
        <v>4342886852</v>
      </c>
      <c r="G453" s="160">
        <v>4342886851</v>
      </c>
      <c r="H453" s="160">
        <v>0</v>
      </c>
      <c r="I453" s="160">
        <v>0</v>
      </c>
      <c r="J453" s="160">
        <v>0</v>
      </c>
      <c r="K453" s="160">
        <v>4342886851</v>
      </c>
      <c r="L453" s="160">
        <v>4329140851</v>
      </c>
      <c r="M453" s="160">
        <v>1</v>
      </c>
      <c r="N453" s="160">
        <v>0</v>
      </c>
    </row>
    <row r="454" spans="1:14" s="65" customFormat="1" x14ac:dyDescent="0.25">
      <c r="A454" s="176">
        <v>214784</v>
      </c>
      <c r="B454" s="176"/>
      <c r="C454" s="176"/>
      <c r="D454" s="176" t="s">
        <v>564</v>
      </c>
      <c r="E454" s="177">
        <v>13572069000</v>
      </c>
      <c r="F454" s="177">
        <v>13185804425</v>
      </c>
      <c r="G454" s="177">
        <v>13182900025</v>
      </c>
      <c r="H454" s="177">
        <v>0</v>
      </c>
      <c r="I454" s="177">
        <v>45225337.100000001</v>
      </c>
      <c r="J454" s="177">
        <v>0</v>
      </c>
      <c r="K454" s="177">
        <v>12084620526.450001</v>
      </c>
      <c r="L454" s="177">
        <v>9970873345.2399998</v>
      </c>
      <c r="M454" s="177">
        <v>1055958561.45</v>
      </c>
      <c r="N454" s="177">
        <v>1053054161.45</v>
      </c>
    </row>
    <row r="455" spans="1:14" x14ac:dyDescent="0.25">
      <c r="A455" s="158" t="s">
        <v>570</v>
      </c>
      <c r="B455" s="158" t="s">
        <v>100</v>
      </c>
      <c r="C455" s="158" t="s">
        <v>101</v>
      </c>
      <c r="D455" s="158" t="s">
        <v>564</v>
      </c>
      <c r="E455" s="160">
        <v>13144992000</v>
      </c>
      <c r="F455" s="160">
        <v>12572719482</v>
      </c>
      <c r="G455" s="160">
        <v>12569815082</v>
      </c>
      <c r="H455" s="160">
        <v>0</v>
      </c>
      <c r="I455" s="160">
        <v>45225337.100000001</v>
      </c>
      <c r="J455" s="160">
        <v>0</v>
      </c>
      <c r="K455" s="160">
        <v>11759912600.09</v>
      </c>
      <c r="L455" s="160">
        <v>9650369752.3799992</v>
      </c>
      <c r="M455" s="160">
        <v>767581544.80999994</v>
      </c>
      <c r="N455" s="160">
        <v>764677144.80999994</v>
      </c>
    </row>
    <row r="456" spans="1:14" x14ac:dyDescent="0.25">
      <c r="A456" s="158" t="s">
        <v>570</v>
      </c>
      <c r="B456" s="158" t="s">
        <v>102</v>
      </c>
      <c r="C456" s="158" t="s">
        <v>103</v>
      </c>
      <c r="D456" s="158" t="s">
        <v>564</v>
      </c>
      <c r="E456" s="160">
        <v>4259544000</v>
      </c>
      <c r="F456" s="160">
        <v>4153286525</v>
      </c>
      <c r="G456" s="160">
        <v>4150382125</v>
      </c>
      <c r="H456" s="160">
        <v>0</v>
      </c>
      <c r="I456" s="160">
        <v>0</v>
      </c>
      <c r="J456" s="160">
        <v>0</v>
      </c>
      <c r="K456" s="160">
        <v>3856557325.96</v>
      </c>
      <c r="L456" s="160">
        <v>3214258973.8499999</v>
      </c>
      <c r="M456" s="160">
        <v>296729199.04000002</v>
      </c>
      <c r="N456" s="160">
        <v>293824799.04000002</v>
      </c>
    </row>
    <row r="457" spans="1:14" x14ac:dyDescent="0.25">
      <c r="A457" s="158" t="s">
        <v>570</v>
      </c>
      <c r="B457" s="158" t="s">
        <v>104</v>
      </c>
      <c r="C457" s="158" t="s">
        <v>105</v>
      </c>
      <c r="D457" s="158" t="s">
        <v>564</v>
      </c>
      <c r="E457" s="160">
        <v>4259544000</v>
      </c>
      <c r="F457" s="160">
        <v>4153286525</v>
      </c>
      <c r="G457" s="160">
        <v>4150382125</v>
      </c>
      <c r="H457" s="160">
        <v>0</v>
      </c>
      <c r="I457" s="160">
        <v>0</v>
      </c>
      <c r="J457" s="160">
        <v>0</v>
      </c>
      <c r="K457" s="160">
        <v>3856557325.96</v>
      </c>
      <c r="L457" s="160">
        <v>3214258973.8499999</v>
      </c>
      <c r="M457" s="160">
        <v>296729199.04000002</v>
      </c>
      <c r="N457" s="160">
        <v>293824799.04000002</v>
      </c>
    </row>
    <row r="458" spans="1:14" x14ac:dyDescent="0.25">
      <c r="A458" s="158" t="s">
        <v>570</v>
      </c>
      <c r="B458" s="158" t="s">
        <v>110</v>
      </c>
      <c r="C458" s="158" t="s">
        <v>111</v>
      </c>
      <c r="D458" s="158" t="s">
        <v>564</v>
      </c>
      <c r="E458" s="160">
        <v>6779688000</v>
      </c>
      <c r="F458" s="160">
        <v>6429987965</v>
      </c>
      <c r="G458" s="160">
        <v>6429987965</v>
      </c>
      <c r="H458" s="160">
        <v>0</v>
      </c>
      <c r="I458" s="160">
        <v>0</v>
      </c>
      <c r="J458" s="160">
        <v>0</v>
      </c>
      <c r="K458" s="160">
        <v>6138449643.4200001</v>
      </c>
      <c r="L458" s="160">
        <v>4671205147.8199997</v>
      </c>
      <c r="M458" s="160">
        <v>291538321.57999998</v>
      </c>
      <c r="N458" s="160">
        <v>291538321.57999998</v>
      </c>
    </row>
    <row r="459" spans="1:14" x14ac:dyDescent="0.25">
      <c r="A459" s="158" t="s">
        <v>570</v>
      </c>
      <c r="B459" s="158" t="s">
        <v>112</v>
      </c>
      <c r="C459" s="158" t="s">
        <v>113</v>
      </c>
      <c r="D459" s="158" t="s">
        <v>564</v>
      </c>
      <c r="E459" s="160">
        <v>1639659000</v>
      </c>
      <c r="F459" s="160">
        <v>1498962175</v>
      </c>
      <c r="G459" s="160">
        <v>1498962175</v>
      </c>
      <c r="H459" s="160">
        <v>0</v>
      </c>
      <c r="I459" s="160">
        <v>0</v>
      </c>
      <c r="J459" s="160">
        <v>0</v>
      </c>
      <c r="K459" s="160">
        <v>1391823600.0899999</v>
      </c>
      <c r="L459" s="160">
        <v>1159468967.0899999</v>
      </c>
      <c r="M459" s="160">
        <v>107138574.91</v>
      </c>
      <c r="N459" s="160">
        <v>107138574.91</v>
      </c>
    </row>
    <row r="460" spans="1:14" x14ac:dyDescent="0.25">
      <c r="A460" s="158" t="s">
        <v>570</v>
      </c>
      <c r="B460" s="158" t="s">
        <v>114</v>
      </c>
      <c r="C460" s="158" t="s">
        <v>115</v>
      </c>
      <c r="D460" s="158" t="s">
        <v>564</v>
      </c>
      <c r="E460" s="160">
        <v>2386668000</v>
      </c>
      <c r="F460" s="160">
        <v>2237829016</v>
      </c>
      <c r="G460" s="160">
        <v>2237829016</v>
      </c>
      <c r="H460" s="160">
        <v>0</v>
      </c>
      <c r="I460" s="160">
        <v>0</v>
      </c>
      <c r="J460" s="160">
        <v>0</v>
      </c>
      <c r="K460" s="160">
        <v>2194071901.3000002</v>
      </c>
      <c r="L460" s="160">
        <v>1829338703.6500001</v>
      </c>
      <c r="M460" s="160">
        <v>43757114.700000003</v>
      </c>
      <c r="N460" s="160">
        <v>43757114.700000003</v>
      </c>
    </row>
    <row r="461" spans="1:14" x14ac:dyDescent="0.25">
      <c r="A461" s="158" t="s">
        <v>570</v>
      </c>
      <c r="B461" s="158" t="s">
        <v>116</v>
      </c>
      <c r="C461" s="158" t="s">
        <v>117</v>
      </c>
      <c r="D461" s="158" t="s">
        <v>564</v>
      </c>
      <c r="E461" s="160">
        <v>725000000</v>
      </c>
      <c r="F461" s="160">
        <v>725000000</v>
      </c>
      <c r="G461" s="160">
        <v>725000000</v>
      </c>
      <c r="H461" s="160">
        <v>0</v>
      </c>
      <c r="I461" s="160">
        <v>0</v>
      </c>
      <c r="J461" s="160">
        <v>0</v>
      </c>
      <c r="K461" s="160">
        <v>691884388.85000002</v>
      </c>
      <c r="L461" s="160">
        <v>45066.49</v>
      </c>
      <c r="M461" s="160">
        <v>33115611.149999999</v>
      </c>
      <c r="N461" s="160">
        <v>33115611.149999999</v>
      </c>
    </row>
    <row r="462" spans="1:14" x14ac:dyDescent="0.25">
      <c r="A462" s="158" t="s">
        <v>570</v>
      </c>
      <c r="B462" s="158" t="s">
        <v>118</v>
      </c>
      <c r="C462" s="158" t="s">
        <v>119</v>
      </c>
      <c r="D462" s="158" t="s">
        <v>564</v>
      </c>
      <c r="E462" s="160">
        <v>1228361000</v>
      </c>
      <c r="F462" s="160">
        <v>1168196774</v>
      </c>
      <c r="G462" s="160">
        <v>1168196774</v>
      </c>
      <c r="H462" s="160">
        <v>0</v>
      </c>
      <c r="I462" s="160">
        <v>0</v>
      </c>
      <c r="J462" s="160">
        <v>0</v>
      </c>
      <c r="K462" s="160">
        <v>1083238478.8</v>
      </c>
      <c r="L462" s="160">
        <v>904921136.21000004</v>
      </c>
      <c r="M462" s="160">
        <v>84958295.200000003</v>
      </c>
      <c r="N462" s="160">
        <v>84958295.200000003</v>
      </c>
    </row>
    <row r="463" spans="1:14" x14ac:dyDescent="0.25">
      <c r="A463" s="158" t="s">
        <v>570</v>
      </c>
      <c r="B463" s="158" t="s">
        <v>120</v>
      </c>
      <c r="C463" s="158" t="s">
        <v>121</v>
      </c>
      <c r="D463" s="158" t="s">
        <v>566</v>
      </c>
      <c r="E463" s="160">
        <v>800000000</v>
      </c>
      <c r="F463" s="160">
        <v>800000000</v>
      </c>
      <c r="G463" s="160">
        <v>800000000</v>
      </c>
      <c r="H463" s="160">
        <v>0</v>
      </c>
      <c r="I463" s="160">
        <v>0</v>
      </c>
      <c r="J463" s="160">
        <v>0</v>
      </c>
      <c r="K463" s="160">
        <v>777431274.38</v>
      </c>
      <c r="L463" s="160">
        <v>777431274.38</v>
      </c>
      <c r="M463" s="160">
        <v>22568725.620000001</v>
      </c>
      <c r="N463" s="160">
        <v>22568725.620000001</v>
      </c>
    </row>
    <row r="464" spans="1:14" x14ac:dyDescent="0.25">
      <c r="A464" s="158" t="s">
        <v>570</v>
      </c>
      <c r="B464" s="158" t="s">
        <v>122</v>
      </c>
      <c r="C464" s="158" t="s">
        <v>123</v>
      </c>
      <c r="D464" s="158" t="s">
        <v>564</v>
      </c>
      <c r="E464" s="160">
        <v>998326000</v>
      </c>
      <c r="F464" s="160">
        <v>925969965</v>
      </c>
      <c r="G464" s="160">
        <v>925969965</v>
      </c>
      <c r="H464" s="160">
        <v>0</v>
      </c>
      <c r="I464" s="160">
        <v>4770904.04</v>
      </c>
      <c r="J464" s="160">
        <v>0</v>
      </c>
      <c r="K464" s="160">
        <v>899724146</v>
      </c>
      <c r="L464" s="160">
        <v>899724146</v>
      </c>
      <c r="M464" s="160">
        <v>21474914.960000001</v>
      </c>
      <c r="N464" s="160">
        <v>21474914.960000001</v>
      </c>
    </row>
    <row r="465" spans="1:14" x14ac:dyDescent="0.25">
      <c r="A465" s="158" t="s">
        <v>570</v>
      </c>
      <c r="B465" s="158" t="s">
        <v>405</v>
      </c>
      <c r="C465" s="158" t="s">
        <v>125</v>
      </c>
      <c r="D465" s="158" t="s">
        <v>564</v>
      </c>
      <c r="E465" s="160">
        <v>947129000</v>
      </c>
      <c r="F465" s="160">
        <v>877067274</v>
      </c>
      <c r="G465" s="160">
        <v>877067274</v>
      </c>
      <c r="H465" s="160">
        <v>0</v>
      </c>
      <c r="I465" s="160">
        <v>3077861.53</v>
      </c>
      <c r="J465" s="160">
        <v>0</v>
      </c>
      <c r="K465" s="160">
        <v>853615776</v>
      </c>
      <c r="L465" s="160">
        <v>853615776</v>
      </c>
      <c r="M465" s="160">
        <v>20373636.469999999</v>
      </c>
      <c r="N465" s="160">
        <v>20373636.469999999</v>
      </c>
    </row>
    <row r="466" spans="1:14" x14ac:dyDescent="0.25">
      <c r="A466" s="158" t="s">
        <v>570</v>
      </c>
      <c r="B466" s="158" t="s">
        <v>406</v>
      </c>
      <c r="C466" s="158" t="s">
        <v>127</v>
      </c>
      <c r="D466" s="158" t="s">
        <v>564</v>
      </c>
      <c r="E466" s="160">
        <v>51197000</v>
      </c>
      <c r="F466" s="160">
        <v>48902691</v>
      </c>
      <c r="G466" s="160">
        <v>48902691</v>
      </c>
      <c r="H466" s="160">
        <v>0</v>
      </c>
      <c r="I466" s="160">
        <v>1693042.51</v>
      </c>
      <c r="J466" s="160">
        <v>0</v>
      </c>
      <c r="K466" s="160">
        <v>46108370</v>
      </c>
      <c r="L466" s="160">
        <v>46108370</v>
      </c>
      <c r="M466" s="160">
        <v>1101278.49</v>
      </c>
      <c r="N466" s="160">
        <v>1101278.49</v>
      </c>
    </row>
    <row r="467" spans="1:14" x14ac:dyDescent="0.25">
      <c r="A467" s="158" t="s">
        <v>570</v>
      </c>
      <c r="B467" s="158" t="s">
        <v>128</v>
      </c>
      <c r="C467" s="158" t="s">
        <v>129</v>
      </c>
      <c r="D467" s="158" t="s">
        <v>564</v>
      </c>
      <c r="E467" s="160">
        <v>1107434000</v>
      </c>
      <c r="F467" s="160">
        <v>1063475027</v>
      </c>
      <c r="G467" s="160">
        <v>1063475027</v>
      </c>
      <c r="H467" s="160">
        <v>0</v>
      </c>
      <c r="I467" s="160">
        <v>40454433.060000002</v>
      </c>
      <c r="J467" s="160">
        <v>0</v>
      </c>
      <c r="K467" s="160">
        <v>865181484.71000004</v>
      </c>
      <c r="L467" s="160">
        <v>865181484.71000004</v>
      </c>
      <c r="M467" s="160">
        <v>157839109.22999999</v>
      </c>
      <c r="N467" s="160">
        <v>157839109.22999999</v>
      </c>
    </row>
    <row r="468" spans="1:14" x14ac:dyDescent="0.25">
      <c r="A468" s="158" t="s">
        <v>570</v>
      </c>
      <c r="B468" s="158" t="s">
        <v>407</v>
      </c>
      <c r="C468" s="158" t="s">
        <v>131</v>
      </c>
      <c r="D468" s="158" t="s">
        <v>564</v>
      </c>
      <c r="E468" s="160">
        <v>520153000</v>
      </c>
      <c r="F468" s="160">
        <v>496842813</v>
      </c>
      <c r="G468" s="160">
        <v>496842813</v>
      </c>
      <c r="H468" s="160">
        <v>0</v>
      </c>
      <c r="I468" s="160">
        <v>25222840.43</v>
      </c>
      <c r="J468" s="160">
        <v>0</v>
      </c>
      <c r="K468" s="160">
        <v>350430989</v>
      </c>
      <c r="L468" s="160">
        <v>350430989</v>
      </c>
      <c r="M468" s="160">
        <v>121188983.56999999</v>
      </c>
      <c r="N468" s="160">
        <v>121188983.56999999</v>
      </c>
    </row>
    <row r="469" spans="1:14" x14ac:dyDescent="0.25">
      <c r="A469" s="158" t="s">
        <v>570</v>
      </c>
      <c r="B469" s="158" t="s">
        <v>408</v>
      </c>
      <c r="C469" s="158" t="s">
        <v>133</v>
      </c>
      <c r="D469" s="158" t="s">
        <v>564</v>
      </c>
      <c r="E469" s="160">
        <v>153589000</v>
      </c>
      <c r="F469" s="160">
        <v>146706071</v>
      </c>
      <c r="G469" s="160">
        <v>146706071</v>
      </c>
      <c r="H469" s="160">
        <v>0</v>
      </c>
      <c r="I469" s="160">
        <v>5077559.54</v>
      </c>
      <c r="J469" s="160">
        <v>0</v>
      </c>
      <c r="K469" s="160">
        <v>138324678</v>
      </c>
      <c r="L469" s="160">
        <v>138324678</v>
      </c>
      <c r="M469" s="160">
        <v>3303833.46</v>
      </c>
      <c r="N469" s="160">
        <v>3303833.46</v>
      </c>
    </row>
    <row r="470" spans="1:14" x14ac:dyDescent="0.25">
      <c r="A470" s="158" t="s">
        <v>570</v>
      </c>
      <c r="B470" s="158" t="s">
        <v>409</v>
      </c>
      <c r="C470" s="158" t="s">
        <v>135</v>
      </c>
      <c r="D470" s="158" t="s">
        <v>564</v>
      </c>
      <c r="E470" s="160">
        <v>307177000</v>
      </c>
      <c r="F470" s="160">
        <v>293411143</v>
      </c>
      <c r="G470" s="160">
        <v>293411143</v>
      </c>
      <c r="H470" s="160">
        <v>0</v>
      </c>
      <c r="I470" s="160">
        <v>10154033.09</v>
      </c>
      <c r="J470" s="160">
        <v>0</v>
      </c>
      <c r="K470" s="160">
        <v>276649439</v>
      </c>
      <c r="L470" s="160">
        <v>276649439</v>
      </c>
      <c r="M470" s="160">
        <v>6607670.9100000001</v>
      </c>
      <c r="N470" s="160">
        <v>6607670.9100000001</v>
      </c>
    </row>
    <row r="471" spans="1:14" x14ac:dyDescent="0.25">
      <c r="A471" s="158" t="s">
        <v>570</v>
      </c>
      <c r="B471" s="158" t="s">
        <v>410</v>
      </c>
      <c r="C471" s="158" t="s">
        <v>411</v>
      </c>
      <c r="D471" s="158" t="s">
        <v>564</v>
      </c>
      <c r="E471" s="160">
        <v>126515000</v>
      </c>
      <c r="F471" s="160">
        <v>126515000</v>
      </c>
      <c r="G471" s="160">
        <v>126515000</v>
      </c>
      <c r="H471" s="160">
        <v>0</v>
      </c>
      <c r="I471" s="160">
        <v>0</v>
      </c>
      <c r="J471" s="160">
        <v>0</v>
      </c>
      <c r="K471" s="160">
        <v>99776378.709999993</v>
      </c>
      <c r="L471" s="160">
        <v>99776378.709999993</v>
      </c>
      <c r="M471" s="160">
        <v>26738621.289999999</v>
      </c>
      <c r="N471" s="160">
        <v>26738621.289999999</v>
      </c>
    </row>
    <row r="472" spans="1:14" x14ac:dyDescent="0.25">
      <c r="A472" s="158" t="s">
        <v>570</v>
      </c>
      <c r="B472" s="158" t="s">
        <v>136</v>
      </c>
      <c r="C472" s="158" t="s">
        <v>137</v>
      </c>
      <c r="D472" s="158" t="s">
        <v>564</v>
      </c>
      <c r="E472" s="160">
        <v>37000000</v>
      </c>
      <c r="F472" s="160">
        <v>38200002</v>
      </c>
      <c r="G472" s="160">
        <v>38200002</v>
      </c>
      <c r="H472" s="160">
        <v>0</v>
      </c>
      <c r="I472" s="160">
        <v>0</v>
      </c>
      <c r="J472" s="160">
        <v>0</v>
      </c>
      <c r="K472" s="160">
        <v>34632502</v>
      </c>
      <c r="L472" s="160">
        <v>34632502</v>
      </c>
      <c r="M472" s="160">
        <v>3567500</v>
      </c>
      <c r="N472" s="160">
        <v>3567500</v>
      </c>
    </row>
    <row r="473" spans="1:14" x14ac:dyDescent="0.25">
      <c r="A473" s="158" t="s">
        <v>570</v>
      </c>
      <c r="B473" s="158" t="s">
        <v>182</v>
      </c>
      <c r="C473" s="158" t="s">
        <v>183</v>
      </c>
      <c r="D473" s="158" t="s">
        <v>564</v>
      </c>
      <c r="E473" s="160">
        <v>37000000</v>
      </c>
      <c r="F473" s="160">
        <v>38200002</v>
      </c>
      <c r="G473" s="160">
        <v>38200002</v>
      </c>
      <c r="H473" s="160">
        <v>0</v>
      </c>
      <c r="I473" s="160">
        <v>0</v>
      </c>
      <c r="J473" s="160">
        <v>0</v>
      </c>
      <c r="K473" s="160">
        <v>34632502</v>
      </c>
      <c r="L473" s="160">
        <v>34632502</v>
      </c>
      <c r="M473" s="160">
        <v>3567500</v>
      </c>
      <c r="N473" s="160">
        <v>3567500</v>
      </c>
    </row>
    <row r="474" spans="1:14" x14ac:dyDescent="0.25">
      <c r="A474" s="158" t="s">
        <v>570</v>
      </c>
      <c r="B474" s="158" t="s">
        <v>184</v>
      </c>
      <c r="C474" s="158" t="s">
        <v>185</v>
      </c>
      <c r="D474" s="158" t="s">
        <v>564</v>
      </c>
      <c r="E474" s="160">
        <v>37000000</v>
      </c>
      <c r="F474" s="160">
        <v>38200002</v>
      </c>
      <c r="G474" s="160">
        <v>38200002</v>
      </c>
      <c r="H474" s="160">
        <v>0</v>
      </c>
      <c r="I474" s="160">
        <v>0</v>
      </c>
      <c r="J474" s="160">
        <v>0</v>
      </c>
      <c r="K474" s="160">
        <v>34632502</v>
      </c>
      <c r="L474" s="160">
        <v>34632502</v>
      </c>
      <c r="M474" s="160">
        <v>3567500</v>
      </c>
      <c r="N474" s="160">
        <v>3567500</v>
      </c>
    </row>
    <row r="475" spans="1:14" x14ac:dyDescent="0.25">
      <c r="A475" s="158" t="s">
        <v>570</v>
      </c>
      <c r="B475" s="158" t="s">
        <v>266</v>
      </c>
      <c r="C475" s="158" t="s">
        <v>267</v>
      </c>
      <c r="D475" s="158" t="s">
        <v>564</v>
      </c>
      <c r="E475" s="160">
        <v>390077000</v>
      </c>
      <c r="F475" s="160">
        <v>574884941</v>
      </c>
      <c r="G475" s="160">
        <v>574884941</v>
      </c>
      <c r="H475" s="160">
        <v>0</v>
      </c>
      <c r="I475" s="160">
        <v>0</v>
      </c>
      <c r="J475" s="160">
        <v>0</v>
      </c>
      <c r="K475" s="160">
        <v>290075424.36000001</v>
      </c>
      <c r="L475" s="160">
        <v>285871090.86000001</v>
      </c>
      <c r="M475" s="160">
        <v>284809516.63999999</v>
      </c>
      <c r="N475" s="160">
        <v>284809516.63999999</v>
      </c>
    </row>
    <row r="476" spans="1:14" x14ac:dyDescent="0.25">
      <c r="A476" s="158" t="s">
        <v>570</v>
      </c>
      <c r="B476" s="158" t="s">
        <v>268</v>
      </c>
      <c r="C476" s="158" t="s">
        <v>269</v>
      </c>
      <c r="D476" s="158" t="s">
        <v>564</v>
      </c>
      <c r="E476" s="160">
        <v>84987000</v>
      </c>
      <c r="F476" s="160">
        <v>270994943</v>
      </c>
      <c r="G476" s="160">
        <v>270994943</v>
      </c>
      <c r="H476" s="160">
        <v>0</v>
      </c>
      <c r="I476" s="160">
        <v>0</v>
      </c>
      <c r="J476" s="160">
        <v>0</v>
      </c>
      <c r="K476" s="160">
        <v>76539681.560000002</v>
      </c>
      <c r="L476" s="160">
        <v>76539681.560000002</v>
      </c>
      <c r="M476" s="160">
        <v>194455261.44</v>
      </c>
      <c r="N476" s="160">
        <v>194455261.44</v>
      </c>
    </row>
    <row r="477" spans="1:14" x14ac:dyDescent="0.25">
      <c r="A477" s="158" t="s">
        <v>570</v>
      </c>
      <c r="B477" s="158" t="s">
        <v>423</v>
      </c>
      <c r="C477" s="158" t="s">
        <v>581</v>
      </c>
      <c r="D477" s="158" t="s">
        <v>564</v>
      </c>
      <c r="E477" s="160">
        <v>0</v>
      </c>
      <c r="F477" s="160">
        <v>189816497</v>
      </c>
      <c r="G477" s="160">
        <v>189816497</v>
      </c>
      <c r="H477" s="160">
        <v>0</v>
      </c>
      <c r="I477" s="160">
        <v>0</v>
      </c>
      <c r="J477" s="160">
        <v>0</v>
      </c>
      <c r="K477" s="160">
        <v>0</v>
      </c>
      <c r="L477" s="160">
        <v>0</v>
      </c>
      <c r="M477" s="160">
        <v>189816497</v>
      </c>
      <c r="N477" s="160">
        <v>189816497</v>
      </c>
    </row>
    <row r="478" spans="1:14" x14ac:dyDescent="0.25">
      <c r="A478" s="158" t="s">
        <v>570</v>
      </c>
      <c r="B478" s="158" t="s">
        <v>412</v>
      </c>
      <c r="C478" s="158" t="s">
        <v>275</v>
      </c>
      <c r="D478" s="158" t="s">
        <v>564</v>
      </c>
      <c r="E478" s="160">
        <v>59388000</v>
      </c>
      <c r="F478" s="160">
        <v>56726601</v>
      </c>
      <c r="G478" s="160">
        <v>56726601</v>
      </c>
      <c r="H478" s="160">
        <v>0</v>
      </c>
      <c r="I478" s="160">
        <v>0</v>
      </c>
      <c r="J478" s="160">
        <v>0</v>
      </c>
      <c r="K478" s="160">
        <v>53485560.609999999</v>
      </c>
      <c r="L478" s="160">
        <v>53485560.609999999</v>
      </c>
      <c r="M478" s="160">
        <v>3241040.39</v>
      </c>
      <c r="N478" s="160">
        <v>3241040.39</v>
      </c>
    </row>
    <row r="479" spans="1:14" x14ac:dyDescent="0.25">
      <c r="A479" s="158" t="s">
        <v>570</v>
      </c>
      <c r="B479" s="158" t="s">
        <v>413</v>
      </c>
      <c r="C479" s="158" t="s">
        <v>277</v>
      </c>
      <c r="D479" s="158" t="s">
        <v>564</v>
      </c>
      <c r="E479" s="160">
        <v>25599000</v>
      </c>
      <c r="F479" s="160">
        <v>24451845</v>
      </c>
      <c r="G479" s="160">
        <v>24451845</v>
      </c>
      <c r="H479" s="160">
        <v>0</v>
      </c>
      <c r="I479" s="160">
        <v>0</v>
      </c>
      <c r="J479" s="160">
        <v>0</v>
      </c>
      <c r="K479" s="160">
        <v>23054120.949999999</v>
      </c>
      <c r="L479" s="160">
        <v>23054120.949999999</v>
      </c>
      <c r="M479" s="160">
        <v>1397724.05</v>
      </c>
      <c r="N479" s="160">
        <v>1397724.05</v>
      </c>
    </row>
    <row r="480" spans="1:14" x14ac:dyDescent="0.25">
      <c r="A480" s="158" t="s">
        <v>570</v>
      </c>
      <c r="B480" s="158" t="s">
        <v>278</v>
      </c>
      <c r="C480" s="158" t="s">
        <v>279</v>
      </c>
      <c r="D480" s="158" t="s">
        <v>564</v>
      </c>
      <c r="E480" s="160">
        <v>291090000</v>
      </c>
      <c r="F480" s="160">
        <v>280989998</v>
      </c>
      <c r="G480" s="160">
        <v>280989998</v>
      </c>
      <c r="H480" s="160">
        <v>0</v>
      </c>
      <c r="I480" s="160">
        <v>0</v>
      </c>
      <c r="J480" s="160">
        <v>0</v>
      </c>
      <c r="K480" s="160">
        <v>199958023.40000001</v>
      </c>
      <c r="L480" s="160">
        <v>195753689.90000001</v>
      </c>
      <c r="M480" s="160">
        <v>81031974.599999994</v>
      </c>
      <c r="N480" s="160">
        <v>81031974.599999994</v>
      </c>
    </row>
    <row r="481" spans="1:14" x14ac:dyDescent="0.25">
      <c r="A481" s="158" t="s">
        <v>570</v>
      </c>
      <c r="B481" s="158" t="s">
        <v>280</v>
      </c>
      <c r="C481" s="158" t="s">
        <v>281</v>
      </c>
      <c r="D481" s="158" t="s">
        <v>564</v>
      </c>
      <c r="E481" s="160">
        <v>216090000</v>
      </c>
      <c r="F481" s="160">
        <v>206057498</v>
      </c>
      <c r="G481" s="160">
        <v>206057498</v>
      </c>
      <c r="H481" s="160">
        <v>0</v>
      </c>
      <c r="I481" s="160">
        <v>0</v>
      </c>
      <c r="J481" s="160">
        <v>0</v>
      </c>
      <c r="K481" s="160">
        <v>161310932.50999999</v>
      </c>
      <c r="L481" s="160">
        <v>161310932.50999999</v>
      </c>
      <c r="M481" s="160">
        <v>44746565.490000002</v>
      </c>
      <c r="N481" s="160">
        <v>44746565.490000002</v>
      </c>
    </row>
    <row r="482" spans="1:14" x14ac:dyDescent="0.25">
      <c r="A482" s="158" t="s">
        <v>570</v>
      </c>
      <c r="B482" s="158" t="s">
        <v>282</v>
      </c>
      <c r="C482" s="158" t="s">
        <v>283</v>
      </c>
      <c r="D482" s="158" t="s">
        <v>564</v>
      </c>
      <c r="E482" s="160">
        <v>75000000</v>
      </c>
      <c r="F482" s="160">
        <v>74932500</v>
      </c>
      <c r="G482" s="160">
        <v>74932500</v>
      </c>
      <c r="H482" s="160">
        <v>0</v>
      </c>
      <c r="I482" s="160">
        <v>0</v>
      </c>
      <c r="J482" s="160">
        <v>0</v>
      </c>
      <c r="K482" s="160">
        <v>38647090.890000001</v>
      </c>
      <c r="L482" s="160">
        <v>34442757.390000001</v>
      </c>
      <c r="M482" s="160">
        <v>36285409.109999999</v>
      </c>
      <c r="N482" s="160">
        <v>36285409.109999999</v>
      </c>
    </row>
    <row r="483" spans="1:14" x14ac:dyDescent="0.25">
      <c r="A483" s="158" t="s">
        <v>570</v>
      </c>
      <c r="B483" s="158" t="s">
        <v>284</v>
      </c>
      <c r="C483" s="158" t="s">
        <v>285</v>
      </c>
      <c r="D483" s="158" t="s">
        <v>564</v>
      </c>
      <c r="E483" s="160">
        <v>14000000</v>
      </c>
      <c r="F483" s="160">
        <v>22900000</v>
      </c>
      <c r="G483" s="160">
        <v>22900000</v>
      </c>
      <c r="H483" s="160">
        <v>0</v>
      </c>
      <c r="I483" s="160">
        <v>0</v>
      </c>
      <c r="J483" s="160">
        <v>0</v>
      </c>
      <c r="K483" s="160">
        <v>13577719.4</v>
      </c>
      <c r="L483" s="160">
        <v>13577719.4</v>
      </c>
      <c r="M483" s="160">
        <v>9322280.5999999996</v>
      </c>
      <c r="N483" s="160">
        <v>9322280.5999999996</v>
      </c>
    </row>
    <row r="484" spans="1:14" x14ac:dyDescent="0.25">
      <c r="A484" s="158" t="s">
        <v>570</v>
      </c>
      <c r="B484" s="158" t="s">
        <v>286</v>
      </c>
      <c r="C484" s="158" t="s">
        <v>287</v>
      </c>
      <c r="D484" s="158" t="s">
        <v>564</v>
      </c>
      <c r="E484" s="160">
        <v>12000000</v>
      </c>
      <c r="F484" s="160">
        <v>9000000</v>
      </c>
      <c r="G484" s="160">
        <v>9000000</v>
      </c>
      <c r="H484" s="160">
        <v>0</v>
      </c>
      <c r="I484" s="160">
        <v>0</v>
      </c>
      <c r="J484" s="160">
        <v>0</v>
      </c>
      <c r="K484" s="160">
        <v>1482582.66</v>
      </c>
      <c r="L484" s="160">
        <v>1482582.66</v>
      </c>
      <c r="M484" s="160">
        <v>7517417.3399999999</v>
      </c>
      <c r="N484" s="160">
        <v>7517417.3399999999</v>
      </c>
    </row>
    <row r="485" spans="1:14" x14ac:dyDescent="0.25">
      <c r="A485" s="158" t="s">
        <v>570</v>
      </c>
      <c r="B485" s="158" t="s">
        <v>288</v>
      </c>
      <c r="C485" s="158" t="s">
        <v>289</v>
      </c>
      <c r="D485" s="158" t="s">
        <v>564</v>
      </c>
      <c r="E485" s="160">
        <v>2000000</v>
      </c>
      <c r="F485" s="160">
        <v>13900000</v>
      </c>
      <c r="G485" s="160">
        <v>13900000</v>
      </c>
      <c r="H485" s="160">
        <v>0</v>
      </c>
      <c r="I485" s="160">
        <v>0</v>
      </c>
      <c r="J485" s="160">
        <v>0</v>
      </c>
      <c r="K485" s="160">
        <v>12095136.74</v>
      </c>
      <c r="L485" s="160">
        <v>12095136.74</v>
      </c>
      <c r="M485" s="160">
        <v>1804863.26</v>
      </c>
      <c r="N485" s="160">
        <v>1804863.26</v>
      </c>
    </row>
    <row r="486" spans="1:14" x14ac:dyDescent="0.25">
      <c r="A486" s="161"/>
      <c r="B486" s="161"/>
      <c r="C486" s="161"/>
      <c r="D486" s="161"/>
      <c r="E486" s="162">
        <v>590710000000</v>
      </c>
      <c r="F486" s="162">
        <v>585447619185</v>
      </c>
      <c r="G486" s="162">
        <v>585433047016.25</v>
      </c>
      <c r="H486" s="162">
        <v>21814860</v>
      </c>
      <c r="I486" s="162">
        <v>14492001738.35</v>
      </c>
      <c r="J486" s="162">
        <v>0</v>
      </c>
      <c r="K486" s="162">
        <v>549656906370.40002</v>
      </c>
      <c r="L486" s="162">
        <v>463433220493.95001</v>
      </c>
      <c r="M486" s="162">
        <v>21276896216.25</v>
      </c>
      <c r="N486" s="162">
        <v>21262324047.5</v>
      </c>
    </row>
  </sheetData>
  <conditionalFormatting sqref="K2:K539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43"/>
  <sheetViews>
    <sheetView tabSelected="1" zoomScale="84" zoomScaleNormal="84" workbookViewId="0">
      <selection activeCell="D8" sqref="D8"/>
    </sheetView>
  </sheetViews>
  <sheetFormatPr baseColWidth="10" defaultRowHeight="15" x14ac:dyDescent="0.25"/>
  <cols>
    <col min="1" max="1" width="11.42578125" style="24"/>
    <col min="2" max="2" width="38.7109375" style="24" customWidth="1"/>
    <col min="3" max="4" width="19.42578125" style="24" bestFit="1" customWidth="1"/>
    <col min="5" max="5" width="17.140625" style="24" bestFit="1" customWidth="1"/>
    <col min="6" max="6" width="19.42578125" style="24" bestFit="1" customWidth="1"/>
    <col min="7" max="7" width="17.7109375" style="24" bestFit="1" customWidth="1"/>
    <col min="8" max="16384" width="11.42578125" style="24"/>
  </cols>
  <sheetData>
    <row r="1" spans="2:11" ht="15.75" x14ac:dyDescent="0.25">
      <c r="B1" s="186" t="s">
        <v>58</v>
      </c>
      <c r="C1" s="187"/>
      <c r="D1" s="187"/>
      <c r="E1" s="187"/>
      <c r="F1" s="187"/>
      <c r="G1" s="187"/>
      <c r="H1" s="187"/>
      <c r="I1" s="188"/>
      <c r="J1" s="36"/>
      <c r="K1" s="36"/>
    </row>
    <row r="2" spans="2:11" ht="15.75" x14ac:dyDescent="0.25">
      <c r="B2" s="184" t="str">
        <f>+Estado!A4</f>
        <v xml:space="preserve">AL 31 DE DICEMBRE 2016        </v>
      </c>
      <c r="C2" s="185"/>
      <c r="D2" s="185"/>
      <c r="E2" s="185"/>
      <c r="F2" s="185"/>
      <c r="G2" s="185"/>
      <c r="H2" s="185"/>
      <c r="I2" s="189"/>
      <c r="J2" s="36"/>
      <c r="K2" s="36"/>
    </row>
    <row r="3" spans="2:11" ht="15.75" x14ac:dyDescent="0.25">
      <c r="B3" s="184" t="s">
        <v>55</v>
      </c>
      <c r="C3" s="185"/>
      <c r="D3" s="185"/>
      <c r="E3" s="185"/>
      <c r="F3" s="185"/>
      <c r="G3" s="185"/>
      <c r="H3" s="185"/>
      <c r="I3" s="189"/>
      <c r="J3" s="36"/>
      <c r="K3" s="36"/>
    </row>
    <row r="4" spans="2:11" ht="16.5" thickBot="1" x14ac:dyDescent="0.3">
      <c r="B4" s="131"/>
      <c r="C4" s="132"/>
      <c r="D4" s="132"/>
      <c r="E4" s="132"/>
      <c r="F4" s="132"/>
      <c r="G4" s="132"/>
      <c r="H4" s="132"/>
      <c r="I4" s="133"/>
      <c r="J4" s="63"/>
      <c r="K4" s="63"/>
    </row>
    <row r="5" spans="2:11" ht="51" customHeight="1" x14ac:dyDescent="0.25">
      <c r="B5" s="196" t="s">
        <v>0</v>
      </c>
      <c r="C5" s="198" t="s">
        <v>560</v>
      </c>
      <c r="D5" s="198" t="s">
        <v>2</v>
      </c>
      <c r="E5" s="198" t="s">
        <v>3</v>
      </c>
      <c r="F5" s="151" t="s">
        <v>4</v>
      </c>
      <c r="G5" s="198" t="s">
        <v>6</v>
      </c>
      <c r="H5" s="198" t="s">
        <v>7</v>
      </c>
      <c r="I5" s="200" t="s">
        <v>8</v>
      </c>
    </row>
    <row r="6" spans="2:11" x14ac:dyDescent="0.25">
      <c r="B6" s="197"/>
      <c r="C6" s="199"/>
      <c r="D6" s="199"/>
      <c r="E6" s="199"/>
      <c r="F6" s="152" t="s">
        <v>5</v>
      </c>
      <c r="G6" s="199"/>
      <c r="H6" s="199"/>
      <c r="I6" s="201"/>
    </row>
    <row r="7" spans="2:11" x14ac:dyDescent="0.25">
      <c r="B7" s="75" t="s">
        <v>9</v>
      </c>
      <c r="C7" s="76">
        <f>+Hoja1!C7</f>
        <v>79101866424</v>
      </c>
      <c r="D7" s="76">
        <f ca="1">+Hoja1!D7</f>
        <v>79098952023</v>
      </c>
      <c r="E7" s="76">
        <f>+Hoja1!E7</f>
        <v>0</v>
      </c>
      <c r="F7" s="76">
        <f>SUM(Hoja1!F7:H7)</f>
        <v>76919460564.509995</v>
      </c>
      <c r="G7" s="76">
        <f ca="1">+Hoja1!J7</f>
        <v>2182405859.4899998</v>
      </c>
      <c r="H7" s="77">
        <f>+Hoja1!K7</f>
        <v>0.9724101850164707</v>
      </c>
      <c r="I7" s="134">
        <f ca="1">+Hoja1!L7</f>
        <v>2.7589814983529189E-2</v>
      </c>
    </row>
    <row r="8" spans="2:11" x14ac:dyDescent="0.25">
      <c r="B8" s="75" t="s">
        <v>10</v>
      </c>
      <c r="C8" s="76">
        <f>+Hoja1!C8</f>
        <v>9118490598</v>
      </c>
      <c r="D8" s="76">
        <f ca="1">+Hoja1!D8</f>
        <v>9118490575.4300003</v>
      </c>
      <c r="E8" s="76">
        <f>+Hoja1!E8</f>
        <v>4362972</v>
      </c>
      <c r="F8" s="76">
        <f>SUM(Hoja1!F8:H8)</f>
        <v>8743342519.4899998</v>
      </c>
      <c r="G8" s="76">
        <f ca="1">+Hoja1!J8</f>
        <v>370785106.50999999</v>
      </c>
      <c r="H8" s="77">
        <f>+Hoja1!K8</f>
        <v>0.95885853316641212</v>
      </c>
      <c r="I8" s="134">
        <f ca="1">+Hoja1!L8</f>
        <v>4.0662991591100171E-2</v>
      </c>
    </row>
    <row r="9" spans="2:11" x14ac:dyDescent="0.25">
      <c r="B9" s="75" t="s">
        <v>11</v>
      </c>
      <c r="C9" s="76">
        <f>+Hoja1!C9</f>
        <v>12969269517</v>
      </c>
      <c r="D9" s="76">
        <f ca="1">+Hoja1!D9</f>
        <v>12969269510.41</v>
      </c>
      <c r="E9" s="76">
        <f>+Hoja1!E9</f>
        <v>0</v>
      </c>
      <c r="F9" s="76">
        <f>SUM(Hoja1!F9:H9)</f>
        <v>12003027140.16</v>
      </c>
      <c r="G9" s="76">
        <f ca="1">+Hoja1!J9</f>
        <v>966242376.84000003</v>
      </c>
      <c r="H9" s="77">
        <f>+Hoja1!K9</f>
        <v>0.92549754821785002</v>
      </c>
      <c r="I9" s="134">
        <f ca="1">+Hoja1!L9</f>
        <v>7.4502451782149981E-2</v>
      </c>
    </row>
    <row r="10" spans="2:11" x14ac:dyDescent="0.25">
      <c r="B10" s="75" t="s">
        <v>12</v>
      </c>
      <c r="C10" s="76">
        <f>+Hoja1!C10</f>
        <v>3017512862</v>
      </c>
      <c r="D10" s="76">
        <f ca="1">+Hoja1!D10</f>
        <v>3017512861</v>
      </c>
      <c r="E10" s="76">
        <f>+Hoja1!E10</f>
        <v>0</v>
      </c>
      <c r="F10" s="76">
        <f>SUM(Hoja1!F10:H10)</f>
        <v>2872786701.04</v>
      </c>
      <c r="G10" s="76">
        <f ca="1">+Hoja1!J10</f>
        <v>144726160.96000001</v>
      </c>
      <c r="H10" s="77">
        <f>+Hoja1!K10</f>
        <v>0.95203793071354936</v>
      </c>
      <c r="I10" s="134">
        <f ca="1">+Hoja1!L10</f>
        <v>4.7962069286450651E-2</v>
      </c>
    </row>
    <row r="11" spans="2:11" x14ac:dyDescent="0.25">
      <c r="B11" s="75" t="s">
        <v>13</v>
      </c>
      <c r="C11" s="76">
        <f>+Hoja1!C11</f>
        <v>3656120600</v>
      </c>
      <c r="D11" s="76">
        <f ca="1">+Hoja1!D11</f>
        <v>3656120598.4099998</v>
      </c>
      <c r="E11" s="76">
        <f>+Hoja1!E11</f>
        <v>0</v>
      </c>
      <c r="F11" s="76">
        <f>SUM(Hoja1!F11:H11)</f>
        <v>3064900861.5499997</v>
      </c>
      <c r="G11" s="76">
        <f ca="1">+Hoja1!J11</f>
        <v>591219738.44999993</v>
      </c>
      <c r="H11" s="77">
        <f>+Hoja1!K11</f>
        <v>0.8382931519135336</v>
      </c>
      <c r="I11" s="134">
        <f ca="1">+Hoja1!L11</f>
        <v>0.16170684808646626</v>
      </c>
    </row>
    <row r="12" spans="2:11" x14ac:dyDescent="0.25">
      <c r="B12" s="75" t="s">
        <v>14</v>
      </c>
      <c r="C12" s="76">
        <f>+Hoja1!C12</f>
        <v>9226263836</v>
      </c>
      <c r="D12" s="76">
        <f ca="1">+Hoja1!D12</f>
        <v>9226263835</v>
      </c>
      <c r="E12" s="76">
        <f>+Hoja1!E12</f>
        <v>0</v>
      </c>
      <c r="F12" s="76">
        <f>SUM(Hoja1!F12:H12)</f>
        <v>9226263835</v>
      </c>
      <c r="G12" s="76">
        <f ca="1">+Hoja1!J12</f>
        <v>1</v>
      </c>
      <c r="H12" s="77">
        <f>+Hoja1!K12</f>
        <v>0.99999999989161381</v>
      </c>
      <c r="I12" s="134">
        <f ca="1">+Hoja1!L12</f>
        <v>1.0838623496740853E-10</v>
      </c>
    </row>
    <row r="13" spans="2:11" ht="15.75" thickBot="1" x14ac:dyDescent="0.3">
      <c r="B13" s="78" t="s">
        <v>15</v>
      </c>
      <c r="C13" s="79">
        <f>SUM(C7:C12)</f>
        <v>117089523837</v>
      </c>
      <c r="D13" s="79">
        <f t="shared" ref="D13:G13" ca="1" si="0">SUM(D7:D12)</f>
        <v>117086609403.25</v>
      </c>
      <c r="E13" s="79">
        <f t="shared" si="0"/>
        <v>4362972</v>
      </c>
      <c r="F13" s="79">
        <f t="shared" si="0"/>
        <v>112829781621.75</v>
      </c>
      <c r="G13" s="79">
        <f t="shared" ca="1" si="0"/>
        <v>4255379243.25</v>
      </c>
      <c r="H13" s="80">
        <f>+Hoja1!K13</f>
        <v>0.96361978360096512</v>
      </c>
      <c r="I13" s="135">
        <f ca="1">+Hoja1!L13</f>
        <v>3.6342954551373027E-2</v>
      </c>
    </row>
    <row r="14" spans="2:11" ht="15.75" thickBot="1" x14ac:dyDescent="0.3">
      <c r="B14" s="81"/>
      <c r="C14" s="43"/>
      <c r="D14" s="43"/>
      <c r="E14" s="43"/>
      <c r="F14" s="43"/>
      <c r="G14" s="43"/>
      <c r="H14" s="43"/>
      <c r="I14" s="43"/>
    </row>
    <row r="15" spans="2:11" ht="15.75" x14ac:dyDescent="0.25">
      <c r="B15" s="186" t="s">
        <v>59</v>
      </c>
      <c r="C15" s="187"/>
      <c r="D15" s="187"/>
      <c r="E15" s="187"/>
      <c r="F15" s="187"/>
      <c r="G15" s="187"/>
      <c r="H15" s="187"/>
      <c r="I15" s="188"/>
    </row>
    <row r="16" spans="2:11" ht="15.75" x14ac:dyDescent="0.25">
      <c r="B16" s="184" t="str">
        <f>+B2</f>
        <v xml:space="preserve">AL 31 DE DICEMBRE 2016        </v>
      </c>
      <c r="C16" s="185"/>
      <c r="D16" s="185"/>
      <c r="E16" s="185"/>
      <c r="F16" s="185"/>
      <c r="G16" s="185"/>
      <c r="H16" s="185"/>
      <c r="I16" s="189"/>
    </row>
    <row r="17" spans="2:9" ht="15.75" x14ac:dyDescent="0.25">
      <c r="B17" s="184" t="s">
        <v>55</v>
      </c>
      <c r="C17" s="185"/>
      <c r="D17" s="185"/>
      <c r="E17" s="185"/>
      <c r="F17" s="185"/>
      <c r="G17" s="185"/>
      <c r="H17" s="185"/>
      <c r="I17" s="189"/>
    </row>
    <row r="18" spans="2:9" ht="15.75" thickBot="1" x14ac:dyDescent="0.3">
      <c r="B18" s="128"/>
      <c r="C18" s="129"/>
      <c r="D18" s="129"/>
      <c r="E18" s="129"/>
      <c r="F18" s="129"/>
      <c r="G18" s="129"/>
      <c r="H18" s="129"/>
      <c r="I18" s="130"/>
    </row>
    <row r="19" spans="2:9" ht="51" customHeight="1" x14ac:dyDescent="0.25">
      <c r="B19" s="196" t="s">
        <v>16</v>
      </c>
      <c r="C19" s="198" t="s">
        <v>560</v>
      </c>
      <c r="D19" s="198" t="s">
        <v>2</v>
      </c>
      <c r="E19" s="198" t="s">
        <v>3</v>
      </c>
      <c r="F19" s="105" t="s">
        <v>4</v>
      </c>
      <c r="G19" s="198" t="s">
        <v>6</v>
      </c>
      <c r="H19" s="198" t="s">
        <v>7</v>
      </c>
      <c r="I19" s="200" t="s">
        <v>8</v>
      </c>
    </row>
    <row r="20" spans="2:9" x14ac:dyDescent="0.25">
      <c r="B20" s="197"/>
      <c r="C20" s="199"/>
      <c r="D20" s="199"/>
      <c r="E20" s="199"/>
      <c r="F20" s="106" t="s">
        <v>5</v>
      </c>
      <c r="G20" s="199"/>
      <c r="H20" s="199"/>
      <c r="I20" s="201"/>
    </row>
    <row r="21" spans="2:9" x14ac:dyDescent="0.25">
      <c r="B21" s="82" t="s">
        <v>17</v>
      </c>
      <c r="C21" s="76">
        <f>+Hoja1!C18</f>
        <v>79519698924</v>
      </c>
      <c r="D21" s="76">
        <f ca="1">+Hoja1!D18</f>
        <v>79516784523</v>
      </c>
      <c r="E21" s="76">
        <f>+Hoja1!E18</f>
        <v>0</v>
      </c>
      <c r="F21" s="76">
        <f>SUM(Hoja1!F18:H18)</f>
        <v>77258153260.899994</v>
      </c>
      <c r="G21" s="76">
        <f ca="1">+Hoja1!J18</f>
        <v>2261545663.0999999</v>
      </c>
      <c r="H21" s="77">
        <f>+Hoja1!K18</f>
        <v>0.97155993176908972</v>
      </c>
      <c r="I21" s="134">
        <f ca="1">+Hoja1!L18</f>
        <v>2.8440068230910245E-2</v>
      </c>
    </row>
    <row r="22" spans="2:9" x14ac:dyDescent="0.25">
      <c r="B22" s="82" t="s">
        <v>18</v>
      </c>
      <c r="C22" s="76">
        <f>+Hoja1!C19</f>
        <v>22087760115</v>
      </c>
      <c r="D22" s="76">
        <f ca="1">+Hoja1!D19</f>
        <v>22087760085.84</v>
      </c>
      <c r="E22" s="76">
        <f>+Hoja1!E19</f>
        <v>4362972</v>
      </c>
      <c r="F22" s="76">
        <f>SUM(Hoja1!F19:H19)</f>
        <v>20746369659.649998</v>
      </c>
      <c r="G22" s="76">
        <f ca="1">+Hoja1!J19</f>
        <v>1337027483.3499999</v>
      </c>
      <c r="H22" s="77">
        <f>+Hoja1!K19</f>
        <v>0.93926996452487499</v>
      </c>
      <c r="I22" s="134">
        <f ca="1">+Hoja1!L19</f>
        <v>6.0532506527993857E-2</v>
      </c>
    </row>
    <row r="23" spans="2:9" x14ac:dyDescent="0.25">
      <c r="B23" s="82" t="s">
        <v>19</v>
      </c>
      <c r="C23" s="76">
        <f>+Hoja1!C20</f>
        <v>3017512862</v>
      </c>
      <c r="D23" s="76">
        <f ca="1">+Hoja1!D20</f>
        <v>3017512861</v>
      </c>
      <c r="E23" s="76">
        <f>+Hoja1!E20</f>
        <v>0</v>
      </c>
      <c r="F23" s="76">
        <f>SUM(Hoja1!F20:H20)</f>
        <v>2872786701.04</v>
      </c>
      <c r="G23" s="76">
        <f ca="1">+Hoja1!J20</f>
        <v>144726160.96000001</v>
      </c>
      <c r="H23" s="77">
        <f>+Hoja1!K20</f>
        <v>0.95203793071354936</v>
      </c>
      <c r="I23" s="134">
        <f ca="1">+Hoja1!L20</f>
        <v>4.7962069286450651E-2</v>
      </c>
    </row>
    <row r="24" spans="2:9" x14ac:dyDescent="0.25">
      <c r="B24" s="82" t="s">
        <v>20</v>
      </c>
      <c r="C24" s="76">
        <f>+Hoja1!C21</f>
        <v>3238288100</v>
      </c>
      <c r="D24" s="76">
        <f ca="1">+Hoja1!D21</f>
        <v>3238288098.4099998</v>
      </c>
      <c r="E24" s="76">
        <f>+Hoja1!E21</f>
        <v>0</v>
      </c>
      <c r="F24" s="76">
        <f>SUM(Hoja1!F21:H21)</f>
        <v>2726208165.1599998</v>
      </c>
      <c r="G24" s="76">
        <f ca="1">+Hoja1!J21</f>
        <v>512079934.83999991</v>
      </c>
      <c r="H24" s="77">
        <f>+Hoja1!K21</f>
        <v>0.84186708562465451</v>
      </c>
      <c r="I24" s="134">
        <f ca="1">+Hoja1!L21</f>
        <v>0.15813291437534538</v>
      </c>
    </row>
    <row r="25" spans="2:9" x14ac:dyDescent="0.25">
      <c r="B25" s="82" t="s">
        <v>21</v>
      </c>
      <c r="C25" s="76">
        <f>+Hoja1!C22</f>
        <v>9226263836</v>
      </c>
      <c r="D25" s="76">
        <f ca="1">+Hoja1!D22</f>
        <v>9226263835</v>
      </c>
      <c r="E25" s="76">
        <f>+Hoja1!E22</f>
        <v>0</v>
      </c>
      <c r="F25" s="76">
        <f>SUM(Hoja1!F22:H22)</f>
        <v>9226263835</v>
      </c>
      <c r="G25" s="76">
        <f ca="1">+Hoja1!J22</f>
        <v>1</v>
      </c>
      <c r="H25" s="77">
        <f>+Hoja1!K22</f>
        <v>0.99999999989161381</v>
      </c>
      <c r="I25" s="134">
        <f ca="1">+Hoja1!L22</f>
        <v>1.0838623496740853E-10</v>
      </c>
    </row>
    <row r="26" spans="2:9" ht="15.75" thickBot="1" x14ac:dyDescent="0.3">
      <c r="B26" s="78" t="s">
        <v>15</v>
      </c>
      <c r="C26" s="79">
        <f>SUM(C21:C25)</f>
        <v>117089523837</v>
      </c>
      <c r="D26" s="79">
        <f t="shared" ref="D26:G26" ca="1" si="1">SUM(D21:D25)</f>
        <v>117086609403.25</v>
      </c>
      <c r="E26" s="79">
        <f t="shared" si="1"/>
        <v>4362972</v>
      </c>
      <c r="F26" s="79">
        <f t="shared" si="1"/>
        <v>112829781621.74998</v>
      </c>
      <c r="G26" s="79">
        <f t="shared" ca="1" si="1"/>
        <v>4255379243.25</v>
      </c>
      <c r="H26" s="80">
        <f>+Hoja1!K23</f>
        <v>0.96361978360096523</v>
      </c>
      <c r="I26" s="135">
        <f ca="1">+Hoja1!L23</f>
        <v>3.6342954551373027E-2</v>
      </c>
    </row>
    <row r="27" spans="2:9" ht="15.75" x14ac:dyDescent="0.25">
      <c r="B27" s="83"/>
    </row>
    <row r="30" spans="2:9" ht="15.75" thickBot="1" x14ac:dyDescent="0.3"/>
    <row r="31" spans="2:9" ht="15.75" x14ac:dyDescent="0.25">
      <c r="B31" s="186" t="s">
        <v>73</v>
      </c>
      <c r="C31" s="187"/>
      <c r="D31" s="187"/>
      <c r="E31" s="187"/>
      <c r="F31" s="188"/>
    </row>
    <row r="32" spans="2:9" ht="15.75" x14ac:dyDescent="0.25">
      <c r="B32" s="184" t="str">
        <f>+B2</f>
        <v xml:space="preserve">AL 31 DE DICEMBRE 2016        </v>
      </c>
      <c r="C32" s="185"/>
      <c r="D32" s="185"/>
      <c r="E32" s="185"/>
      <c r="F32" s="189"/>
    </row>
    <row r="33" spans="2:6" ht="15.75" x14ac:dyDescent="0.25">
      <c r="B33" s="184" t="str">
        <f>+B17</f>
        <v>214  - Ministerio de Justicia y Gracia</v>
      </c>
      <c r="C33" s="185"/>
      <c r="D33" s="185"/>
      <c r="E33" s="185"/>
      <c r="F33" s="189"/>
    </row>
    <row r="34" spans="2:6" ht="15.75" thickBot="1" x14ac:dyDescent="0.3">
      <c r="B34" s="136"/>
      <c r="C34" s="137"/>
      <c r="D34" s="137"/>
      <c r="E34" s="137"/>
      <c r="F34" s="138"/>
    </row>
    <row r="35" spans="2:6" x14ac:dyDescent="0.25">
      <c r="B35" s="196" t="s">
        <v>0</v>
      </c>
      <c r="C35" s="198" t="str">
        <f>+[1]Hoja1!E1</f>
        <v xml:space="preserve"> Solicitado </v>
      </c>
      <c r="D35" s="198" t="str">
        <f>+[1]Hoja1!F2</f>
        <v>Compromiso</v>
      </c>
      <c r="E35" s="198" t="str">
        <f>+[1]Hoja1!G2</f>
        <v>Rec. M/cía</v>
      </c>
      <c r="F35" s="200" t="s">
        <v>74</v>
      </c>
    </row>
    <row r="36" spans="2:6" x14ac:dyDescent="0.25">
      <c r="B36" s="197"/>
      <c r="C36" s="199"/>
      <c r="D36" s="199"/>
      <c r="E36" s="199"/>
      <c r="F36" s="201"/>
    </row>
    <row r="37" spans="2:6" x14ac:dyDescent="0.25">
      <c r="B37" s="75" t="s">
        <v>9</v>
      </c>
      <c r="C37" s="76">
        <f>+Hoja1!E7</f>
        <v>0</v>
      </c>
      <c r="D37" s="76">
        <f>+Hoja1!F7</f>
        <v>45261660.800000004</v>
      </c>
      <c r="E37" s="76">
        <f>+Hoja1!G7</f>
        <v>0</v>
      </c>
      <c r="F37" s="134">
        <f>IFERROR(+E37/(+C37+D37),0)</f>
        <v>0</v>
      </c>
    </row>
    <row r="38" spans="2:6" x14ac:dyDescent="0.25">
      <c r="B38" s="75" t="s">
        <v>10</v>
      </c>
      <c r="C38" s="76">
        <f>+Hoja1!E8</f>
        <v>4362972</v>
      </c>
      <c r="D38" s="76">
        <f>+Hoja1!F8</f>
        <v>1004512454.8499999</v>
      </c>
      <c r="E38" s="76">
        <f>+Hoja1!G8</f>
        <v>0</v>
      </c>
      <c r="F38" s="134">
        <f t="shared" ref="F38:F42" si="2">IFERROR(+E38/(+C38+D38),0)</f>
        <v>0</v>
      </c>
    </row>
    <row r="39" spans="2:6" x14ac:dyDescent="0.25">
      <c r="B39" s="75" t="s">
        <v>11</v>
      </c>
      <c r="C39" s="76">
        <f>+Hoja1!E9</f>
        <v>0</v>
      </c>
      <c r="D39" s="76">
        <f>+Hoja1!F9</f>
        <v>1112309965.5900002</v>
      </c>
      <c r="E39" s="76">
        <f>+Hoja1!G9</f>
        <v>0</v>
      </c>
      <c r="F39" s="134">
        <f t="shared" si="2"/>
        <v>0</v>
      </c>
    </row>
    <row r="40" spans="2:6" x14ac:dyDescent="0.25">
      <c r="B40" s="75" t="s">
        <v>12</v>
      </c>
      <c r="C40" s="76">
        <f>+Hoja1!E10</f>
        <v>0</v>
      </c>
      <c r="D40" s="76">
        <f>+Hoja1!F10</f>
        <v>443637739.51999998</v>
      </c>
      <c r="E40" s="76">
        <f>+Hoja1!G10</f>
        <v>0</v>
      </c>
      <c r="F40" s="134">
        <f t="shared" si="2"/>
        <v>0</v>
      </c>
    </row>
    <row r="41" spans="2:6" x14ac:dyDescent="0.25">
      <c r="B41" s="75" t="s">
        <v>13</v>
      </c>
      <c r="C41" s="76">
        <f>+Hoja1!E11</f>
        <v>0</v>
      </c>
      <c r="D41" s="76">
        <f>+Hoja1!F11</f>
        <v>292678526.91000003</v>
      </c>
      <c r="E41" s="76">
        <f>+Hoja1!G11</f>
        <v>0</v>
      </c>
      <c r="F41" s="134">
        <f t="shared" si="2"/>
        <v>0</v>
      </c>
    </row>
    <row r="42" spans="2:6" x14ac:dyDescent="0.25">
      <c r="B42" s="75" t="s">
        <v>14</v>
      </c>
      <c r="C42" s="76">
        <f>+Hoja1!E12</f>
        <v>0</v>
      </c>
      <c r="D42" s="76">
        <f>+Hoja1!F12</f>
        <v>0</v>
      </c>
      <c r="E42" s="76">
        <f>+Hoja1!G12</f>
        <v>0</v>
      </c>
      <c r="F42" s="134">
        <f t="shared" si="2"/>
        <v>0</v>
      </c>
    </row>
    <row r="43" spans="2:6" ht="15.75" thickBot="1" x14ac:dyDescent="0.3">
      <c r="B43" s="78" t="s">
        <v>15</v>
      </c>
      <c r="C43" s="79">
        <f>SUM(C37:C42)</f>
        <v>4362972</v>
      </c>
      <c r="D43" s="79">
        <f t="shared" ref="D43:E43" si="3">SUM(D37:D42)</f>
        <v>2898400347.6699996</v>
      </c>
      <c r="E43" s="79">
        <f t="shared" si="3"/>
        <v>0</v>
      </c>
      <c r="F43" s="135">
        <f>+E43/(C43+D43)</f>
        <v>0</v>
      </c>
    </row>
  </sheetData>
  <mergeCells count="28">
    <mergeCell ref="B1:I1"/>
    <mergeCell ref="B2:I2"/>
    <mergeCell ref="B3:I3"/>
    <mergeCell ref="I5:I6"/>
    <mergeCell ref="H19:H20"/>
    <mergeCell ref="I19:I20"/>
    <mergeCell ref="B5:B6"/>
    <mergeCell ref="C5:C6"/>
    <mergeCell ref="D5:D6"/>
    <mergeCell ref="E5:E6"/>
    <mergeCell ref="G5:G6"/>
    <mergeCell ref="H5:H6"/>
    <mergeCell ref="B15:I15"/>
    <mergeCell ref="B16:I16"/>
    <mergeCell ref="B19:B20"/>
    <mergeCell ref="C19:C20"/>
    <mergeCell ref="B31:F31"/>
    <mergeCell ref="D19:D20"/>
    <mergeCell ref="E19:E20"/>
    <mergeCell ref="G19:G20"/>
    <mergeCell ref="B17:I17"/>
    <mergeCell ref="B32:F32"/>
    <mergeCell ref="B33:F33"/>
    <mergeCell ref="B35:B36"/>
    <mergeCell ref="C35:C36"/>
    <mergeCell ref="D35:D36"/>
    <mergeCell ref="E35:E36"/>
    <mergeCell ref="F35:F36"/>
  </mergeCells>
  <conditionalFormatting sqref="H7:H12">
    <cfRule type="cellIs" dxfId="3" priority="1" operator="greaterThan">
      <formula>70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topLeftCell="A115" zoomScale="82" zoomScaleNormal="82" workbookViewId="0">
      <selection activeCell="D140" sqref="D140"/>
    </sheetView>
  </sheetViews>
  <sheetFormatPr baseColWidth="10" defaultRowHeight="15" x14ac:dyDescent="0.25"/>
  <cols>
    <col min="2" max="2" width="20.42578125" customWidth="1"/>
    <col min="3" max="3" width="36.85546875" bestFit="1" customWidth="1"/>
    <col min="4" max="4" width="21" bestFit="1" customWidth="1"/>
    <col min="5" max="5" width="23.140625" bestFit="1" customWidth="1"/>
    <col min="6" max="6" width="17.140625" bestFit="1" customWidth="1"/>
    <col min="7" max="7" width="18.28515625" bestFit="1" customWidth="1"/>
    <col min="8" max="8" width="18.28515625" hidden="1" customWidth="1"/>
    <col min="9" max="9" width="18.28515625" bestFit="1" customWidth="1"/>
    <col min="10" max="10" width="18.28515625" customWidth="1"/>
    <col min="11" max="11" width="28.140625" bestFit="1" customWidth="1"/>
  </cols>
  <sheetData>
    <row r="1" spans="1:13" ht="18" thickBot="1" x14ac:dyDescent="0.3">
      <c r="C1" s="206" t="s">
        <v>0</v>
      </c>
      <c r="D1" s="198" t="s">
        <v>560</v>
      </c>
      <c r="E1" s="202" t="s">
        <v>2</v>
      </c>
      <c r="F1" s="202" t="s">
        <v>3</v>
      </c>
      <c r="G1" s="208" t="s">
        <v>4</v>
      </c>
      <c r="H1" s="209"/>
      <c r="I1" s="210"/>
      <c r="J1" s="211" t="s">
        <v>558</v>
      </c>
      <c r="K1" s="202" t="s">
        <v>6</v>
      </c>
      <c r="L1" s="202" t="s">
        <v>7</v>
      </c>
      <c r="M1" s="204" t="s">
        <v>8</v>
      </c>
    </row>
    <row r="2" spans="1:13" ht="17.25" x14ac:dyDescent="0.25">
      <c r="C2" s="207"/>
      <c r="D2" s="199"/>
      <c r="E2" s="203"/>
      <c r="F2" s="203"/>
      <c r="G2" s="6" t="s">
        <v>43</v>
      </c>
      <c r="H2" s="6" t="s">
        <v>31</v>
      </c>
      <c r="I2" s="7" t="s">
        <v>33</v>
      </c>
      <c r="J2" s="212"/>
      <c r="K2" s="203"/>
      <c r="L2" s="203"/>
      <c r="M2" s="205"/>
    </row>
    <row r="3" spans="1:13" s="23" customFormat="1" ht="17.25" x14ac:dyDescent="0.25">
      <c r="A3" s="120"/>
      <c r="B3" s="121" t="str">
        <f>+Estado!A11</f>
        <v>E-0</v>
      </c>
      <c r="C3" s="114" t="str">
        <f>IFERROR(VLOOKUP(B3,Estado!$A$9:$B$501,2,FALSE),0)</f>
        <v>REMUNERACIONES</v>
      </c>
      <c r="D3" s="22">
        <f>+D4+D8+D12+D18+D21+D26</f>
        <v>79101866424</v>
      </c>
      <c r="E3" s="22">
        <f t="shared" ref="E3:K3" ca="1" si="0">+E4+E8+E12+E18+E21+E26</f>
        <v>79098952023</v>
      </c>
      <c r="F3" s="22">
        <f t="shared" si="0"/>
        <v>0</v>
      </c>
      <c r="G3" s="22">
        <f t="shared" si="0"/>
        <v>45261660.800000004</v>
      </c>
      <c r="H3" s="22">
        <f t="shared" si="0"/>
        <v>0</v>
      </c>
      <c r="I3" s="22">
        <f t="shared" si="0"/>
        <v>76874198903.710007</v>
      </c>
      <c r="J3" s="22">
        <f>+J4+J8+J12+J18+J21+J26</f>
        <v>76919460564.509995</v>
      </c>
      <c r="K3" s="22">
        <f t="shared" ca="1" si="0"/>
        <v>2182405859.4900002</v>
      </c>
      <c r="L3" s="69">
        <f>+IFERROR(SUM(G3:I3)/D3,0)</f>
        <v>0.97241018501647092</v>
      </c>
      <c r="M3" s="69">
        <f ca="1">+IFERROR(+K3/D3,0)</f>
        <v>2.7589814983529196E-2</v>
      </c>
    </row>
    <row r="4" spans="1:13" s="24" customFormat="1" ht="16.5" x14ac:dyDescent="0.25">
      <c r="A4" s="122"/>
      <c r="B4" s="119" t="str">
        <f>+Estado!A12</f>
        <v>E-001</v>
      </c>
      <c r="C4" s="113" t="str">
        <f>IFERROR(VLOOKUP(B4,Estado!$A$9:$B$501,2,FALSE),0)</f>
        <v>REMUNERACIONES BASIC</v>
      </c>
      <c r="D4" s="16">
        <f>SUMIF(Estado!$A$9:$A$364,$B4,Estado!$C$9:$C$364)</f>
        <v>27983331488</v>
      </c>
      <c r="E4" s="16">
        <f ca="1">SUMIF(Estado!$A$9:$A$364,$B4,Estado!$D$9:$D$364)</f>
        <v>27980417087</v>
      </c>
      <c r="F4" s="16">
        <f>SUMIF(Estado!$A$9:$A$364,$B4,Estado!$E$9:$E$364)</f>
        <v>0</v>
      </c>
      <c r="G4" s="16">
        <f>SUMIF(Estado!$A$9:$A$364,$B4,Estado!$G$9:$G$364)</f>
        <v>299.93</v>
      </c>
      <c r="H4" s="16">
        <f>SUMIF(Estado!$A$9:$A$364,$B4,Estado!$I$9:$I$364)</f>
        <v>0</v>
      </c>
      <c r="I4" s="16">
        <f>SUMIF(Estado!$A$9:$A$364,$B4,Estado!$K$9:$K$364)</f>
        <v>27140121438.599998</v>
      </c>
      <c r="J4" s="16">
        <f>SUM(G4:I4)</f>
        <v>27140121738.529999</v>
      </c>
      <c r="K4" s="16">
        <f ca="1">SUMIF(Estado!$A$9:$A$364,$B4,Estado!$O$9:$O$364)</f>
        <v>843209749.47000003</v>
      </c>
      <c r="L4" s="51">
        <f t="shared" ref="L4:L67" si="1">+IFERROR(SUM(G4:I4)/D4,0)</f>
        <v>0.9698674280497448</v>
      </c>
      <c r="M4" s="51">
        <f t="shared" ref="M4:M67" ca="1" si="2">+IFERROR(+K4/D4,0)</f>
        <v>3.0132571950255132E-2</v>
      </c>
    </row>
    <row r="5" spans="1:13" s="24" customFormat="1" ht="16.5" x14ac:dyDescent="0.25">
      <c r="A5" s="122"/>
      <c r="B5" s="119" t="str">
        <f>+Estado!A13</f>
        <v>E-00101</v>
      </c>
      <c r="C5" s="113" t="str">
        <f>IFERROR(VLOOKUP(B5,Estado!$A$9:$B$501,2,FALSE),0)</f>
        <v>SUELDOS P/ C. FIJOS</v>
      </c>
      <c r="D5" s="16">
        <f>SUMIF(Estado!$A$9:$A$364,$B5,Estado!$C$9:$C$364)</f>
        <v>27708909488</v>
      </c>
      <c r="E5" s="16">
        <f ca="1">SUMIF(Estado!$A$9:$A$364,$B5,Estado!$D$9:$D$364)</f>
        <v>27705995087</v>
      </c>
      <c r="F5" s="16">
        <f>SUMIF(Estado!$A$9:$A$364,$B5,Estado!$E$9:$E$364)</f>
        <v>0</v>
      </c>
      <c r="G5" s="16">
        <f>SUMIF(Estado!$A$9:$A$364,$B5,Estado!$G$9:$G$364)</f>
        <v>299.93</v>
      </c>
      <c r="H5" s="16">
        <f>SUMIF(Estado!$A$9:$A$364,$B5,Estado!$I$9:$I$364)</f>
        <v>0</v>
      </c>
      <c r="I5" s="16">
        <f>SUMIF(Estado!$A$9:$A$364,$B5,Estado!$K$9:$K$364)</f>
        <v>26908024166.66</v>
      </c>
      <c r="J5" s="16">
        <f t="shared" ref="J5:J68" si="3">SUM(G5:I5)</f>
        <v>26908024466.59</v>
      </c>
      <c r="K5" s="16">
        <f ca="1">SUMIF(Estado!$A$9:$A$364,$B5,Estado!$O$9:$O$364)</f>
        <v>800885021.41000009</v>
      </c>
      <c r="L5" s="51">
        <f t="shared" si="1"/>
        <v>0.97109647993340042</v>
      </c>
      <c r="M5" s="51">
        <f t="shared" ca="1" si="2"/>
        <v>2.8903520066599603E-2</v>
      </c>
    </row>
    <row r="6" spans="1:13" s="24" customFormat="1" ht="16.5" x14ac:dyDescent="0.25">
      <c r="A6" s="122"/>
      <c r="B6" s="119" t="str">
        <f>+Estado!A14</f>
        <v>E-00103</v>
      </c>
      <c r="C6" s="113" t="str">
        <f>IFERROR(VLOOKUP(B6,Estado!$A$9:$B$501,2,FALSE),0)</f>
        <v>SERVICIOS ESPECIALES</v>
      </c>
      <c r="D6" s="16">
        <f>SUMIF(Estado!$A$9:$A$364,$B6,Estado!$C$9:$C$364)</f>
        <v>264422000</v>
      </c>
      <c r="E6" s="16">
        <f ca="1">SUMIF(Estado!$A$9:$A$364,$B6,Estado!$D$9:$D$364)</f>
        <v>264422000</v>
      </c>
      <c r="F6" s="16">
        <f>SUMIF(Estado!$A$9:$A$364,$B6,Estado!$E$9:$E$364)</f>
        <v>0</v>
      </c>
      <c r="G6" s="16">
        <f>SUMIF(Estado!$A$9:$A$364,$B6,Estado!$G$9:$G$364)</f>
        <v>0</v>
      </c>
      <c r="H6" s="16">
        <f>SUMIF(Estado!$A$9:$A$364,$B6,Estado!$I$9:$I$364)</f>
        <v>0</v>
      </c>
      <c r="I6" s="16">
        <f>SUMIF(Estado!$A$9:$A$364,$B6,Estado!$K$9:$K$364)</f>
        <v>225245181.94</v>
      </c>
      <c r="J6" s="16">
        <f t="shared" si="3"/>
        <v>225245181.94</v>
      </c>
      <c r="K6" s="16">
        <f ca="1">SUMIF(Estado!$A$9:$A$364,$B6,Estado!$O$9:$O$364)</f>
        <v>39176818.060000002</v>
      </c>
      <c r="L6" s="51">
        <f t="shared" si="1"/>
        <v>0.85183979373879626</v>
      </c>
      <c r="M6" s="51">
        <f t="shared" ca="1" si="2"/>
        <v>0.14816020626120369</v>
      </c>
    </row>
    <row r="7" spans="1:13" s="24" customFormat="1" ht="16.5" x14ac:dyDescent="0.25">
      <c r="A7" s="122"/>
      <c r="B7" s="119" t="str">
        <f>+Estado!A15</f>
        <v>E-00105</v>
      </c>
      <c r="C7" s="113" t="str">
        <f>IFERROR(VLOOKUP(B7,Estado!$A$9:$B$501,2,FALSE),0)</f>
        <v>SUPLENCIAS</v>
      </c>
      <c r="D7" s="16">
        <f>SUMIF(Estado!$A$9:$A$364,$B7,Estado!$C$9:$C$364)</f>
        <v>10000000</v>
      </c>
      <c r="E7" s="16">
        <f ca="1">SUMIF(Estado!$A$9:$A$364,$B7,Estado!$D$9:$D$364)</f>
        <v>10000000</v>
      </c>
      <c r="F7" s="16">
        <f>SUMIF(Estado!$A$9:$A$364,$B7,Estado!$E$9:$E$364)</f>
        <v>0</v>
      </c>
      <c r="G7" s="16">
        <f>SUMIF(Estado!$A$9:$A$364,$B7,Estado!$G$9:$G$364)</f>
        <v>0</v>
      </c>
      <c r="H7" s="16">
        <f>SUMIF(Estado!$A$9:$A$364,$B7,Estado!$I$9:$I$364)</f>
        <v>0</v>
      </c>
      <c r="I7" s="16">
        <f>SUMIF(Estado!$A$9:$A$364,$B7,Estado!$K$9:$K$364)</f>
        <v>6852090</v>
      </c>
      <c r="J7" s="16">
        <f t="shared" si="3"/>
        <v>6852090</v>
      </c>
      <c r="K7" s="16">
        <f ca="1">SUMIF(Estado!$A$9:$A$364,$B7,Estado!$O$9:$O$364)</f>
        <v>3147910</v>
      </c>
      <c r="L7" s="51">
        <f t="shared" si="1"/>
        <v>0.68520899999999996</v>
      </c>
      <c r="M7" s="51">
        <f t="shared" ca="1" si="2"/>
        <v>0.31479099999999999</v>
      </c>
    </row>
    <row r="8" spans="1:13" s="24" customFormat="1" ht="16.5" x14ac:dyDescent="0.25">
      <c r="A8" s="122"/>
      <c r="B8" s="119" t="str">
        <f>+Estado!A16</f>
        <v>E-002</v>
      </c>
      <c r="C8" s="113" t="str">
        <f>IFERROR(VLOOKUP(B8,Estado!$A$9:$B$501,2,FALSE),0)</f>
        <v>REMUNERACIONES EVENT</v>
      </c>
      <c r="D8" s="16">
        <f>SUMIF(Estado!$A$9:$A$364,$B8,Estado!$C$9:$C$364)</f>
        <v>3075863466</v>
      </c>
      <c r="E8" s="16">
        <f ca="1">SUMIF(Estado!$A$9:$A$364,$B8,Estado!$D$9:$D$364)</f>
        <v>3075863466</v>
      </c>
      <c r="F8" s="16">
        <f>SUMIF(Estado!$A$9:$A$364,$B8,Estado!$E$9:$E$364)</f>
        <v>0</v>
      </c>
      <c r="G8" s="16">
        <f>SUMIF(Estado!$A$9:$A$364,$B8,Estado!$G$9:$G$364)</f>
        <v>31558.7</v>
      </c>
      <c r="H8" s="16">
        <f>SUMIF(Estado!$A$9:$A$364,$B8,Estado!$I$9:$I$364)</f>
        <v>0</v>
      </c>
      <c r="I8" s="16">
        <f>SUMIF(Estado!$A$9:$A$364,$B8,Estado!$K$9:$K$364)</f>
        <v>3036535747.9099998</v>
      </c>
      <c r="J8" s="16">
        <f t="shared" si="3"/>
        <v>3036567306.6099997</v>
      </c>
      <c r="K8" s="16">
        <f ca="1">SUMIF(Estado!$A$9:$A$364,$B8,Estado!$O$9:$O$364)</f>
        <v>39296159.390000001</v>
      </c>
      <c r="L8" s="51">
        <f t="shared" si="1"/>
        <v>0.98722434860182429</v>
      </c>
      <c r="M8" s="51">
        <f t="shared" ca="1" si="2"/>
        <v>1.2775651398175552E-2</v>
      </c>
    </row>
    <row r="9" spans="1:13" s="24" customFormat="1" ht="16.5" x14ac:dyDescent="0.25">
      <c r="A9" s="122"/>
      <c r="B9" s="119" t="str">
        <f>+Estado!A17</f>
        <v>E-00201</v>
      </c>
      <c r="C9" s="113" t="str">
        <f>IFERROR(VLOOKUP(B9,Estado!$A$9:$B$501,2,FALSE),0)</f>
        <v>TIEMPO EXTRAORD.</v>
      </c>
      <c r="D9" s="16">
        <f>SUMIF(Estado!$A$9:$A$364,$B9,Estado!$C$9:$C$364)</f>
        <v>30127466</v>
      </c>
      <c r="E9" s="16">
        <f ca="1">SUMIF(Estado!$A$9:$A$364,$B9,Estado!$D$9:$D$364)</f>
        <v>30127466</v>
      </c>
      <c r="F9" s="16">
        <f>SUMIF(Estado!$A$9:$A$364,$B9,Estado!$E$9:$E$364)</f>
        <v>0</v>
      </c>
      <c r="G9" s="16">
        <f>SUMIF(Estado!$A$9:$A$364,$B9,Estado!$G$9:$G$364)</f>
        <v>31558.7</v>
      </c>
      <c r="H9" s="16">
        <f>SUMIF(Estado!$A$9:$A$364,$B9,Estado!$I$9:$I$364)</f>
        <v>0</v>
      </c>
      <c r="I9" s="16">
        <f>SUMIF(Estado!$A$9:$A$364,$B9,Estado!$K$9:$K$364)</f>
        <v>22924352.630000003</v>
      </c>
      <c r="J9" s="16">
        <f t="shared" si="3"/>
        <v>22955911.330000002</v>
      </c>
      <c r="K9" s="16">
        <f ca="1">SUMIF(Estado!$A$9:$A$364,$B9,Estado!$O$9:$O$364)</f>
        <v>7171554.6699999999</v>
      </c>
      <c r="L9" s="51">
        <f t="shared" si="1"/>
        <v>0.76195957967390959</v>
      </c>
      <c r="M9" s="51">
        <f t="shared" ca="1" si="2"/>
        <v>0.23804042032609049</v>
      </c>
    </row>
    <row r="10" spans="1:13" s="24" customFormat="1" ht="16.5" x14ac:dyDescent="0.25">
      <c r="A10" s="122"/>
      <c r="B10" s="119" t="str">
        <f>+Estado!A18</f>
        <v>E-00202</v>
      </c>
      <c r="C10" s="113" t="str">
        <f>IFERROR(VLOOKUP(B10,Estado!$A$9:$B$501,2,FALSE),0)</f>
        <v>RECARGO DE FUNCIONES</v>
      </c>
      <c r="D10" s="16">
        <f>SUMIF(Estado!$A$9:$A$364,$B10,Estado!$C$9:$C$364)</f>
        <v>9000000</v>
      </c>
      <c r="E10" s="16">
        <f ca="1">SUMIF(Estado!$A$9:$A$364,$B10,Estado!$D$9:$D$364)</f>
        <v>9000000</v>
      </c>
      <c r="F10" s="16">
        <f>SUMIF(Estado!$A$9:$A$364,$B10,Estado!$E$9:$E$364)</f>
        <v>0</v>
      </c>
      <c r="G10" s="16">
        <f>SUMIF(Estado!$A$9:$A$364,$B10,Estado!$G$9:$G$364)</f>
        <v>0</v>
      </c>
      <c r="H10" s="16">
        <f>SUMIF(Estado!$A$9:$A$364,$B10,Estado!$I$9:$I$364)</f>
        <v>0</v>
      </c>
      <c r="I10" s="16">
        <f>SUMIF(Estado!$A$9:$A$364,$B10,Estado!$K$9:$K$364)</f>
        <v>7843142.5999999996</v>
      </c>
      <c r="J10" s="16">
        <f t="shared" si="3"/>
        <v>7843142.5999999996</v>
      </c>
      <c r="K10" s="16">
        <f ca="1">SUMIF(Estado!$A$9:$A$364,$B10,Estado!$O$9:$O$364)</f>
        <v>1156857.3999999999</v>
      </c>
      <c r="L10" s="51">
        <f t="shared" si="1"/>
        <v>0.87146028888888882</v>
      </c>
      <c r="M10" s="51">
        <f t="shared" ca="1" si="2"/>
        <v>0.12853971111111109</v>
      </c>
    </row>
    <row r="11" spans="1:13" s="24" customFormat="1" ht="16.5" x14ac:dyDescent="0.25">
      <c r="A11" s="122"/>
      <c r="B11" s="119" t="str">
        <f>+Estado!A19</f>
        <v>E-00203</v>
      </c>
      <c r="C11" s="113" t="str">
        <f>IFERROR(VLOOKUP(B11,Estado!$A$9:$B$501,2,FALSE),0)</f>
        <v>DISPONIBILIDAD LAB.</v>
      </c>
      <c r="D11" s="16">
        <f>SUMIF(Estado!$A$9:$A$364,$B11,Estado!$C$9:$C$364)</f>
        <v>3036736000</v>
      </c>
      <c r="E11" s="16">
        <f ca="1">SUMIF(Estado!$A$9:$A$364,$B11,Estado!$D$9:$D$364)</f>
        <v>3036736000</v>
      </c>
      <c r="F11" s="16">
        <f>SUMIF(Estado!$A$9:$A$364,$B11,Estado!$E$9:$E$364)</f>
        <v>0</v>
      </c>
      <c r="G11" s="16">
        <f>SUMIF(Estado!$A$9:$A$364,$B11,Estado!$G$9:$G$364)</f>
        <v>0</v>
      </c>
      <c r="H11" s="16">
        <f>SUMIF(Estado!$A$9:$A$364,$B11,Estado!$I$9:$I$364)</f>
        <v>0</v>
      </c>
      <c r="I11" s="16">
        <f>SUMIF(Estado!$A$9:$A$364,$B11,Estado!$K$9:$K$364)</f>
        <v>3005768252.6799998</v>
      </c>
      <c r="J11" s="16">
        <f t="shared" si="3"/>
        <v>3005768252.6799998</v>
      </c>
      <c r="K11" s="16">
        <f ca="1">SUMIF(Estado!$A$9:$A$364,$B11,Estado!$O$9:$O$364)</f>
        <v>30967747.32</v>
      </c>
      <c r="L11" s="51">
        <f t="shared" si="1"/>
        <v>0.98980229189498192</v>
      </c>
      <c r="M11" s="51">
        <f t="shared" ca="1" si="2"/>
        <v>1.019770810501802E-2</v>
      </c>
    </row>
    <row r="12" spans="1:13" s="24" customFormat="1" ht="16.5" x14ac:dyDescent="0.25">
      <c r="A12" s="122"/>
      <c r="B12" s="119" t="str">
        <f>+Estado!A20</f>
        <v>E-003</v>
      </c>
      <c r="C12" s="113" t="str">
        <f>IFERROR(VLOOKUP(B12,Estado!$A$9:$B$501,2,FALSE),0)</f>
        <v>INCENTIVOS SALARIAL</v>
      </c>
      <c r="D12" s="16">
        <f>SUMIF(Estado!$A$9:$A$364,$B12,Estado!$C$9:$C$364)</f>
        <v>36008546965</v>
      </c>
      <c r="E12" s="16">
        <f ca="1">SUMIF(Estado!$A$9:$A$364,$B12,Estado!$D$9:$D$364)</f>
        <v>36008546965</v>
      </c>
      <c r="F12" s="16">
        <f>SUMIF(Estado!$A$9:$A$364,$B12,Estado!$E$9:$E$364)</f>
        <v>0</v>
      </c>
      <c r="G12" s="16">
        <f>SUMIF(Estado!$A$9:$A$364,$B12,Estado!$G$9:$G$364)</f>
        <v>4465.07</v>
      </c>
      <c r="H12" s="16">
        <f>SUMIF(Estado!$A$9:$A$364,$B12,Estado!$I$9:$I$364)</f>
        <v>0</v>
      </c>
      <c r="I12" s="16">
        <f>SUMIF(Estado!$A$9:$A$364,$B12,Estado!$K$9:$K$364)</f>
        <v>35146589518.489998</v>
      </c>
      <c r="J12" s="16">
        <f t="shared" si="3"/>
        <v>35146593983.559998</v>
      </c>
      <c r="K12" s="16">
        <f ca="1">SUMIF(Estado!$A$9:$A$364,$B12,Estado!$O$9:$O$364)</f>
        <v>861952981.44000006</v>
      </c>
      <c r="L12" s="51">
        <f t="shared" si="1"/>
        <v>0.97606254475422705</v>
      </c>
      <c r="M12" s="51">
        <f t="shared" ca="1" si="2"/>
        <v>2.3937455245772926E-2</v>
      </c>
    </row>
    <row r="13" spans="1:13" s="24" customFormat="1" ht="16.5" x14ac:dyDescent="0.25">
      <c r="A13" s="122"/>
      <c r="B13" s="119" t="str">
        <f>+Estado!A21</f>
        <v>E-00301</v>
      </c>
      <c r="C13" s="113" t="str">
        <f>IFERROR(VLOOKUP(B13,Estado!$A$9:$B$501,2,FALSE),0)</f>
        <v>RETRIB AÑOS SERVIDOS</v>
      </c>
      <c r="D13" s="16">
        <f>SUMIF(Estado!$A$9:$A$364,$B13,Estado!$C$9:$C$364)</f>
        <v>10368897175</v>
      </c>
      <c r="E13" s="16">
        <f ca="1">SUMIF(Estado!$A$9:$A$364,$B13,Estado!$D$9:$D$364)</f>
        <v>10368897175</v>
      </c>
      <c r="F13" s="16">
        <f>SUMIF(Estado!$A$9:$A$364,$B13,Estado!$E$9:$E$364)</f>
        <v>0</v>
      </c>
      <c r="G13" s="16">
        <f>SUMIF(Estado!$A$9:$A$364,$B13,Estado!$G$9:$G$364)</f>
        <v>0</v>
      </c>
      <c r="H13" s="16">
        <f>SUMIF(Estado!$A$9:$A$364,$B13,Estado!$I$9:$I$364)</f>
        <v>0</v>
      </c>
      <c r="I13" s="16">
        <f>SUMIF(Estado!$A$9:$A$364,$B13,Estado!$K$9:$K$364)</f>
        <v>10176035302.76</v>
      </c>
      <c r="J13" s="16">
        <f t="shared" si="3"/>
        <v>10176035302.76</v>
      </c>
      <c r="K13" s="16">
        <f ca="1">SUMIF(Estado!$A$9:$A$364,$B13,Estado!$O$9:$O$364)</f>
        <v>192861872.24000001</v>
      </c>
      <c r="L13" s="51">
        <f t="shared" si="1"/>
        <v>0.9813999628904605</v>
      </c>
      <c r="M13" s="51">
        <f t="shared" ca="1" si="2"/>
        <v>1.8600037109539568E-2</v>
      </c>
    </row>
    <row r="14" spans="1:13" s="24" customFormat="1" ht="16.5" x14ac:dyDescent="0.25">
      <c r="A14" s="122"/>
      <c r="B14" s="119" t="str">
        <f>+Estado!A22</f>
        <v>E-00302</v>
      </c>
      <c r="C14" s="113" t="str">
        <f>IFERROR(VLOOKUP(B14,Estado!$A$9:$B$501,2,FALSE),0)</f>
        <v>REST. EJERC LIB PROF</v>
      </c>
      <c r="D14" s="16">
        <f>SUMIF(Estado!$A$9:$A$364,$B14,Estado!$C$9:$C$364)</f>
        <v>7321516016</v>
      </c>
      <c r="E14" s="16">
        <f ca="1">SUMIF(Estado!$A$9:$A$364,$B14,Estado!$D$9:$D$364)</f>
        <v>7321516016</v>
      </c>
      <c r="F14" s="16">
        <f>SUMIF(Estado!$A$9:$A$364,$B14,Estado!$E$9:$E$364)</f>
        <v>0</v>
      </c>
      <c r="G14" s="16">
        <f>SUMIF(Estado!$A$9:$A$364,$B14,Estado!$G$9:$G$364)</f>
        <v>0</v>
      </c>
      <c r="H14" s="16">
        <f>SUMIF(Estado!$A$9:$A$364,$B14,Estado!$I$9:$I$364)</f>
        <v>0</v>
      </c>
      <c r="I14" s="16">
        <f>SUMIF(Estado!$A$9:$A$364,$B14,Estado!$K$9:$K$364)</f>
        <v>7188598739.000001</v>
      </c>
      <c r="J14" s="16">
        <f t="shared" si="3"/>
        <v>7188598739.000001</v>
      </c>
      <c r="K14" s="16">
        <f ca="1">SUMIF(Estado!$A$9:$A$364,$B14,Estado!$O$9:$O$364)</f>
        <v>132917277.00000001</v>
      </c>
      <c r="L14" s="51">
        <f t="shared" si="1"/>
        <v>0.98184566192172096</v>
      </c>
      <c r="M14" s="51">
        <f t="shared" ca="1" si="2"/>
        <v>1.8154338078279226E-2</v>
      </c>
    </row>
    <row r="15" spans="1:13" s="24" customFormat="1" ht="16.5" x14ac:dyDescent="0.25">
      <c r="A15" s="122"/>
      <c r="B15" s="119" t="str">
        <f>+Estado!A23</f>
        <v>E-00303</v>
      </c>
      <c r="C15" s="113" t="str">
        <f>IFERROR(VLOOKUP(B15,Estado!$A$9:$B$501,2,FALSE),0)</f>
        <v>DECIMOTERCER MES</v>
      </c>
      <c r="D15" s="16">
        <f>SUMIF(Estado!$A$9:$A$364,$B15,Estado!$C$9:$C$364)</f>
        <v>5312901000</v>
      </c>
      <c r="E15" s="16">
        <f ca="1">SUMIF(Estado!$A$9:$A$364,$B15,Estado!$D$9:$D$364)</f>
        <v>5312901000</v>
      </c>
      <c r="F15" s="16">
        <f>SUMIF(Estado!$A$9:$A$364,$B15,Estado!$E$9:$E$364)</f>
        <v>0</v>
      </c>
      <c r="G15" s="16">
        <f>SUMIF(Estado!$A$9:$A$364,$B15,Estado!$G$9:$G$364)</f>
        <v>838.65</v>
      </c>
      <c r="H15" s="16">
        <f>SUMIF(Estado!$A$9:$A$364,$B15,Estado!$I$9:$I$364)</f>
        <v>0</v>
      </c>
      <c r="I15" s="16">
        <f>SUMIF(Estado!$A$9:$A$364,$B15,Estado!$K$9:$K$364)</f>
        <v>5032158503.7600002</v>
      </c>
      <c r="J15" s="16">
        <f t="shared" si="3"/>
        <v>5032159342.4099998</v>
      </c>
      <c r="K15" s="16">
        <f ca="1">SUMIF(Estado!$A$9:$A$364,$B15,Estado!$O$9:$O$364)</f>
        <v>280741657.59000003</v>
      </c>
      <c r="L15" s="51">
        <f t="shared" si="1"/>
        <v>0.94715850011321501</v>
      </c>
      <c r="M15" s="51">
        <f t="shared" ca="1" si="2"/>
        <v>5.2841499886785021E-2</v>
      </c>
    </row>
    <row r="16" spans="1:13" s="24" customFormat="1" ht="16.5" x14ac:dyDescent="0.25">
      <c r="A16" s="122"/>
      <c r="B16" s="119" t="str">
        <f>+Estado!A24</f>
        <v>E-00304</v>
      </c>
      <c r="C16" s="113" t="str">
        <f>IFERROR(VLOOKUP(B16,Estado!$A$9:$B$501,2,FALSE),0)</f>
        <v>SALARIO ESCOLAR</v>
      </c>
      <c r="D16" s="16">
        <f>SUMIF(Estado!$A$9:$A$364,$B16,Estado!$C$9:$C$364)</f>
        <v>4607300000</v>
      </c>
      <c r="E16" s="16">
        <f ca="1">SUMIF(Estado!$A$9:$A$364,$B16,Estado!$D$9:$D$364)</f>
        <v>4607300000</v>
      </c>
      <c r="F16" s="16">
        <f>SUMIF(Estado!$A$9:$A$364,$B16,Estado!$E$9:$E$364)</f>
        <v>0</v>
      </c>
      <c r="G16" s="16">
        <f>SUMIF(Estado!$A$9:$A$364,$B16,Estado!$G$9:$G$364)</f>
        <v>3626.42</v>
      </c>
      <c r="H16" s="16">
        <f>SUMIF(Estado!$A$9:$A$364,$B16,Estado!$I$9:$I$364)</f>
        <v>0</v>
      </c>
      <c r="I16" s="16">
        <f>SUMIF(Estado!$A$9:$A$364,$B16,Estado!$K$9:$K$364)</f>
        <v>4547736922.7300005</v>
      </c>
      <c r="J16" s="16">
        <f t="shared" si="3"/>
        <v>4547740549.1500006</v>
      </c>
      <c r="K16" s="16">
        <f ca="1">SUMIF(Estado!$A$9:$A$364,$B16,Estado!$O$9:$O$364)</f>
        <v>59559450.849999994</v>
      </c>
      <c r="L16" s="51">
        <f t="shared" si="1"/>
        <v>0.98707280818483722</v>
      </c>
      <c r="M16" s="51">
        <f t="shared" ca="1" si="2"/>
        <v>1.2927191815162893E-2</v>
      </c>
    </row>
    <row r="17" spans="1:13" s="24" customFormat="1" ht="16.5" x14ac:dyDescent="0.25">
      <c r="A17" s="122"/>
      <c r="B17" s="119" t="str">
        <f>+Estado!A25</f>
        <v>E-00399</v>
      </c>
      <c r="C17" s="113" t="str">
        <f>IFERROR(VLOOKUP(B17,Estado!$A$9:$B$501,2,FALSE),0)</f>
        <v>OTROS INCENT SALAR.</v>
      </c>
      <c r="D17" s="16">
        <f>SUMIF(Estado!$A$9:$A$364,$B17,Estado!$C$9:$C$364)</f>
        <v>8397932774</v>
      </c>
      <c r="E17" s="16">
        <f ca="1">SUMIF(Estado!$A$9:$A$364,$B17,Estado!$D$9:$D$364)</f>
        <v>8397932774</v>
      </c>
      <c r="F17" s="16">
        <f>SUMIF(Estado!$A$9:$A$364,$B17,Estado!$E$9:$E$364)</f>
        <v>0</v>
      </c>
      <c r="G17" s="16">
        <f>SUMIF(Estado!$A$9:$A$364,$B17,Estado!$G$9:$G$364)</f>
        <v>0</v>
      </c>
      <c r="H17" s="16">
        <f>SUMIF(Estado!$A$9:$A$364,$B17,Estado!$I$9:$I$364)</f>
        <v>0</v>
      </c>
      <c r="I17" s="16">
        <f>SUMIF(Estado!$A$9:$A$364,$B17,Estado!$K$9:$K$364)</f>
        <v>8202060050.2399998</v>
      </c>
      <c r="J17" s="16">
        <f t="shared" si="3"/>
        <v>8202060050.2399998</v>
      </c>
      <c r="K17" s="16">
        <f ca="1">SUMIF(Estado!$A$9:$A$364,$B17,Estado!$O$9:$O$364)</f>
        <v>195872723.75999999</v>
      </c>
      <c r="L17" s="51">
        <f t="shared" si="1"/>
        <v>0.97667607862182204</v>
      </c>
      <c r="M17" s="51">
        <f t="shared" ca="1" si="2"/>
        <v>2.3323921378177966E-2</v>
      </c>
    </row>
    <row r="18" spans="1:13" s="24" customFormat="1" ht="16.5" x14ac:dyDescent="0.25">
      <c r="A18" s="122"/>
      <c r="B18" s="119" t="str">
        <f>+Estado!A26</f>
        <v>E-004</v>
      </c>
      <c r="C18" s="113" t="str">
        <f>IFERROR(VLOOKUP(B18,Estado!$A$9:$B$501,2,FALSE),0)</f>
        <v>CONT PATR DESA S.SOC</v>
      </c>
      <c r="D18" s="16">
        <f>SUMIF(Estado!$A$9:$A$364,$B18,Estado!$C$9:$C$364)</f>
        <v>5970848670</v>
      </c>
      <c r="E18" s="16">
        <f ca="1">SUMIF(Estado!$A$9:$A$364,$B18,Estado!$D$9:$D$364)</f>
        <v>5970848670</v>
      </c>
      <c r="F18" s="16">
        <f>SUMIF(Estado!$A$9:$A$364,$B18,Estado!$E$9:$E$364)</f>
        <v>0</v>
      </c>
      <c r="G18" s="16">
        <f>SUMIF(Estado!$A$9:$A$364,$B18,Estado!$G$9:$G$364)</f>
        <v>4770904.04</v>
      </c>
      <c r="H18" s="16">
        <f>SUMIF(Estado!$A$9:$A$364,$B18,Estado!$I$9:$I$364)</f>
        <v>0</v>
      </c>
      <c r="I18" s="16">
        <f>SUMIF(Estado!$A$9:$A$364,$B18,Estado!$K$9:$K$364)</f>
        <v>5847985753</v>
      </c>
      <c r="J18" s="16">
        <f t="shared" si="3"/>
        <v>5852756657.04</v>
      </c>
      <c r="K18" s="16">
        <f ca="1">SUMIF(Estado!$A$9:$A$364,$B18,Estado!$O$9:$O$364)</f>
        <v>118092012.96000001</v>
      </c>
      <c r="L18" s="51">
        <f t="shared" si="1"/>
        <v>0.98022190487704985</v>
      </c>
      <c r="M18" s="51">
        <f t="shared" ca="1" si="2"/>
        <v>1.9778095122950087E-2</v>
      </c>
    </row>
    <row r="19" spans="1:13" s="24" customFormat="1" ht="16.5" x14ac:dyDescent="0.25">
      <c r="A19" s="122"/>
      <c r="B19" s="119" t="str">
        <f>+Estado!A27</f>
        <v>E-00401</v>
      </c>
      <c r="C19" s="113" t="str">
        <f>IFERROR(VLOOKUP(B19,Estado!$A$9:$B$501,2,FALSE),0)</f>
        <v>CONT P.SEG.S C.C.S.S</v>
      </c>
      <c r="D19" s="16">
        <f>SUMIF(Estado!$A$9:$A$364,$B19,Estado!$C$9:$C$364)</f>
        <v>5659181686</v>
      </c>
      <c r="E19" s="16">
        <f ca="1">SUMIF(Estado!$A$9:$A$364,$B19,Estado!$D$9:$D$364)</f>
        <v>5659181686</v>
      </c>
      <c r="F19" s="16">
        <f>SUMIF(Estado!$A$9:$A$364,$B19,Estado!$E$9:$E$364)</f>
        <v>0</v>
      </c>
      <c r="G19" s="16">
        <f>SUMIF(Estado!$A$9:$A$364,$B19,Estado!$G$9:$G$364)</f>
        <v>3077861.53</v>
      </c>
      <c r="H19" s="16">
        <f>SUMIF(Estado!$A$9:$A$364,$B19,Estado!$I$9:$I$364)</f>
        <v>0</v>
      </c>
      <c r="I19" s="16">
        <f>SUMIF(Estado!$A$9:$A$364,$B19,Estado!$K$9:$K$364)</f>
        <v>5548261049</v>
      </c>
      <c r="J19" s="16">
        <f t="shared" si="3"/>
        <v>5551338910.5299997</v>
      </c>
      <c r="K19" s="16">
        <f ca="1">SUMIF(Estado!$A$9:$A$364,$B19,Estado!$O$9:$O$364)</f>
        <v>107842775.47</v>
      </c>
      <c r="L19" s="51">
        <f t="shared" si="1"/>
        <v>0.98094375097785114</v>
      </c>
      <c r="M19" s="51">
        <f t="shared" ca="1" si="2"/>
        <v>1.9056249022148818E-2</v>
      </c>
    </row>
    <row r="20" spans="1:13" s="24" customFormat="1" ht="16.5" x14ac:dyDescent="0.25">
      <c r="A20" s="122"/>
      <c r="B20" s="119" t="str">
        <f>+Estado!A33</f>
        <v>E-00405</v>
      </c>
      <c r="C20" s="113" t="str">
        <f>IFERROR(VLOOKUP(B20,Estado!$A$9:$B$501,2,FALSE),0)</f>
        <v>CONTRIB PAT B.P.D.C.</v>
      </c>
      <c r="D20" s="16">
        <f>SUMIF(Estado!$A$9:$A$364,$B20,Estado!$C$9:$C$364)</f>
        <v>311666984</v>
      </c>
      <c r="E20" s="16">
        <f ca="1">SUMIF(Estado!$A$9:$A$364,$B20,Estado!$D$9:$D$364)</f>
        <v>311666984</v>
      </c>
      <c r="F20" s="16">
        <f>SUMIF(Estado!$A$9:$A$364,$B20,Estado!$E$9:$E$364)</f>
        <v>0</v>
      </c>
      <c r="G20" s="16">
        <f>SUMIF(Estado!$A$9:$A$364,$B20,Estado!$G$9:$G$364)</f>
        <v>1693042.51</v>
      </c>
      <c r="H20" s="16">
        <f>SUMIF(Estado!$A$9:$A$364,$B20,Estado!$I$9:$I$364)</f>
        <v>0</v>
      </c>
      <c r="I20" s="16">
        <f>SUMIF(Estado!$A$9:$A$364,$B20,Estado!$K$9:$K$364)</f>
        <v>299724704</v>
      </c>
      <c r="J20" s="16">
        <f t="shared" si="3"/>
        <v>301417746.50999999</v>
      </c>
      <c r="K20" s="16">
        <f ca="1">SUMIF(Estado!$A$9:$A$364,$B20,Estado!$O$9:$O$364)</f>
        <v>10249237.49</v>
      </c>
      <c r="L20" s="51">
        <f t="shared" si="1"/>
        <v>0.96711477950452396</v>
      </c>
      <c r="M20" s="51">
        <f t="shared" ca="1" si="2"/>
        <v>3.2885220495476028E-2</v>
      </c>
    </row>
    <row r="21" spans="1:13" s="24" customFormat="1" ht="16.5" x14ac:dyDescent="0.25">
      <c r="A21" s="122"/>
      <c r="B21" s="119" t="str">
        <f>+Estado!A39</f>
        <v>E-005</v>
      </c>
      <c r="C21" s="113" t="str">
        <f>IFERROR(VLOOKUP(B21,Estado!$A$9:$B$501,2,FALSE),0)</f>
        <v>CONT PATR F.PENS OTR</v>
      </c>
      <c r="D21" s="16">
        <f>SUMIF(Estado!$A$9:$A$364,$B21,Estado!$C$9:$C$364)</f>
        <v>6062975835</v>
      </c>
      <c r="E21" s="16">
        <f ca="1">SUMIF(Estado!$A$9:$A$364,$B21,Estado!$D$9:$D$364)</f>
        <v>6062975835</v>
      </c>
      <c r="F21" s="16">
        <f>SUMIF(Estado!$A$9:$A$364,$B21,Estado!$E$9:$E$364)</f>
        <v>0</v>
      </c>
      <c r="G21" s="16">
        <f>SUMIF(Estado!$A$9:$A$364,$B21,Estado!$G$9:$G$364)</f>
        <v>40454433.060000002</v>
      </c>
      <c r="H21" s="16">
        <f>SUMIF(Estado!$A$9:$A$364,$B21,Estado!$I$9:$I$364)</f>
        <v>0</v>
      </c>
      <c r="I21" s="16">
        <f>SUMIF(Estado!$A$9:$A$364,$B21,Estado!$K$9:$K$364)</f>
        <v>5702666445.71</v>
      </c>
      <c r="J21" s="16">
        <f t="shared" si="3"/>
        <v>5743120878.7700005</v>
      </c>
      <c r="K21" s="16">
        <f ca="1">SUMIF(Estado!$A$9:$A$364,$B21,Estado!$O$9:$O$364)</f>
        <v>319854956.23000002</v>
      </c>
      <c r="L21" s="51">
        <f t="shared" si="1"/>
        <v>0.94724456027293413</v>
      </c>
      <c r="M21" s="51">
        <f t="shared" ca="1" si="2"/>
        <v>5.2755439727065978E-2</v>
      </c>
    </row>
    <row r="22" spans="1:13" s="23" customFormat="1" ht="16.5" x14ac:dyDescent="0.25">
      <c r="A22" s="120"/>
      <c r="B22" s="119" t="str">
        <f>+Estado!A40</f>
        <v>E-00501</v>
      </c>
      <c r="C22" s="113" t="str">
        <f>IFERROR(VLOOKUP(B22,Estado!$A$9:$B$501,2,FALSE),0)</f>
        <v>CONT P.SPENS.C.C.S.S</v>
      </c>
      <c r="D22" s="16">
        <f>SUMIF(Estado!$A$9:$A$364,$B22,Estado!$C$9:$C$364)</f>
        <v>3137474986</v>
      </c>
      <c r="E22" s="16">
        <f ca="1">SUMIF(Estado!$A$9:$A$364,$B22,Estado!$D$9:$D$364)</f>
        <v>3137474986</v>
      </c>
      <c r="F22" s="16">
        <f>SUMIF(Estado!$A$9:$A$364,$B22,Estado!$E$9:$E$364)</f>
        <v>0</v>
      </c>
      <c r="G22" s="16">
        <f>SUMIF(Estado!$A$9:$A$364,$B22,Estado!$G$9:$G$364)</f>
        <v>25222840.43</v>
      </c>
      <c r="H22" s="16">
        <f>SUMIF(Estado!$A$9:$A$364,$B22,Estado!$I$9:$I$364)</f>
        <v>0</v>
      </c>
      <c r="I22" s="16">
        <f>SUMIF(Estado!$A$9:$A$364,$B22,Estado!$K$9:$K$364)</f>
        <v>2905432795</v>
      </c>
      <c r="J22" s="16">
        <f t="shared" ref="J22" si="4">SUM(G22:I22)</f>
        <v>2930655635.4299998</v>
      </c>
      <c r="K22" s="16">
        <f ca="1">SUMIF(Estado!$A$9:$A$364,$B22,Estado!$O$9:$O$364)</f>
        <v>206819350.56999999</v>
      </c>
      <c r="L22" s="51">
        <f t="shared" si="1"/>
        <v>0.93408095634455512</v>
      </c>
      <c r="M22" s="51">
        <f t="shared" ca="1" si="2"/>
        <v>6.5919043655444778E-2</v>
      </c>
    </row>
    <row r="23" spans="1:13" s="24" customFormat="1" ht="16.5" x14ac:dyDescent="0.25">
      <c r="A23" s="122"/>
      <c r="B23" s="119" t="str">
        <f>+Estado!A46</f>
        <v>E-00502</v>
      </c>
      <c r="C23" s="113" t="str">
        <f>IFERROR(VLOOKUP(B23,Estado!$A$9:$B$501,2,FALSE),0)</f>
        <v>APORT P.RÉG.OBLI.P.C</v>
      </c>
      <c r="D23" s="16">
        <f>SUMIF(Estado!$A$9:$A$364,$B23,Estado!$C$9:$C$364)</f>
        <v>932995950</v>
      </c>
      <c r="E23" s="16">
        <f ca="1">SUMIF(Estado!$A$9:$A$364,$B23,Estado!$D$9:$D$364)</f>
        <v>932995950</v>
      </c>
      <c r="F23" s="16">
        <f>SUMIF(Estado!$A$9:$A$364,$B23,Estado!$E$9:$E$364)</f>
        <v>0</v>
      </c>
      <c r="G23" s="16">
        <f>SUMIF(Estado!$A$9:$A$364,$B23,Estado!$G$9:$G$364)</f>
        <v>5077559.54</v>
      </c>
      <c r="H23" s="16">
        <f>SUMIF(Estado!$A$9:$A$364,$B23,Estado!$I$9:$I$364)</f>
        <v>0</v>
      </c>
      <c r="I23" s="16">
        <f>SUMIF(Estado!$A$9:$A$364,$B23,Estado!$K$9:$K$364)</f>
        <v>899115319</v>
      </c>
      <c r="J23" s="16">
        <f t="shared" si="3"/>
        <v>904192878.53999996</v>
      </c>
      <c r="K23" s="16">
        <f ca="1">SUMIF(Estado!$A$9:$A$364,$B23,Estado!$O$9:$O$364)</f>
        <v>28803071.460000001</v>
      </c>
      <c r="L23" s="51">
        <f t="shared" si="1"/>
        <v>0.96912840676318046</v>
      </c>
      <c r="M23" s="51">
        <f t="shared" ca="1" si="2"/>
        <v>3.0871593236819518E-2</v>
      </c>
    </row>
    <row r="24" spans="1:13" s="24" customFormat="1" ht="16.5" x14ac:dyDescent="0.25">
      <c r="A24" s="122"/>
      <c r="B24" s="119" t="str">
        <f>+Estado!A52</f>
        <v>E-00503</v>
      </c>
      <c r="C24" s="113" t="str">
        <f>IFERROR(VLOOKUP(B24,Estado!$A$9:$B$501,2,FALSE),0)</f>
        <v>APORT P.FOND.CAP.LAB</v>
      </c>
      <c r="D24" s="16">
        <f>SUMIF(Estado!$A$9:$A$364,$B24,Estado!$C$9:$C$364)</f>
        <v>1865989899</v>
      </c>
      <c r="E24" s="16">
        <f ca="1">SUMIF(Estado!$A$9:$A$364,$B24,Estado!$D$9:$D$364)</f>
        <v>1865989899</v>
      </c>
      <c r="F24" s="16">
        <f>SUMIF(Estado!$A$9:$A$364,$B24,Estado!$E$9:$E$364)</f>
        <v>0</v>
      </c>
      <c r="G24" s="16">
        <f>SUMIF(Estado!$A$9:$A$364,$B24,Estado!$G$9:$G$364)</f>
        <v>10154033.09</v>
      </c>
      <c r="H24" s="16">
        <f>SUMIF(Estado!$A$9:$A$364,$B24,Estado!$I$9:$I$364)</f>
        <v>0</v>
      </c>
      <c r="I24" s="16">
        <f>SUMIF(Estado!$A$9:$A$364,$B24,Estado!$K$9:$K$364)</f>
        <v>1798341953</v>
      </c>
      <c r="J24" s="16">
        <f t="shared" si="3"/>
        <v>1808495986.0899999</v>
      </c>
      <c r="K24" s="16">
        <f ca="1">SUMIF(Estado!$A$9:$A$364,$B24,Estado!$O$9:$O$364)</f>
        <v>57493912.909999996</v>
      </c>
      <c r="L24" s="51">
        <f t="shared" si="1"/>
        <v>0.9691885186834015</v>
      </c>
      <c r="M24" s="51">
        <f t="shared" ca="1" si="2"/>
        <v>3.0811481316598485E-2</v>
      </c>
    </row>
    <row r="25" spans="1:13" s="24" customFormat="1" ht="16.5" x14ac:dyDescent="0.25">
      <c r="A25" s="122"/>
      <c r="B25" s="119" t="str">
        <f>+Estado!A58</f>
        <v>E-00505</v>
      </c>
      <c r="C25" s="113" t="str">
        <f>IFERROR(VLOOKUP(B25,Estado!$A$9:$B$501,2,FALSE),0)</f>
        <v>CONT.PAT.A.F.A.EPRIV</v>
      </c>
      <c r="D25" s="16">
        <f>SUMIF(Estado!$A$9:$A$364,$B25,Estado!$C$9:$C$364)</f>
        <v>126515000</v>
      </c>
      <c r="E25" s="16">
        <f ca="1">SUMIF(Estado!$A$9:$A$364,$B25,Estado!$D$9:$D$364)</f>
        <v>126515000</v>
      </c>
      <c r="F25" s="16">
        <f>SUMIF(Estado!$A$9:$A$364,$B25,Estado!$E$9:$E$364)</f>
        <v>0</v>
      </c>
      <c r="G25" s="16">
        <f>SUMIF(Estado!$A$9:$A$364,$B25,Estado!$G$9:$G$364)</f>
        <v>0</v>
      </c>
      <c r="H25" s="16">
        <f>SUMIF(Estado!$A$9:$A$364,$B25,Estado!$I$9:$I$364)</f>
        <v>0</v>
      </c>
      <c r="I25" s="16">
        <f>SUMIF(Estado!$A$9:$A$364,$B25,Estado!$K$9:$K$364)</f>
        <v>99776378.709999993</v>
      </c>
      <c r="J25" s="16">
        <f t="shared" si="3"/>
        <v>99776378.709999993</v>
      </c>
      <c r="K25" s="16">
        <f ca="1">SUMIF(Estado!$A$9:$A$364,$B25,Estado!$O$9:$O$364)</f>
        <v>26738621.289999999</v>
      </c>
      <c r="L25" s="51">
        <f t="shared" si="1"/>
        <v>0.78865256064498279</v>
      </c>
      <c r="M25" s="51">
        <f t="shared" ca="1" si="2"/>
        <v>0.21134743935501718</v>
      </c>
    </row>
    <row r="26" spans="1:13" s="24" customFormat="1" ht="16.5" x14ac:dyDescent="0.25">
      <c r="A26" s="122"/>
      <c r="B26" s="119" t="str">
        <f>+Estado!A60</f>
        <v>E-099</v>
      </c>
      <c r="C26" s="113" t="str">
        <f>IFERROR(VLOOKUP(B26,Estado!$A$9:$B$501,2,FALSE),0)</f>
        <v>REMUNERACIONES DIVER</v>
      </c>
      <c r="D26" s="16">
        <f>SUMIF(Estado!$A$9:$A$364,$B26,Estado!$C$9:$C$364)</f>
        <v>300000</v>
      </c>
      <c r="E26" s="16">
        <f ca="1">SUMIF(Estado!$A$9:$A$364,$B26,Estado!$D$9:$D$364)</f>
        <v>300000</v>
      </c>
      <c r="F26" s="16">
        <f>SUMIF(Estado!$A$9:$A$364,$B26,Estado!$E$9:$E$364)</f>
        <v>0</v>
      </c>
      <c r="G26" s="16">
        <f>SUMIF(Estado!$A$9:$A$364,$B26,Estado!$G$9:$G$364)</f>
        <v>0</v>
      </c>
      <c r="H26" s="16">
        <f>SUMIF(Estado!$A$9:$A$364,$B26,Estado!$I$9:$I$364)</f>
        <v>0</v>
      </c>
      <c r="I26" s="16">
        <f>SUMIF(Estado!$A$9:$A$364,$B26,Estado!$K$9:$K$364)</f>
        <v>300000</v>
      </c>
      <c r="J26" s="16">
        <f t="shared" si="3"/>
        <v>300000</v>
      </c>
      <c r="K26" s="16">
        <f ca="1">SUMIF(Estado!$A$9:$A$364,$B26,Estado!$O$9:$O$364)</f>
        <v>0</v>
      </c>
      <c r="L26" s="51">
        <f t="shared" si="1"/>
        <v>1</v>
      </c>
      <c r="M26" s="51">
        <f t="shared" ca="1" si="2"/>
        <v>0</v>
      </c>
    </row>
    <row r="27" spans="1:13" s="24" customFormat="1" ht="16.5" x14ac:dyDescent="0.25">
      <c r="A27" s="122"/>
      <c r="B27" s="119" t="str">
        <f>+Estado!A61</f>
        <v>E-09901</v>
      </c>
      <c r="C27" s="113" t="str">
        <f>IFERROR(VLOOKUP(B27,Estado!$A$9:$B$501,2,FALSE),0)</f>
        <v>GASTOS REPRES.PERS.</v>
      </c>
      <c r="D27" s="16">
        <f>SUMIF(Estado!$A$9:$A$364,$B27,Estado!$C$9:$C$364)</f>
        <v>300000</v>
      </c>
      <c r="E27" s="16">
        <f ca="1">SUMIF(Estado!$A$9:$A$364,$B27,Estado!$D$9:$D$364)</f>
        <v>300000</v>
      </c>
      <c r="F27" s="16">
        <f>SUMIF(Estado!$A$9:$A$364,$B27,Estado!$E$9:$E$364)</f>
        <v>0</v>
      </c>
      <c r="G27" s="16">
        <f>SUMIF(Estado!$A$9:$A$364,$B27,Estado!$G$9:$G$364)</f>
        <v>0</v>
      </c>
      <c r="H27" s="16">
        <f>SUMIF(Estado!$A$9:$A$364,$B27,Estado!$I$9:$I$364)</f>
        <v>0</v>
      </c>
      <c r="I27" s="16">
        <f>SUMIF(Estado!$A$9:$A$364,$B27,Estado!$K$9:$K$364)</f>
        <v>300000</v>
      </c>
      <c r="J27" s="16">
        <f t="shared" si="3"/>
        <v>300000</v>
      </c>
      <c r="K27" s="16">
        <f ca="1">SUMIF(Estado!$A$9:$A$364,$B27,Estado!$O$9:$O$364)</f>
        <v>0</v>
      </c>
      <c r="L27" s="51">
        <f t="shared" si="1"/>
        <v>1</v>
      </c>
      <c r="M27" s="51">
        <f t="shared" ca="1" si="2"/>
        <v>0</v>
      </c>
    </row>
    <row r="28" spans="1:13" s="24" customFormat="1" ht="17.25" x14ac:dyDescent="0.25">
      <c r="A28" s="122"/>
      <c r="B28" s="121" t="str">
        <f>+Estado!A62</f>
        <v>E-1</v>
      </c>
      <c r="C28" s="114" t="str">
        <f>IFERROR(VLOOKUP(B28,Estado!$A$9:$B$501,2,FALSE),0)</f>
        <v>SERVICIOS</v>
      </c>
      <c r="D28" s="22">
        <f>+D29+D35+D41+D48+D56+D61+D63+D67+D75+D77</f>
        <v>9118490598</v>
      </c>
      <c r="E28" s="22">
        <f t="shared" ref="E28:K28" ca="1" si="5">+E29+E35+E41+E48+E56+E61+E63+E67+E75+E77</f>
        <v>9118490575.4300003</v>
      </c>
      <c r="F28" s="22">
        <f t="shared" si="5"/>
        <v>4362972</v>
      </c>
      <c r="G28" s="22">
        <f t="shared" si="5"/>
        <v>1004512454.8500001</v>
      </c>
      <c r="H28" s="22">
        <f t="shared" si="5"/>
        <v>0</v>
      </c>
      <c r="I28" s="22">
        <f t="shared" si="5"/>
        <v>7738830064.6400003</v>
      </c>
      <c r="J28" s="22">
        <f t="shared" si="5"/>
        <v>8743342519.4899998</v>
      </c>
      <c r="K28" s="22">
        <f t="shared" ca="1" si="5"/>
        <v>370785106.50999999</v>
      </c>
      <c r="L28" s="69">
        <f t="shared" si="1"/>
        <v>0.95885853316641212</v>
      </c>
      <c r="M28" s="69">
        <f t="shared" ca="1" si="2"/>
        <v>4.0662991591100171E-2</v>
      </c>
    </row>
    <row r="29" spans="1:13" s="24" customFormat="1" ht="16.5" x14ac:dyDescent="0.25">
      <c r="A29" s="122"/>
      <c r="B29" s="119" t="str">
        <f>+Estado!A63</f>
        <v>E-101</v>
      </c>
      <c r="C29" s="113" t="str">
        <f>IFERROR(VLOOKUP(B29,Estado!$A$9:$B$501,2,FALSE),0)</f>
        <v>ALQUILERES</v>
      </c>
      <c r="D29" s="16">
        <f>SUMIF(Estado!$A$9:$A$364,$B29,Estado!$C$9:$C$364)</f>
        <v>1593552462.5</v>
      </c>
      <c r="E29" s="16">
        <f ca="1">SUMIF(Estado!$A$9:$A$364,$B29,Estado!$D$9:$D$364)</f>
        <v>1593552462.1700001</v>
      </c>
      <c r="F29" s="16">
        <f>SUMIF(Estado!$A$9:$A$364,$B29,Estado!$E$9:$E$364)</f>
        <v>0</v>
      </c>
      <c r="G29" s="16">
        <f>SUMIF(Estado!$A$9:$A$364,$B29,Estado!$G$9:$G$364)</f>
        <v>68249062.25</v>
      </c>
      <c r="H29" s="16">
        <f>SUMIF(Estado!$A$9:$A$364,$B29,Estado!$I$9:$I$364)</f>
        <v>0</v>
      </c>
      <c r="I29" s="16">
        <f>SUMIF(Estado!$A$9:$A$364,$B29,Estado!$K$9:$K$364)</f>
        <v>1401797838.6100001</v>
      </c>
      <c r="J29" s="16">
        <f t="shared" si="3"/>
        <v>1470046900.8600001</v>
      </c>
      <c r="K29" s="16">
        <f ca="1">SUMIF(Estado!$A$9:$A$364,$B29,Estado!$O$9:$O$364)</f>
        <v>123505561.64</v>
      </c>
      <c r="L29" s="51">
        <f t="shared" si="1"/>
        <v>0.9224967081119867</v>
      </c>
      <c r="M29" s="51">
        <f t="shared" ca="1" si="2"/>
        <v>7.7503291888013387E-2</v>
      </c>
    </row>
    <row r="30" spans="1:13" s="24" customFormat="1" ht="16.5" x14ac:dyDescent="0.25">
      <c r="A30" s="122"/>
      <c r="B30" s="119" t="str">
        <f>+Estado!A64</f>
        <v>E-10101</v>
      </c>
      <c r="C30" s="113" t="str">
        <f>IFERROR(VLOOKUP(B30,Estado!$A$9:$B$501,2,FALSE),0)</f>
        <v>ALQ EDIF, LOC.Y TERR</v>
      </c>
      <c r="D30" s="16">
        <f>SUMIF(Estado!$A$9:$A$364,$B30,Estado!$C$9:$C$364)</f>
        <v>602362154</v>
      </c>
      <c r="E30" s="16">
        <f ca="1">SUMIF(Estado!$A$9:$A$364,$B30,Estado!$D$9:$D$364)</f>
        <v>602362154</v>
      </c>
      <c r="F30" s="16">
        <f>SUMIF(Estado!$A$9:$A$364,$B30,Estado!$E$9:$E$364)</f>
        <v>0</v>
      </c>
      <c r="G30" s="16">
        <f>SUMIF(Estado!$A$9:$A$364,$B30,Estado!$G$9:$G$364)</f>
        <v>5540146.25</v>
      </c>
      <c r="H30" s="16">
        <f>SUMIF(Estado!$A$9:$A$364,$B30,Estado!$I$9:$I$364)</f>
        <v>0</v>
      </c>
      <c r="I30" s="16">
        <f>SUMIF(Estado!$A$9:$A$364,$B30,Estado!$K$9:$K$364)</f>
        <v>588915606.56999993</v>
      </c>
      <c r="J30" s="16">
        <f t="shared" si="3"/>
        <v>594455752.81999993</v>
      </c>
      <c r="K30" s="16">
        <f ca="1">SUMIF(Estado!$A$9:$A$364,$B30,Estado!$O$9:$O$364)</f>
        <v>7906401.1800000006</v>
      </c>
      <c r="L30" s="51">
        <f t="shared" si="1"/>
        <v>0.98687433941940506</v>
      </c>
      <c r="M30" s="51">
        <f t="shared" ca="1" si="2"/>
        <v>1.3125660580594844E-2</v>
      </c>
    </row>
    <row r="31" spans="1:13" s="24" customFormat="1" ht="16.5" x14ac:dyDescent="0.25">
      <c r="A31" s="122"/>
      <c r="B31" s="119" t="str">
        <f>+Estado!A65</f>
        <v>E-10102</v>
      </c>
      <c r="C31" s="113" t="str">
        <f>IFERROR(VLOOKUP(B31,Estado!$A$9:$B$501,2,FALSE),0)</f>
        <v>ALQ DE MAQ, EQ Y MOB</v>
      </c>
      <c r="D31" s="16">
        <f>SUMIF(Estado!$A$9:$A$364,$B31,Estado!$C$9:$C$364)</f>
        <v>8776000</v>
      </c>
      <c r="E31" s="16">
        <f ca="1">SUMIF(Estado!$A$9:$A$364,$B31,Estado!$D$9:$D$364)</f>
        <v>8776000</v>
      </c>
      <c r="F31" s="16">
        <f>SUMIF(Estado!$A$9:$A$364,$B31,Estado!$E$9:$E$364)</f>
        <v>0</v>
      </c>
      <c r="G31" s="16">
        <f>SUMIF(Estado!$A$9:$A$364,$B31,Estado!$G$9:$G$364)</f>
        <v>0</v>
      </c>
      <c r="H31" s="16">
        <f>SUMIF(Estado!$A$9:$A$364,$B31,Estado!$I$9:$I$364)</f>
        <v>0</v>
      </c>
      <c r="I31" s="16">
        <f>SUMIF(Estado!$A$9:$A$364,$B31,Estado!$K$9:$K$364)</f>
        <v>6690239.1799999997</v>
      </c>
      <c r="J31" s="16">
        <f t="shared" si="3"/>
        <v>6690239.1799999997</v>
      </c>
      <c r="K31" s="16">
        <f ca="1">SUMIF(Estado!$A$9:$A$364,$B31,Estado!$O$9:$O$364)</f>
        <v>2085760.82</v>
      </c>
      <c r="L31" s="51">
        <f t="shared" si="1"/>
        <v>0.76233354375569728</v>
      </c>
      <c r="M31" s="51">
        <f t="shared" ca="1" si="2"/>
        <v>0.23766645624430266</v>
      </c>
    </row>
    <row r="32" spans="1:13" s="24" customFormat="1" ht="16.5" x14ac:dyDescent="0.25">
      <c r="A32" s="122"/>
      <c r="B32" s="119" t="str">
        <f>+Estado!A66</f>
        <v>E-10103</v>
      </c>
      <c r="C32" s="113" t="str">
        <f>IFERROR(VLOOKUP(B32,Estado!$A$9:$B$501,2,FALSE),0)</f>
        <v>ALQ. EQ. DE COMPUTO</v>
      </c>
      <c r="D32" s="16">
        <f>SUMIF(Estado!$A$9:$A$364,$B32,Estado!$C$9:$C$364)</f>
        <v>947688283.5</v>
      </c>
      <c r="E32" s="16">
        <f ca="1">SUMIF(Estado!$A$9:$A$364,$B32,Estado!$D$9:$D$364)</f>
        <v>947688283.16999996</v>
      </c>
      <c r="F32" s="16">
        <f>SUMIF(Estado!$A$9:$A$364,$B32,Estado!$E$9:$E$364)</f>
        <v>0</v>
      </c>
      <c r="G32" s="16">
        <f>SUMIF(Estado!$A$9:$A$364,$B32,Estado!$G$9:$G$364)</f>
        <v>44840325.459999993</v>
      </c>
      <c r="H32" s="16">
        <f>SUMIF(Estado!$A$9:$A$364,$B32,Estado!$I$9:$I$364)</f>
        <v>0</v>
      </c>
      <c r="I32" s="16">
        <f>SUMIF(Estado!$A$9:$A$364,$B32,Estado!$K$9:$K$364)</f>
        <v>790948689.14999998</v>
      </c>
      <c r="J32" s="16">
        <f t="shared" si="3"/>
        <v>835789014.61000001</v>
      </c>
      <c r="K32" s="16">
        <f ca="1">SUMIF(Estado!$A$9:$A$364,$B32,Estado!$O$9:$O$364)</f>
        <v>111899268.89</v>
      </c>
      <c r="L32" s="51">
        <f t="shared" si="1"/>
        <v>0.8819239713751299</v>
      </c>
      <c r="M32" s="51">
        <f t="shared" ca="1" si="2"/>
        <v>0.11807602862487009</v>
      </c>
    </row>
    <row r="33" spans="1:13" s="24" customFormat="1" ht="16.5" x14ac:dyDescent="0.25">
      <c r="A33" s="122"/>
      <c r="B33" s="119" t="str">
        <f>+Estado!A67</f>
        <v>E-10104</v>
      </c>
      <c r="C33" s="113" t="str">
        <f>IFERROR(VLOOKUP(B33,Estado!$A$9:$B$501,2,FALSE),0)</f>
        <v>ALQ Y DERECH P.TELEC</v>
      </c>
      <c r="D33" s="16">
        <f>SUMIF(Estado!$A$9:$A$364,$B33,Estado!$C$9:$C$364)</f>
        <v>9422000</v>
      </c>
      <c r="E33" s="16">
        <f ca="1">SUMIF(Estado!$A$9:$A$364,$B33,Estado!$D$9:$D$364)</f>
        <v>9422000</v>
      </c>
      <c r="F33" s="16">
        <f>SUMIF(Estado!$A$9:$A$364,$B33,Estado!$E$9:$E$364)</f>
        <v>0</v>
      </c>
      <c r="G33" s="16">
        <f>SUMIF(Estado!$A$9:$A$364,$B33,Estado!$G$9:$G$364)</f>
        <v>2253550.54</v>
      </c>
      <c r="H33" s="16">
        <f>SUMIF(Estado!$A$9:$A$364,$B33,Estado!$I$9:$I$364)</f>
        <v>0</v>
      </c>
      <c r="I33" s="16">
        <f>SUMIF(Estado!$A$9:$A$364,$B33,Estado!$K$9:$K$364)</f>
        <v>6945612.46</v>
      </c>
      <c r="J33" s="16">
        <f t="shared" si="3"/>
        <v>9199163</v>
      </c>
      <c r="K33" s="16">
        <f ca="1">SUMIF(Estado!$A$9:$A$364,$B33,Estado!$O$9:$O$364)</f>
        <v>222837</v>
      </c>
      <c r="L33" s="51">
        <f t="shared" si="1"/>
        <v>0.97634928889832306</v>
      </c>
      <c r="M33" s="51">
        <f t="shared" ca="1" si="2"/>
        <v>2.3650711101676925E-2</v>
      </c>
    </row>
    <row r="34" spans="1:13" s="24" customFormat="1" ht="16.5" x14ac:dyDescent="0.25">
      <c r="A34" s="122"/>
      <c r="B34" s="119" t="str">
        <f>+Estado!A68</f>
        <v>E-10199</v>
      </c>
      <c r="C34" s="113" t="str">
        <f>IFERROR(VLOOKUP(B34,Estado!$A$9:$B$501,2,FALSE),0)</f>
        <v>OTROS ALQUILERES</v>
      </c>
      <c r="D34" s="16">
        <f>SUMIF(Estado!$A$9:$A$364,$B34,Estado!$C$9:$C$364)</f>
        <v>25304025</v>
      </c>
      <c r="E34" s="16">
        <f ca="1">SUMIF(Estado!$A$9:$A$364,$B34,Estado!$D$9:$D$364)</f>
        <v>25304025</v>
      </c>
      <c r="F34" s="16">
        <f>SUMIF(Estado!$A$9:$A$364,$B34,Estado!$E$9:$E$364)</f>
        <v>0</v>
      </c>
      <c r="G34" s="16">
        <f>SUMIF(Estado!$A$9:$A$364,$B34,Estado!$G$9:$G$364)</f>
        <v>15615040</v>
      </c>
      <c r="H34" s="16">
        <f>SUMIF(Estado!$A$9:$A$364,$B34,Estado!$I$9:$I$364)</f>
        <v>0</v>
      </c>
      <c r="I34" s="16">
        <f>SUMIF(Estado!$A$9:$A$364,$B34,Estado!$K$9:$K$364)</f>
        <v>8297691.25</v>
      </c>
      <c r="J34" s="16">
        <f t="shared" si="3"/>
        <v>23912731.25</v>
      </c>
      <c r="K34" s="16">
        <f ca="1">SUMIF(Estado!$A$9:$A$364,$B34,Estado!$O$9:$O$364)</f>
        <v>1391293.75</v>
      </c>
      <c r="L34" s="51">
        <f t="shared" si="1"/>
        <v>0.94501689948535861</v>
      </c>
      <c r="M34" s="51">
        <f t="shared" ca="1" si="2"/>
        <v>5.4983100514641448E-2</v>
      </c>
    </row>
    <row r="35" spans="1:13" s="24" customFormat="1" ht="16.5" x14ac:dyDescent="0.25">
      <c r="A35" s="122"/>
      <c r="B35" s="119" t="str">
        <f>+Estado!A69</f>
        <v>E-102</v>
      </c>
      <c r="C35" s="113" t="str">
        <f>IFERROR(VLOOKUP(B35,Estado!$A$9:$B$501,2,FALSE),0)</f>
        <v>SERVICIOS BÁSICOS</v>
      </c>
      <c r="D35" s="16">
        <f>SUMIF(Estado!$A$9:$A$364,$B35,Estado!$C$9:$C$364)</f>
        <v>4724854060</v>
      </c>
      <c r="E35" s="16">
        <f ca="1">SUMIF(Estado!$A$9:$A$364,$B35,Estado!$D$9:$D$364)</f>
        <v>4724854059.3400002</v>
      </c>
      <c r="F35" s="16">
        <f>SUMIF(Estado!$A$9:$A$364,$B35,Estado!$E$9:$E$364)</f>
        <v>0</v>
      </c>
      <c r="G35" s="16">
        <f>SUMIF(Estado!$A$9:$A$364,$B35,Estado!$G$9:$G$364)</f>
        <v>704939646.16000009</v>
      </c>
      <c r="H35" s="16">
        <f>SUMIF(Estado!$A$9:$A$364,$B35,Estado!$I$9:$I$364)</f>
        <v>0</v>
      </c>
      <c r="I35" s="16">
        <f>SUMIF(Estado!$A$9:$A$364,$B35,Estado!$K$9:$K$364)</f>
        <v>4000761286.2000003</v>
      </c>
      <c r="J35" s="16">
        <f t="shared" si="3"/>
        <v>4705700932.3600006</v>
      </c>
      <c r="K35" s="16">
        <f ca="1">SUMIF(Estado!$A$9:$A$364,$B35,Estado!$O$9:$O$364)</f>
        <v>19153127.640000001</v>
      </c>
      <c r="L35" s="51">
        <f t="shared" si="1"/>
        <v>0.99594630280707563</v>
      </c>
      <c r="M35" s="51">
        <f t="shared" ca="1" si="2"/>
        <v>4.053697192924516E-3</v>
      </c>
    </row>
    <row r="36" spans="1:13" s="24" customFormat="1" ht="16.5" x14ac:dyDescent="0.25">
      <c r="A36" s="122"/>
      <c r="B36" s="119" t="str">
        <f>+Estado!A70</f>
        <v>E-10201</v>
      </c>
      <c r="C36" s="113" t="str">
        <f>IFERROR(VLOOKUP(B36,Estado!$A$9:$B$501,2,FALSE),0)</f>
        <v>SERV.AGUA Y ALCANT.</v>
      </c>
      <c r="D36" s="16">
        <f>SUMIF(Estado!$A$9:$A$364,$B36,Estado!$C$9:$C$364)</f>
        <v>2588184331</v>
      </c>
      <c r="E36" s="16">
        <f ca="1">SUMIF(Estado!$A$9:$A$364,$B36,Estado!$D$9:$D$364)</f>
        <v>2588184330.6700001</v>
      </c>
      <c r="F36" s="16">
        <f>SUMIF(Estado!$A$9:$A$364,$B36,Estado!$E$9:$E$364)</f>
        <v>0</v>
      </c>
      <c r="G36" s="16">
        <f>SUMIF(Estado!$A$9:$A$364,$B36,Estado!$G$9:$G$364)</f>
        <v>443859920.17000002</v>
      </c>
      <c r="H36" s="16">
        <f>SUMIF(Estado!$A$9:$A$364,$B36,Estado!$I$9:$I$364)</f>
        <v>0</v>
      </c>
      <c r="I36" s="16">
        <f>SUMIF(Estado!$A$9:$A$364,$B36,Estado!$K$9:$K$364)</f>
        <v>2143178463.5</v>
      </c>
      <c r="J36" s="16">
        <f t="shared" si="3"/>
        <v>2587038383.6700001</v>
      </c>
      <c r="K36" s="16">
        <f ca="1">SUMIF(Estado!$A$9:$A$364,$B36,Estado!$O$9:$O$364)</f>
        <v>1145947.33</v>
      </c>
      <c r="L36" s="51">
        <f t="shared" si="1"/>
        <v>0.99955723890440329</v>
      </c>
      <c r="M36" s="51">
        <f t="shared" ca="1" si="2"/>
        <v>4.4276109559678809E-4</v>
      </c>
    </row>
    <row r="37" spans="1:13" s="24" customFormat="1" ht="16.5" x14ac:dyDescent="0.25">
      <c r="A37" s="122"/>
      <c r="B37" s="119" t="str">
        <f>+Estado!A71</f>
        <v>E-10202</v>
      </c>
      <c r="C37" s="113" t="str">
        <f>IFERROR(VLOOKUP(B37,Estado!$A$9:$B$501,2,FALSE),0)</f>
        <v>SERV ENERGÍA ELÉCT</v>
      </c>
      <c r="D37" s="16">
        <f>SUMIF(Estado!$A$9:$A$364,$B37,Estado!$C$9:$C$364)</f>
        <v>1360518097</v>
      </c>
      <c r="E37" s="16">
        <f ca="1">SUMIF(Estado!$A$9:$A$364,$B37,Estado!$D$9:$D$364)</f>
        <v>1360518097</v>
      </c>
      <c r="F37" s="16">
        <f>SUMIF(Estado!$A$9:$A$364,$B37,Estado!$E$9:$E$364)</f>
        <v>0</v>
      </c>
      <c r="G37" s="16">
        <f>SUMIF(Estado!$A$9:$A$364,$B37,Estado!$G$9:$G$364)</f>
        <v>159723101.83000001</v>
      </c>
      <c r="H37" s="16">
        <f>SUMIF(Estado!$A$9:$A$364,$B37,Estado!$I$9:$I$364)</f>
        <v>0</v>
      </c>
      <c r="I37" s="16">
        <f>SUMIF(Estado!$A$9:$A$364,$B37,Estado!$K$9:$K$364)</f>
        <v>1200086495.1700001</v>
      </c>
      <c r="J37" s="16">
        <f t="shared" si="3"/>
        <v>1359809597</v>
      </c>
      <c r="K37" s="16">
        <f ca="1">SUMIF(Estado!$A$9:$A$364,$B37,Estado!$O$9:$O$364)</f>
        <v>708500</v>
      </c>
      <c r="L37" s="51">
        <f t="shared" si="1"/>
        <v>0.99947924250213038</v>
      </c>
      <c r="M37" s="51">
        <f t="shared" ca="1" si="2"/>
        <v>5.2075749786957809E-4</v>
      </c>
    </row>
    <row r="38" spans="1:13" s="24" customFormat="1" ht="16.5" x14ac:dyDescent="0.25">
      <c r="A38" s="122"/>
      <c r="B38" s="119" t="str">
        <f>+Estado!A72</f>
        <v>E-10203</v>
      </c>
      <c r="C38" s="113" t="str">
        <f>IFERROR(VLOOKUP(B38,Estado!$A$9:$B$501,2,FALSE),0)</f>
        <v>SERVICIO DE CORREO</v>
      </c>
      <c r="D38" s="16">
        <f>SUMIF(Estado!$A$9:$A$364,$B38,Estado!$C$9:$C$364)</f>
        <v>16865000</v>
      </c>
      <c r="E38" s="16">
        <f ca="1">SUMIF(Estado!$A$9:$A$364,$B38,Estado!$D$9:$D$364)</f>
        <v>16865000</v>
      </c>
      <c r="F38" s="16">
        <f>SUMIF(Estado!$A$9:$A$364,$B38,Estado!$E$9:$E$364)</f>
        <v>0</v>
      </c>
      <c r="G38" s="16">
        <f>SUMIF(Estado!$A$9:$A$364,$B38,Estado!$G$9:$G$364)</f>
        <v>2841790</v>
      </c>
      <c r="H38" s="16">
        <f>SUMIF(Estado!$A$9:$A$364,$B38,Estado!$I$9:$I$364)</f>
        <v>0</v>
      </c>
      <c r="I38" s="16">
        <f>SUMIF(Estado!$A$9:$A$364,$B38,Estado!$K$9:$K$364)</f>
        <v>13995410</v>
      </c>
      <c r="J38" s="16">
        <f t="shared" si="3"/>
        <v>16837200</v>
      </c>
      <c r="K38" s="16">
        <f ca="1">SUMIF(Estado!$A$9:$A$364,$B38,Estado!$O$9:$O$364)</f>
        <v>27800</v>
      </c>
      <c r="L38" s="51">
        <f t="shared" si="1"/>
        <v>0.99835161577230946</v>
      </c>
      <c r="M38" s="51">
        <f t="shared" ca="1" si="2"/>
        <v>1.6483842276904834E-3</v>
      </c>
    </row>
    <row r="39" spans="1:13" s="24" customFormat="1" ht="16.5" x14ac:dyDescent="0.25">
      <c r="A39" s="122"/>
      <c r="B39" s="119" t="str">
        <f>+Estado!A73</f>
        <v>E-10204</v>
      </c>
      <c r="C39" s="113" t="str">
        <f>IFERROR(VLOOKUP(B39,Estado!$A$9:$B$501,2,FALSE),0)</f>
        <v>SERV.TELECOMUNIC.</v>
      </c>
      <c r="D39" s="16">
        <f>SUMIF(Estado!$A$9:$A$364,$B39,Estado!$C$9:$C$364)</f>
        <v>610623660</v>
      </c>
      <c r="E39" s="16">
        <f ca="1">SUMIF(Estado!$A$9:$A$364,$B39,Estado!$D$9:$D$364)</f>
        <v>610623660</v>
      </c>
      <c r="F39" s="16">
        <f>SUMIF(Estado!$A$9:$A$364,$B39,Estado!$E$9:$E$364)</f>
        <v>0</v>
      </c>
      <c r="G39" s="16">
        <f>SUMIF(Estado!$A$9:$A$364,$B39,Estado!$G$9:$G$364)</f>
        <v>69411190.090000004</v>
      </c>
      <c r="H39" s="16">
        <f>SUMIF(Estado!$A$9:$A$364,$B39,Estado!$I$9:$I$364)</f>
        <v>0</v>
      </c>
      <c r="I39" s="16">
        <f>SUMIF(Estado!$A$9:$A$364,$B39,Estado!$K$9:$K$364)</f>
        <v>540105967.34000003</v>
      </c>
      <c r="J39" s="16">
        <f t="shared" si="3"/>
        <v>609517157.43000007</v>
      </c>
      <c r="K39" s="16">
        <f ca="1">SUMIF(Estado!$A$9:$A$364,$B39,Estado!$O$9:$O$364)</f>
        <v>1106502.57</v>
      </c>
      <c r="L39" s="51">
        <f t="shared" si="1"/>
        <v>0.99818791402547369</v>
      </c>
      <c r="M39" s="51">
        <f t="shared" ca="1" si="2"/>
        <v>1.8120859745264376E-3</v>
      </c>
    </row>
    <row r="40" spans="1:13" s="24" customFormat="1" ht="16.5" x14ac:dyDescent="0.25">
      <c r="A40" s="122"/>
      <c r="B40" s="119" t="str">
        <f>+Estado!A74</f>
        <v>E-10299</v>
      </c>
      <c r="C40" s="113" t="str">
        <f>IFERROR(VLOOKUP(B40,Estado!$A$9:$B$501,2,FALSE),0)</f>
        <v>OTROS SERV.BÁSICOS</v>
      </c>
      <c r="D40" s="16">
        <f>SUMIF(Estado!$A$9:$A$364,$B40,Estado!$C$9:$C$364)</f>
        <v>148662972</v>
      </c>
      <c r="E40" s="16">
        <f ca="1">SUMIF(Estado!$A$9:$A$364,$B40,Estado!$D$9:$D$364)</f>
        <v>148662971.66999999</v>
      </c>
      <c r="F40" s="16">
        <f>SUMIF(Estado!$A$9:$A$364,$B40,Estado!$E$9:$E$364)</f>
        <v>0</v>
      </c>
      <c r="G40" s="16">
        <f>SUMIF(Estado!$A$9:$A$364,$B40,Estado!$G$9:$G$364)</f>
        <v>29103644.07</v>
      </c>
      <c r="H40" s="16">
        <f>SUMIF(Estado!$A$9:$A$364,$B40,Estado!$I$9:$I$364)</f>
        <v>0</v>
      </c>
      <c r="I40" s="16">
        <f>SUMIF(Estado!$A$9:$A$364,$B40,Estado!$K$9:$K$364)</f>
        <v>103394950.19000001</v>
      </c>
      <c r="J40" s="16">
        <f t="shared" si="3"/>
        <v>132498594.26000002</v>
      </c>
      <c r="K40" s="16">
        <f ca="1">SUMIF(Estado!$A$9:$A$364,$B40,Estado!$O$9:$O$364)</f>
        <v>16164377.739999998</v>
      </c>
      <c r="L40" s="51">
        <f t="shared" si="1"/>
        <v>0.89126829954670905</v>
      </c>
      <c r="M40" s="51">
        <f t="shared" ca="1" si="2"/>
        <v>0.10873170045329107</v>
      </c>
    </row>
    <row r="41" spans="1:13" s="24" customFormat="1" ht="16.5" x14ac:dyDescent="0.25">
      <c r="A41" s="122"/>
      <c r="B41" s="119" t="str">
        <f>+Estado!A75</f>
        <v>E-103</v>
      </c>
      <c r="C41" s="113" t="str">
        <f>IFERROR(VLOOKUP(B41,Estado!$A$9:$B$501,2,FALSE),0)</f>
        <v>SERV COMERC Y FINANC</v>
      </c>
      <c r="D41" s="16">
        <f>SUMIF(Estado!$A$9:$A$364,$B41,Estado!$C$9:$C$364)</f>
        <v>33414456</v>
      </c>
      <c r="E41" s="16">
        <f ca="1">SUMIF(Estado!$A$9:$A$364,$B41,Estado!$D$9:$D$364)</f>
        <v>33414456</v>
      </c>
      <c r="F41" s="16">
        <f>SUMIF(Estado!$A$9:$A$364,$B41,Estado!$E$9:$E$364)</f>
        <v>0</v>
      </c>
      <c r="G41" s="16">
        <f>SUMIF(Estado!$A$9:$A$364,$B41,Estado!$G$9:$G$364)</f>
        <v>4583390.32</v>
      </c>
      <c r="H41" s="16">
        <f>SUMIF(Estado!$A$9:$A$364,$B41,Estado!$I$9:$I$364)</f>
        <v>0</v>
      </c>
      <c r="I41" s="16">
        <f>SUMIF(Estado!$A$9:$A$364,$B41,Estado!$K$9:$K$364)</f>
        <v>21374259.91</v>
      </c>
      <c r="J41" s="16">
        <f t="shared" si="3"/>
        <v>25957650.23</v>
      </c>
      <c r="K41" s="16">
        <f ca="1">SUMIF(Estado!$A$9:$A$364,$B41,Estado!$O$9:$O$364)</f>
        <v>7456805.7699999996</v>
      </c>
      <c r="L41" s="51">
        <f t="shared" si="1"/>
        <v>0.77683892953397182</v>
      </c>
      <c r="M41" s="51">
        <f t="shared" ca="1" si="2"/>
        <v>0.22316107046602823</v>
      </c>
    </row>
    <row r="42" spans="1:13" s="24" customFormat="1" ht="16.5" x14ac:dyDescent="0.25">
      <c r="A42" s="122"/>
      <c r="B42" s="119" t="str">
        <f>+Estado!A76</f>
        <v>E-10301</v>
      </c>
      <c r="C42" s="113" t="str">
        <f>IFERROR(VLOOKUP(B42,Estado!$A$9:$B$501,2,FALSE),0)</f>
        <v>INFORMACIÓN</v>
      </c>
      <c r="D42" s="16">
        <f>SUMIF(Estado!$A$9:$A$364,$B42,Estado!$C$9:$C$364)</f>
        <v>16080450</v>
      </c>
      <c r="E42" s="16">
        <f ca="1">SUMIF(Estado!$A$9:$A$364,$B42,Estado!$D$9:$D$364)</f>
        <v>16080450</v>
      </c>
      <c r="F42" s="16">
        <f>SUMIF(Estado!$A$9:$A$364,$B42,Estado!$E$9:$E$364)</f>
        <v>0</v>
      </c>
      <c r="G42" s="16">
        <f>SUMIF(Estado!$A$9:$A$364,$B42,Estado!$G$9:$G$364)</f>
        <v>2965461</v>
      </c>
      <c r="H42" s="16">
        <f>SUMIF(Estado!$A$9:$A$364,$B42,Estado!$I$9:$I$364)</f>
        <v>0</v>
      </c>
      <c r="I42" s="16">
        <f>SUMIF(Estado!$A$9:$A$364,$B42,Estado!$K$9:$K$364)</f>
        <v>12048324</v>
      </c>
      <c r="J42" s="16">
        <f t="shared" si="3"/>
        <v>15013785</v>
      </c>
      <c r="K42" s="16">
        <f ca="1">SUMIF(Estado!$A$9:$A$364,$B42,Estado!$O$9:$O$364)</f>
        <v>1066665</v>
      </c>
      <c r="L42" s="51">
        <f t="shared" si="1"/>
        <v>0.93366696827514151</v>
      </c>
      <c r="M42" s="51">
        <f t="shared" ca="1" si="2"/>
        <v>6.6333031724858452E-2</v>
      </c>
    </row>
    <row r="43" spans="1:13" s="24" customFormat="1" ht="16.5" x14ac:dyDescent="0.25">
      <c r="A43" s="122"/>
      <c r="B43" s="119" t="str">
        <f>+Estado!A77</f>
        <v>E-10302</v>
      </c>
      <c r="C43" s="113" t="str">
        <f>IFERROR(VLOOKUP(B43,Estado!$A$9:$B$501,2,FALSE),0)</f>
        <v>PUBLICIDAD Y PROPAG.</v>
      </c>
      <c r="D43" s="16">
        <f>SUMIF(Estado!$A$9:$A$364,$B43,Estado!$C$9:$C$364)</f>
        <v>225000</v>
      </c>
      <c r="E43" s="16">
        <f ca="1">SUMIF(Estado!$A$9:$A$364,$B43,Estado!$D$9:$D$364)</f>
        <v>225000</v>
      </c>
      <c r="F43" s="16">
        <f>SUMIF(Estado!$A$9:$A$364,$B43,Estado!$E$9:$E$364)</f>
        <v>0</v>
      </c>
      <c r="G43" s="16">
        <f>SUMIF(Estado!$A$9:$A$364,$B43,Estado!$G$9:$G$364)</f>
        <v>0</v>
      </c>
      <c r="H43" s="16">
        <f>SUMIF(Estado!$A$9:$A$364,$B43,Estado!$I$9:$I$364)</f>
        <v>0</v>
      </c>
      <c r="I43" s="16">
        <f>SUMIF(Estado!$A$9:$A$364,$B43,Estado!$K$9:$K$364)</f>
        <v>150000</v>
      </c>
      <c r="J43" s="16">
        <f t="shared" si="3"/>
        <v>150000</v>
      </c>
      <c r="K43" s="16">
        <f ca="1">SUMIF(Estado!$A$9:$A$364,$B43,Estado!$O$9:$O$364)</f>
        <v>75000</v>
      </c>
      <c r="L43" s="51">
        <f t="shared" si="1"/>
        <v>0.66666666666666663</v>
      </c>
      <c r="M43" s="51">
        <f t="shared" ca="1" si="2"/>
        <v>0.33333333333333331</v>
      </c>
    </row>
    <row r="44" spans="1:13" s="24" customFormat="1" ht="16.5" x14ac:dyDescent="0.25">
      <c r="A44" s="122"/>
      <c r="B44" s="119" t="str">
        <f>+Estado!A78</f>
        <v>E-10303</v>
      </c>
      <c r="C44" s="113" t="str">
        <f>IFERROR(VLOOKUP(B44,Estado!$A$9:$B$501,2,FALSE),0)</f>
        <v>IMP., ENCUAD Y OTROS</v>
      </c>
      <c r="D44" s="16">
        <f>SUMIF(Estado!$A$9:$A$364,$B44,Estado!$C$9:$C$364)</f>
        <v>12770000</v>
      </c>
      <c r="E44" s="16">
        <f ca="1">SUMIF(Estado!$A$9:$A$364,$B44,Estado!$D$9:$D$364)</f>
        <v>12770000</v>
      </c>
      <c r="F44" s="16">
        <f>SUMIF(Estado!$A$9:$A$364,$B44,Estado!$E$9:$E$364)</f>
        <v>0</v>
      </c>
      <c r="G44" s="16">
        <f>SUMIF(Estado!$A$9:$A$364,$B44,Estado!$G$9:$G$364)</f>
        <v>1023081</v>
      </c>
      <c r="H44" s="16">
        <f>SUMIF(Estado!$A$9:$A$364,$B44,Estado!$I$9:$I$364)</f>
        <v>0</v>
      </c>
      <c r="I44" s="16">
        <f>SUMIF(Estado!$A$9:$A$364,$B44,Estado!$K$9:$K$364)</f>
        <v>8689587</v>
      </c>
      <c r="J44" s="16">
        <f t="shared" si="3"/>
        <v>9712668</v>
      </c>
      <c r="K44" s="16">
        <f ca="1">SUMIF(Estado!$A$9:$A$364,$B44,Estado!$O$9:$O$364)</f>
        <v>3057332</v>
      </c>
      <c r="L44" s="51">
        <f t="shared" si="1"/>
        <v>0.76058480814408769</v>
      </c>
      <c r="M44" s="51">
        <f t="shared" ca="1" si="2"/>
        <v>0.23941519185591228</v>
      </c>
    </row>
    <row r="45" spans="1:13" s="24" customFormat="1" ht="16.5" x14ac:dyDescent="0.25">
      <c r="A45" s="122"/>
      <c r="B45" s="119" t="str">
        <f>+Estado!A79</f>
        <v>E-10304</v>
      </c>
      <c r="C45" s="113" t="str">
        <f>IFERROR(VLOOKUP(B45,Estado!$A$9:$B$501,2,FALSE),0)</f>
        <v>TRANSPORTE DE BIENES</v>
      </c>
      <c r="D45" s="16">
        <f>SUMIF(Estado!$A$9:$A$364,$B45,Estado!$C$9:$C$364)</f>
        <v>1300000</v>
      </c>
      <c r="E45" s="16">
        <f ca="1">SUMIF(Estado!$A$9:$A$364,$B45,Estado!$D$9:$D$364)</f>
        <v>1300000</v>
      </c>
      <c r="F45" s="16">
        <f>SUMIF(Estado!$A$9:$A$364,$B45,Estado!$E$9:$E$364)</f>
        <v>0</v>
      </c>
      <c r="G45" s="16">
        <f>SUMIF(Estado!$A$9:$A$364,$B45,Estado!$G$9:$G$364)</f>
        <v>0</v>
      </c>
      <c r="H45" s="16">
        <f>SUMIF(Estado!$A$9:$A$364,$B45,Estado!$I$9:$I$364)</f>
        <v>0</v>
      </c>
      <c r="I45" s="16">
        <f>SUMIF(Estado!$A$9:$A$364,$B45,Estado!$K$9:$K$364)</f>
        <v>0</v>
      </c>
      <c r="J45" s="16">
        <f t="shared" si="3"/>
        <v>0</v>
      </c>
      <c r="K45" s="16">
        <f ca="1">SUMIF(Estado!$A$9:$A$364,$B45,Estado!$O$9:$O$364)</f>
        <v>1300000</v>
      </c>
      <c r="L45" s="51">
        <f t="shared" si="1"/>
        <v>0</v>
      </c>
      <c r="M45" s="51">
        <f t="shared" ca="1" si="2"/>
        <v>1</v>
      </c>
    </row>
    <row r="46" spans="1:13" s="24" customFormat="1" ht="16.5" x14ac:dyDescent="0.25">
      <c r="A46" s="122"/>
      <c r="B46" s="119" t="str">
        <f>+Estado!A80</f>
        <v>E-10306</v>
      </c>
      <c r="C46" s="113" t="str">
        <f>IFERROR(VLOOKUP(B46,Estado!$A$9:$B$501,2,FALSE),0)</f>
        <v>COM G.P.S.FIN Y COM.</v>
      </c>
      <c r="D46" s="16">
        <f>SUMIF(Estado!$A$9:$A$364,$B46,Estado!$C$9:$C$364)</f>
        <v>139006</v>
      </c>
      <c r="E46" s="16">
        <f ca="1">SUMIF(Estado!$A$9:$A$364,$B46,Estado!$D$9:$D$364)</f>
        <v>139006</v>
      </c>
      <c r="F46" s="16">
        <f>SUMIF(Estado!$A$9:$A$364,$B46,Estado!$E$9:$E$364)</f>
        <v>0</v>
      </c>
      <c r="G46" s="16">
        <f>SUMIF(Estado!$A$9:$A$364,$B46,Estado!$G$9:$G$364)</f>
        <v>0</v>
      </c>
      <c r="H46" s="16">
        <f>SUMIF(Estado!$A$9:$A$364,$B46,Estado!$I$9:$I$364)</f>
        <v>0</v>
      </c>
      <c r="I46" s="16">
        <f>SUMIF(Estado!$A$9:$A$364,$B46,Estado!$K$9:$K$364)</f>
        <v>16005.15</v>
      </c>
      <c r="J46" s="16">
        <f t="shared" si="3"/>
        <v>16005.15</v>
      </c>
      <c r="K46" s="16">
        <f ca="1">SUMIF(Estado!$A$9:$A$364,$B46,Estado!$O$9:$O$364)</f>
        <v>123000.85</v>
      </c>
      <c r="L46" s="51">
        <f t="shared" si="1"/>
        <v>0.11513999395709537</v>
      </c>
      <c r="M46" s="51">
        <f t="shared" ca="1" si="2"/>
        <v>0.88486000604290471</v>
      </c>
    </row>
    <row r="47" spans="1:13" s="24" customFormat="1" ht="16.5" x14ac:dyDescent="0.25">
      <c r="A47" s="122"/>
      <c r="B47" s="119" t="str">
        <f>+Estado!A81</f>
        <v>E-10307</v>
      </c>
      <c r="C47" s="113" t="str">
        <f>IFERROR(VLOOKUP(B47,Estado!$A$9:$B$501,2,FALSE),0)</f>
        <v>SERV TRANSF.ELEC.INF</v>
      </c>
      <c r="D47" s="16">
        <f>SUMIF(Estado!$A$9:$A$364,$B47,Estado!$C$9:$C$364)</f>
        <v>2900000</v>
      </c>
      <c r="E47" s="16">
        <f ca="1">SUMIF(Estado!$A$9:$A$364,$B47,Estado!$D$9:$D$364)</f>
        <v>2900000</v>
      </c>
      <c r="F47" s="16">
        <f>SUMIF(Estado!$A$9:$A$364,$B47,Estado!$E$9:$E$364)</f>
        <v>0</v>
      </c>
      <c r="G47" s="16">
        <f>SUMIF(Estado!$A$9:$A$364,$B47,Estado!$G$9:$G$364)</f>
        <v>594848.31999999995</v>
      </c>
      <c r="H47" s="16">
        <f>SUMIF(Estado!$A$9:$A$364,$B47,Estado!$I$9:$I$364)</f>
        <v>0</v>
      </c>
      <c r="I47" s="16">
        <f>SUMIF(Estado!$A$9:$A$364,$B47,Estado!$K$9:$K$364)</f>
        <v>470343.76</v>
      </c>
      <c r="J47" s="16">
        <f t="shared" si="3"/>
        <v>1065192.08</v>
      </c>
      <c r="K47" s="16">
        <f ca="1">SUMIF(Estado!$A$9:$A$364,$B47,Estado!$O$9:$O$364)</f>
        <v>1834807.92</v>
      </c>
      <c r="L47" s="51">
        <f t="shared" si="1"/>
        <v>0.36730761379310345</v>
      </c>
      <c r="M47" s="51">
        <f t="shared" ca="1" si="2"/>
        <v>0.6326923862068965</v>
      </c>
    </row>
    <row r="48" spans="1:13" s="24" customFormat="1" ht="16.5" x14ac:dyDescent="0.25">
      <c r="A48" s="122"/>
      <c r="B48" s="119" t="str">
        <f>+Estado!A82</f>
        <v>E-104</v>
      </c>
      <c r="C48" s="113" t="str">
        <f>IFERROR(VLOOKUP(B48,Estado!$A$9:$B$501,2,FALSE),0)</f>
        <v>SERV DE GEST Y APOYO</v>
      </c>
      <c r="D48" s="16">
        <f>SUMIF(Estado!$A$9:$A$364,$B48,Estado!$C$9:$C$364)</f>
        <v>592185205</v>
      </c>
      <c r="E48" s="16">
        <f ca="1">SUMIF(Estado!$A$9:$A$364,$B48,Estado!$D$9:$D$364)</f>
        <v>592185205</v>
      </c>
      <c r="F48" s="16">
        <f>SUMIF(Estado!$A$9:$A$364,$B48,Estado!$E$9:$E$364)</f>
        <v>0</v>
      </c>
      <c r="G48" s="16">
        <f>SUMIF(Estado!$A$9:$A$364,$B48,Estado!$G$9:$G$364)</f>
        <v>21395732.240000002</v>
      </c>
      <c r="H48" s="16">
        <f>SUMIF(Estado!$A$9:$A$364,$B48,Estado!$I$9:$I$364)</f>
        <v>0</v>
      </c>
      <c r="I48" s="16">
        <f>SUMIF(Estado!$A$9:$A$364,$B48,Estado!$K$9:$K$364)</f>
        <v>497431883.63999999</v>
      </c>
      <c r="J48" s="16">
        <f t="shared" si="3"/>
        <v>518827615.88</v>
      </c>
      <c r="K48" s="16">
        <f ca="1">SUMIF(Estado!$A$9:$A$364,$B48,Estado!$O$9:$O$364)</f>
        <v>73357589.120000005</v>
      </c>
      <c r="L48" s="51">
        <f t="shared" si="1"/>
        <v>0.87612390768864279</v>
      </c>
      <c r="M48" s="51">
        <f t="shared" ca="1" si="2"/>
        <v>0.12387609231135722</v>
      </c>
    </row>
    <row r="49" spans="1:13" s="24" customFormat="1" ht="16.5" x14ac:dyDescent="0.25">
      <c r="A49" s="122"/>
      <c r="B49" s="119" t="str">
        <f>+Estado!A83</f>
        <v>E-10401</v>
      </c>
      <c r="C49" s="113" t="str">
        <f>IFERROR(VLOOKUP(B49,Estado!$A$9:$B$501,2,FALSE),0)</f>
        <v>SERV.MEDICOS YDE LAB</v>
      </c>
      <c r="D49" s="16">
        <f>SUMIF(Estado!$A$9:$A$364,$B49,Estado!$C$9:$C$364)</f>
        <v>3900000</v>
      </c>
      <c r="E49" s="16">
        <f ca="1">SUMIF(Estado!$A$9:$A$364,$B49,Estado!$D$9:$D$364)</f>
        <v>3900000</v>
      </c>
      <c r="F49" s="16">
        <f>SUMIF(Estado!$A$9:$A$364,$B49,Estado!$E$9:$E$364)</f>
        <v>0</v>
      </c>
      <c r="G49" s="16">
        <f>SUMIF(Estado!$A$9:$A$364,$B49,Estado!$G$9:$G$364)</f>
        <v>1849000</v>
      </c>
      <c r="H49" s="16">
        <f>SUMIF(Estado!$A$9:$A$364,$B49,Estado!$I$9:$I$364)</f>
        <v>0</v>
      </c>
      <c r="I49" s="16">
        <f>SUMIF(Estado!$A$9:$A$364,$B49,Estado!$K$9:$K$364)</f>
        <v>2050000</v>
      </c>
      <c r="J49" s="16">
        <f t="shared" si="3"/>
        <v>3899000</v>
      </c>
      <c r="K49" s="16">
        <f ca="1">SUMIF(Estado!$A$9:$A$364,$B49,Estado!$O$9:$O$364)</f>
        <v>1000</v>
      </c>
      <c r="L49" s="51">
        <f t="shared" si="1"/>
        <v>0.99974358974358979</v>
      </c>
      <c r="M49" s="51">
        <f t="shared" ca="1" si="2"/>
        <v>2.5641025641025641E-4</v>
      </c>
    </row>
    <row r="50" spans="1:13" s="24" customFormat="1" ht="16.5" x14ac:dyDescent="0.25">
      <c r="A50" s="122"/>
      <c r="B50" s="119" t="str">
        <f>+Estado!A84</f>
        <v>E-10402</v>
      </c>
      <c r="C50" s="113" t="str">
        <f>IFERROR(VLOOKUP(B50,Estado!$A$9:$B$501,2,FALSE),0)</f>
        <v>SERVICIOS JURÍDICOS</v>
      </c>
      <c r="D50" s="16">
        <f>SUMIF(Estado!$A$9:$A$364,$B50,Estado!$C$9:$C$364)</f>
        <v>2000000</v>
      </c>
      <c r="E50" s="16">
        <f ca="1">SUMIF(Estado!$A$9:$A$364,$B50,Estado!$D$9:$D$364)</f>
        <v>2000000</v>
      </c>
      <c r="F50" s="16">
        <f>SUMIF(Estado!$A$9:$A$364,$B50,Estado!$E$9:$E$364)</f>
        <v>0</v>
      </c>
      <c r="G50" s="16">
        <f>SUMIF(Estado!$A$9:$A$364,$B50,Estado!$G$9:$G$364)</f>
        <v>0</v>
      </c>
      <c r="H50" s="16">
        <f>SUMIF(Estado!$A$9:$A$364,$B50,Estado!$I$9:$I$364)</f>
        <v>0</v>
      </c>
      <c r="I50" s="16">
        <f>SUMIF(Estado!$A$9:$A$364,$B50,Estado!$K$9:$K$364)</f>
        <v>0</v>
      </c>
      <c r="J50" s="16">
        <f t="shared" si="3"/>
        <v>0</v>
      </c>
      <c r="K50" s="16">
        <f ca="1">SUMIF(Estado!$A$9:$A$364,$B50,Estado!$O$9:$O$364)</f>
        <v>2000000</v>
      </c>
      <c r="L50" s="51">
        <f t="shared" si="1"/>
        <v>0</v>
      </c>
      <c r="M50" s="51">
        <f t="shared" ca="1" si="2"/>
        <v>1</v>
      </c>
    </row>
    <row r="51" spans="1:13" s="24" customFormat="1" ht="16.5" x14ac:dyDescent="0.25">
      <c r="A51" s="122"/>
      <c r="B51" s="119" t="str">
        <f>+Estado!A85</f>
        <v>E-10403</v>
      </c>
      <c r="C51" s="113" t="str">
        <f>IFERROR(VLOOKUP(B51,Estado!$A$9:$B$501,2,FALSE),0)</f>
        <v>SERV. DE INGENIERÍA</v>
      </c>
      <c r="D51" s="16">
        <f>SUMIF(Estado!$A$9:$A$364,$B51,Estado!$C$9:$C$364)</f>
        <v>69559145</v>
      </c>
      <c r="E51" s="16">
        <f ca="1">SUMIF(Estado!$A$9:$A$364,$B51,Estado!$D$9:$D$364)</f>
        <v>69559145</v>
      </c>
      <c r="F51" s="16">
        <f>SUMIF(Estado!$A$9:$A$364,$B51,Estado!$E$9:$E$364)</f>
        <v>0</v>
      </c>
      <c r="G51" s="16">
        <f>SUMIF(Estado!$A$9:$A$364,$B51,Estado!$G$9:$G$364)</f>
        <v>4592468.66</v>
      </c>
      <c r="H51" s="16">
        <f>SUMIF(Estado!$A$9:$A$364,$B51,Estado!$I$9:$I$364)</f>
        <v>0</v>
      </c>
      <c r="I51" s="16">
        <f>SUMIF(Estado!$A$9:$A$364,$B51,Estado!$K$9:$K$364)</f>
        <v>51273105.239999995</v>
      </c>
      <c r="J51" s="16">
        <f t="shared" si="3"/>
        <v>55865573.899999991</v>
      </c>
      <c r="K51" s="16">
        <f ca="1">SUMIF(Estado!$A$9:$A$364,$B51,Estado!$O$9:$O$364)</f>
        <v>13693571.100000001</v>
      </c>
      <c r="L51" s="51">
        <f t="shared" si="1"/>
        <v>0.80313773120701804</v>
      </c>
      <c r="M51" s="51">
        <f t="shared" ca="1" si="2"/>
        <v>0.19686226879298188</v>
      </c>
    </row>
    <row r="52" spans="1:13" s="24" customFormat="1" ht="16.5" x14ac:dyDescent="0.25">
      <c r="A52" s="122"/>
      <c r="B52" s="119" t="str">
        <f>+Estado!A86</f>
        <v>E-10404</v>
      </c>
      <c r="C52" s="113" t="str">
        <f>IFERROR(VLOOKUP(B52,Estado!$A$9:$B$501,2,FALSE),0)</f>
        <v>SERV.CIEN.ECON.Y SOC</v>
      </c>
      <c r="D52" s="16">
        <f>SUMIF(Estado!$A$9:$A$364,$B52,Estado!$C$9:$C$364)</f>
        <v>20200000</v>
      </c>
      <c r="E52" s="16">
        <f ca="1">SUMIF(Estado!$A$9:$A$364,$B52,Estado!$D$9:$D$364)</f>
        <v>20200000</v>
      </c>
      <c r="F52" s="16">
        <f>SUMIF(Estado!$A$9:$A$364,$B52,Estado!$E$9:$E$364)</f>
        <v>0</v>
      </c>
      <c r="G52" s="16">
        <f>SUMIF(Estado!$A$9:$A$364,$B52,Estado!$G$9:$G$364)</f>
        <v>0</v>
      </c>
      <c r="H52" s="16">
        <f>SUMIF(Estado!$A$9:$A$364,$B52,Estado!$I$9:$I$364)</f>
        <v>0</v>
      </c>
      <c r="I52" s="16">
        <f>SUMIF(Estado!$A$9:$A$364,$B52,Estado!$K$9:$K$364)</f>
        <v>20200000</v>
      </c>
      <c r="J52" s="16">
        <f t="shared" si="3"/>
        <v>20200000</v>
      </c>
      <c r="K52" s="16">
        <f ca="1">SUMIF(Estado!$A$9:$A$364,$B52,Estado!$O$9:$O$364)</f>
        <v>0</v>
      </c>
      <c r="L52" s="51">
        <f t="shared" si="1"/>
        <v>1</v>
      </c>
      <c r="M52" s="51">
        <f t="shared" ca="1" si="2"/>
        <v>0</v>
      </c>
    </row>
    <row r="53" spans="1:13" s="24" customFormat="1" ht="16.5" x14ac:dyDescent="0.25">
      <c r="A53" s="122"/>
      <c r="B53" s="119" t="str">
        <f>+Estado!A87</f>
        <v>E-10405</v>
      </c>
      <c r="C53" s="113" t="str">
        <f>IFERROR(VLOOKUP(B53,Estado!$A$9:$B$501,2,FALSE),0)</f>
        <v>SERV.DES.SIST.INFORM</v>
      </c>
      <c r="D53" s="16">
        <f>SUMIF(Estado!$A$9:$A$364,$B53,Estado!$C$9:$C$364)</f>
        <v>40624000</v>
      </c>
      <c r="E53" s="16">
        <f ca="1">SUMIF(Estado!$A$9:$A$364,$B53,Estado!$D$9:$D$364)</f>
        <v>40624000</v>
      </c>
      <c r="F53" s="16">
        <f>SUMIF(Estado!$A$9:$A$364,$B53,Estado!$E$9:$E$364)</f>
        <v>0</v>
      </c>
      <c r="G53" s="16">
        <f>SUMIF(Estado!$A$9:$A$364,$B53,Estado!$G$9:$G$364)</f>
        <v>0</v>
      </c>
      <c r="H53" s="16">
        <f>SUMIF(Estado!$A$9:$A$364,$B53,Estado!$I$9:$I$364)</f>
        <v>0</v>
      </c>
      <c r="I53" s="16">
        <f>SUMIF(Estado!$A$9:$A$364,$B53,Estado!$K$9:$K$364)</f>
        <v>19432447</v>
      </c>
      <c r="J53" s="16">
        <f t="shared" si="3"/>
        <v>19432447</v>
      </c>
      <c r="K53" s="16">
        <f ca="1">SUMIF(Estado!$A$9:$A$364,$B53,Estado!$O$9:$O$364)</f>
        <v>21191553</v>
      </c>
      <c r="L53" s="51">
        <f t="shared" si="1"/>
        <v>0.47834893166601022</v>
      </c>
      <c r="M53" s="51">
        <f t="shared" ca="1" si="2"/>
        <v>0.52165106833398978</v>
      </c>
    </row>
    <row r="54" spans="1:13" s="24" customFormat="1" ht="16.5" x14ac:dyDescent="0.25">
      <c r="A54" s="122"/>
      <c r="B54" s="119" t="str">
        <f>+Estado!A88</f>
        <v>E-10406</v>
      </c>
      <c r="C54" s="113" t="str">
        <f>IFERROR(VLOOKUP(B54,Estado!$A$9:$B$501,2,FALSE),0)</f>
        <v>SERVICIOS GENERALES</v>
      </c>
      <c r="D54" s="16">
        <f>SUMIF(Estado!$A$9:$A$364,$B54,Estado!$C$9:$C$364)</f>
        <v>402625880</v>
      </c>
      <c r="E54" s="16">
        <f ca="1">SUMIF(Estado!$A$9:$A$364,$B54,Estado!$D$9:$D$364)</f>
        <v>402625880</v>
      </c>
      <c r="F54" s="16">
        <f>SUMIF(Estado!$A$9:$A$364,$B54,Estado!$E$9:$E$364)</f>
        <v>0</v>
      </c>
      <c r="G54" s="16">
        <f>SUMIF(Estado!$A$9:$A$364,$B54,Estado!$G$9:$G$364)</f>
        <v>14389767.58</v>
      </c>
      <c r="H54" s="16">
        <f>SUMIF(Estado!$A$9:$A$364,$B54,Estado!$I$9:$I$364)</f>
        <v>0</v>
      </c>
      <c r="I54" s="16">
        <f>SUMIF(Estado!$A$9:$A$364,$B54,Estado!$K$9:$K$364)</f>
        <v>363284466.79000002</v>
      </c>
      <c r="J54" s="16">
        <f t="shared" si="3"/>
        <v>377674234.37</v>
      </c>
      <c r="K54" s="16">
        <f ca="1">SUMIF(Estado!$A$9:$A$364,$B54,Estado!$O$9:$O$364)</f>
        <v>24951645.630000003</v>
      </c>
      <c r="L54" s="51">
        <f t="shared" si="1"/>
        <v>0.93802771538183294</v>
      </c>
      <c r="M54" s="51">
        <f t="shared" ca="1" si="2"/>
        <v>6.1972284618167124E-2</v>
      </c>
    </row>
    <row r="55" spans="1:13" s="24" customFormat="1" ht="16.5" x14ac:dyDescent="0.25">
      <c r="A55" s="122"/>
      <c r="B55" s="119" t="str">
        <f>+Estado!A89</f>
        <v>E-10499</v>
      </c>
      <c r="C55" s="113" t="str">
        <f>IFERROR(VLOOKUP(B55,Estado!$A$9:$B$501,2,FALSE),0)</f>
        <v>OTROS SERV.GEST.APOY</v>
      </c>
      <c r="D55" s="16">
        <f>SUMIF(Estado!$A$9:$A$364,$B55,Estado!$C$9:$C$364)</f>
        <v>53276180</v>
      </c>
      <c r="E55" s="16">
        <f ca="1">SUMIF(Estado!$A$9:$A$364,$B55,Estado!$D$9:$D$364)</f>
        <v>53276180</v>
      </c>
      <c r="F55" s="16">
        <f>SUMIF(Estado!$A$9:$A$364,$B55,Estado!$E$9:$E$364)</f>
        <v>0</v>
      </c>
      <c r="G55" s="16">
        <f>SUMIF(Estado!$A$9:$A$364,$B55,Estado!$G$9:$G$364)</f>
        <v>564496</v>
      </c>
      <c r="H55" s="16">
        <f>SUMIF(Estado!$A$9:$A$364,$B55,Estado!$I$9:$I$364)</f>
        <v>0</v>
      </c>
      <c r="I55" s="16">
        <f>SUMIF(Estado!$A$9:$A$364,$B55,Estado!$K$9:$K$364)</f>
        <v>41191864.609999999</v>
      </c>
      <c r="J55" s="16">
        <f t="shared" si="3"/>
        <v>41756360.609999999</v>
      </c>
      <c r="K55" s="16">
        <f ca="1">SUMIF(Estado!$A$9:$A$364,$B55,Estado!$O$9:$O$364)</f>
        <v>11519819.390000001</v>
      </c>
      <c r="L55" s="51">
        <f t="shared" si="1"/>
        <v>0.78377167075417198</v>
      </c>
      <c r="M55" s="51">
        <f t="shared" ca="1" si="2"/>
        <v>0.21622832924582808</v>
      </c>
    </row>
    <row r="56" spans="1:13" s="24" customFormat="1" ht="16.5" x14ac:dyDescent="0.25">
      <c r="A56" s="122"/>
      <c r="B56" s="119" t="str">
        <f>+Estado!A90</f>
        <v>E-105</v>
      </c>
      <c r="C56" s="113" t="str">
        <f>IFERROR(VLOOKUP(B56,Estado!$A$9:$B$501,2,FALSE),0)</f>
        <v>GAST. VIAJE Y TRANSP</v>
      </c>
      <c r="D56" s="16">
        <f>SUMIF(Estado!$A$9:$A$364,$B56,Estado!$C$9:$C$364)</f>
        <v>230031914.63999999</v>
      </c>
      <c r="E56" s="16">
        <f ca="1">SUMIF(Estado!$A$9:$A$364,$B56,Estado!$D$9:$D$364)</f>
        <v>230031893.74000001</v>
      </c>
      <c r="F56" s="16">
        <f>SUMIF(Estado!$A$9:$A$364,$B56,Estado!$E$9:$E$364)</f>
        <v>32550</v>
      </c>
      <c r="G56" s="16">
        <f>SUMIF(Estado!$A$9:$A$364,$B56,Estado!$G$9:$G$364)</f>
        <v>34126970.25</v>
      </c>
      <c r="H56" s="16">
        <f>SUMIF(Estado!$A$9:$A$364,$B56,Estado!$I$9:$I$364)</f>
        <v>0</v>
      </c>
      <c r="I56" s="16">
        <f>SUMIF(Estado!$A$9:$A$364,$B56,Estado!$K$9:$K$364)</f>
        <v>163576958.75</v>
      </c>
      <c r="J56" s="16">
        <f t="shared" si="3"/>
        <v>197703929</v>
      </c>
      <c r="K56" s="16">
        <f ca="1">SUMIF(Estado!$A$9:$A$364,$B56,Estado!$O$9:$O$364)</f>
        <v>32295435.640000001</v>
      </c>
      <c r="L56" s="51">
        <f t="shared" si="1"/>
        <v>0.85946304150624797</v>
      </c>
      <c r="M56" s="51">
        <f t="shared" ca="1" si="2"/>
        <v>0.14039545638935522</v>
      </c>
    </row>
    <row r="57" spans="1:13" s="24" customFormat="1" ht="16.5" x14ac:dyDescent="0.25">
      <c r="A57" s="122"/>
      <c r="B57" s="119" t="str">
        <f>+Estado!A91</f>
        <v>E-10501</v>
      </c>
      <c r="C57" s="113" t="str">
        <f>IFERROR(VLOOKUP(B57,Estado!$A$9:$B$501,2,FALSE),0)</f>
        <v>TRANSP.DENT.DEL PAÍS</v>
      </c>
      <c r="D57" s="16">
        <f>SUMIF(Estado!$A$9:$A$364,$B57,Estado!$C$9:$C$364)</f>
        <v>10627500</v>
      </c>
      <c r="E57" s="16">
        <f ca="1">SUMIF(Estado!$A$9:$A$364,$B57,Estado!$D$9:$D$364)</f>
        <v>10627499.199999999</v>
      </c>
      <c r="F57" s="16">
        <f>SUMIF(Estado!$A$9:$A$364,$B57,Estado!$E$9:$E$364)</f>
        <v>0</v>
      </c>
      <c r="G57" s="16">
        <f>SUMIF(Estado!$A$9:$A$364,$B57,Estado!$G$9:$G$364)</f>
        <v>1602209.2</v>
      </c>
      <c r="H57" s="16">
        <f>SUMIF(Estado!$A$9:$A$364,$B57,Estado!$I$9:$I$364)</f>
        <v>0</v>
      </c>
      <c r="I57" s="16">
        <f>SUMIF(Estado!$A$9:$A$364,$B57,Estado!$K$9:$K$364)</f>
        <v>8584260</v>
      </c>
      <c r="J57" s="16">
        <f t="shared" si="3"/>
        <v>10186469.199999999</v>
      </c>
      <c r="K57" s="16">
        <f ca="1">SUMIF(Estado!$A$9:$A$364,$B57,Estado!$O$9:$O$364)</f>
        <v>441030.8</v>
      </c>
      <c r="L57" s="51">
        <f t="shared" si="1"/>
        <v>0.95850098329804745</v>
      </c>
      <c r="M57" s="51">
        <f t="shared" ca="1" si="2"/>
        <v>4.1499016701952482E-2</v>
      </c>
    </row>
    <row r="58" spans="1:13" s="24" customFormat="1" ht="16.5" x14ac:dyDescent="0.25">
      <c r="A58" s="122"/>
      <c r="B58" s="119" t="str">
        <f>+Estado!A92</f>
        <v>E-10502</v>
      </c>
      <c r="C58" s="113" t="str">
        <f>IFERROR(VLOOKUP(B58,Estado!$A$9:$B$501,2,FALSE),0)</f>
        <v>VIÁTICOS DENTRO PAÍS</v>
      </c>
      <c r="D58" s="16">
        <f>SUMIF(Estado!$A$9:$A$364,$B58,Estado!$C$9:$C$364)</f>
        <v>190400398</v>
      </c>
      <c r="E58" s="16">
        <f ca="1">SUMIF(Estado!$A$9:$A$364,$B58,Estado!$D$9:$D$364)</f>
        <v>190400377.90000001</v>
      </c>
      <c r="F58" s="16">
        <f>SUMIF(Estado!$A$9:$A$364,$B58,Estado!$E$9:$E$364)</f>
        <v>32550</v>
      </c>
      <c r="G58" s="16">
        <f>SUMIF(Estado!$A$9:$A$364,$B58,Estado!$G$9:$G$364)</f>
        <v>31925816.559999999</v>
      </c>
      <c r="H58" s="16">
        <f>SUMIF(Estado!$A$9:$A$364,$B58,Estado!$I$9:$I$364)</f>
        <v>0</v>
      </c>
      <c r="I58" s="16">
        <f>SUMIF(Estado!$A$9:$A$364,$B58,Estado!$K$9:$K$364)</f>
        <v>134455625.49000001</v>
      </c>
      <c r="J58" s="16">
        <f t="shared" si="3"/>
        <v>166381442.05000001</v>
      </c>
      <c r="K58" s="16">
        <f ca="1">SUMIF(Estado!$A$9:$A$364,$B58,Estado!$O$9:$O$364)</f>
        <v>23986405.949999999</v>
      </c>
      <c r="L58" s="51">
        <f t="shared" si="1"/>
        <v>0.87385028496631612</v>
      </c>
      <c r="M58" s="51">
        <f t="shared" ca="1" si="2"/>
        <v>0.12597875950868548</v>
      </c>
    </row>
    <row r="59" spans="1:13" s="24" customFormat="1" ht="16.5" x14ac:dyDescent="0.25">
      <c r="A59" s="122"/>
      <c r="B59" s="119" t="str">
        <f>+Estado!A93</f>
        <v>E-10503</v>
      </c>
      <c r="C59" s="113" t="str">
        <f>IFERROR(VLOOKUP(B59,Estado!$A$9:$B$501,2,FALSE),0)</f>
        <v>TRANSPORTE EN EL EXT</v>
      </c>
      <c r="D59" s="16">
        <f>SUMIF(Estado!$A$9:$A$364,$B59,Estado!$C$9:$C$364)</f>
        <v>12591174</v>
      </c>
      <c r="E59" s="16">
        <f ca="1">SUMIF(Estado!$A$9:$A$364,$B59,Estado!$D$9:$D$364)</f>
        <v>12591174</v>
      </c>
      <c r="F59" s="16">
        <f>SUMIF(Estado!$A$9:$A$364,$B59,Estado!$E$9:$E$364)</f>
        <v>0</v>
      </c>
      <c r="G59" s="16">
        <f>SUMIF(Estado!$A$9:$A$364,$B59,Estado!$G$9:$G$364)</f>
        <v>51150.23</v>
      </c>
      <c r="H59" s="16">
        <f>SUMIF(Estado!$A$9:$A$364,$B59,Estado!$I$9:$I$364)</f>
        <v>0</v>
      </c>
      <c r="I59" s="16">
        <f>SUMIF(Estado!$A$9:$A$364,$B59,Estado!$K$9:$K$364)</f>
        <v>9568521.6600000001</v>
      </c>
      <c r="J59" s="16">
        <f t="shared" si="3"/>
        <v>9619671.8900000006</v>
      </c>
      <c r="K59" s="16">
        <f ca="1">SUMIF(Estado!$A$9:$A$364,$B59,Estado!$O$9:$O$364)</f>
        <v>2971502.11</v>
      </c>
      <c r="L59" s="51">
        <f t="shared" si="1"/>
        <v>0.7640011876573225</v>
      </c>
      <c r="M59" s="51">
        <f t="shared" ca="1" si="2"/>
        <v>0.2359988123426775</v>
      </c>
    </row>
    <row r="60" spans="1:13" s="24" customFormat="1" ht="16.5" x14ac:dyDescent="0.25">
      <c r="A60" s="122"/>
      <c r="B60" s="119" t="str">
        <f>+Estado!A94</f>
        <v>E-10504</v>
      </c>
      <c r="C60" s="113" t="str">
        <f>IFERROR(VLOOKUP(B60,Estado!$A$9:$B$501,2,FALSE),0)</f>
        <v>VIÁTICOS EN EXTERIOR</v>
      </c>
      <c r="D60" s="16">
        <f>SUMIF(Estado!$A$9:$A$364,$B60,Estado!$C$9:$C$364)</f>
        <v>16412842.640000001</v>
      </c>
      <c r="E60" s="16">
        <f ca="1">SUMIF(Estado!$A$9:$A$364,$B60,Estado!$D$9:$D$364)</f>
        <v>16412842.640000001</v>
      </c>
      <c r="F60" s="16">
        <f>SUMIF(Estado!$A$9:$A$364,$B60,Estado!$E$9:$E$364)</f>
        <v>0</v>
      </c>
      <c r="G60" s="16">
        <f>SUMIF(Estado!$A$9:$A$364,$B60,Estado!$G$9:$G$364)</f>
        <v>547794.26</v>
      </c>
      <c r="H60" s="16">
        <f>SUMIF(Estado!$A$9:$A$364,$B60,Estado!$I$9:$I$364)</f>
        <v>0</v>
      </c>
      <c r="I60" s="16">
        <f>SUMIF(Estado!$A$9:$A$364,$B60,Estado!$K$9:$K$364)</f>
        <v>10968551.6</v>
      </c>
      <c r="J60" s="16">
        <f t="shared" si="3"/>
        <v>11516345.859999999</v>
      </c>
      <c r="K60" s="16">
        <f ca="1">SUMIF(Estado!$A$9:$A$364,$B60,Estado!$O$9:$O$364)</f>
        <v>4896496.78</v>
      </c>
      <c r="L60" s="51">
        <f t="shared" si="1"/>
        <v>0.70166674430505593</v>
      </c>
      <c r="M60" s="51">
        <f t="shared" ca="1" si="2"/>
        <v>0.29833325569494401</v>
      </c>
    </row>
    <row r="61" spans="1:13" s="24" customFormat="1" ht="16.5" x14ac:dyDescent="0.25">
      <c r="A61" s="122"/>
      <c r="B61" s="119" t="str">
        <f>+Estado!A95</f>
        <v>E-106</v>
      </c>
      <c r="C61" s="113" t="str">
        <f>IFERROR(VLOOKUP(B61,Estado!$A$9:$B$501,2,FALSE),0)</f>
        <v>SEGUROS REASEG Y OTR</v>
      </c>
      <c r="D61" s="16">
        <f>SUMIF(Estado!$A$9:$A$364,$B61,Estado!$C$9:$C$364)</f>
        <v>1357675236</v>
      </c>
      <c r="E61" s="16">
        <f ca="1">SUMIF(Estado!$A$9:$A$364,$B61,Estado!$D$9:$D$364)</f>
        <v>1357675236</v>
      </c>
      <c r="F61" s="16">
        <f>SUMIF(Estado!$A$9:$A$364,$B61,Estado!$E$9:$E$364)</f>
        <v>0</v>
      </c>
      <c r="G61" s="16">
        <f>SUMIF(Estado!$A$9:$A$364,$B61,Estado!$G$9:$G$364)</f>
        <v>10931111</v>
      </c>
      <c r="H61" s="16">
        <f>SUMIF(Estado!$A$9:$A$364,$B61,Estado!$I$9:$I$364)</f>
        <v>0</v>
      </c>
      <c r="I61" s="16">
        <f>SUMIF(Estado!$A$9:$A$364,$B61,Estado!$K$9:$K$364)</f>
        <v>1310002148.99</v>
      </c>
      <c r="J61" s="16">
        <f t="shared" si="3"/>
        <v>1320933259.99</v>
      </c>
      <c r="K61" s="16">
        <f ca="1">SUMIF(Estado!$A$9:$A$364,$B61,Estado!$O$9:$O$364)</f>
        <v>36741976.009999998</v>
      </c>
      <c r="L61" s="51">
        <f t="shared" si="1"/>
        <v>0.9729375810681723</v>
      </c>
      <c r="M61" s="51">
        <f t="shared" ca="1" si="2"/>
        <v>2.7062418931827668E-2</v>
      </c>
    </row>
    <row r="62" spans="1:13" s="24" customFormat="1" ht="16.5" x14ac:dyDescent="0.25">
      <c r="A62" s="122"/>
      <c r="B62" s="119" t="str">
        <f>+Estado!A96</f>
        <v>E-10601</v>
      </c>
      <c r="C62" s="113" t="str">
        <f>IFERROR(VLOOKUP(B62,Estado!$A$9:$B$501,2,FALSE),0)</f>
        <v>SEGUROS</v>
      </c>
      <c r="D62" s="16">
        <f>SUMIF(Estado!$A$9:$A$364,$B62,Estado!$C$9:$C$364)</f>
        <v>1357675236</v>
      </c>
      <c r="E62" s="16">
        <f ca="1">SUMIF(Estado!$A$9:$A$364,$B62,Estado!$D$9:$D$364)</f>
        <v>1357675236</v>
      </c>
      <c r="F62" s="16">
        <f>SUMIF(Estado!$A$9:$A$364,$B62,Estado!$E$9:$E$364)</f>
        <v>0</v>
      </c>
      <c r="G62" s="16">
        <f>SUMIF(Estado!$A$9:$A$364,$B62,Estado!$G$9:$G$364)</f>
        <v>10931111</v>
      </c>
      <c r="H62" s="16">
        <f>SUMIF(Estado!$A$9:$A$364,$B62,Estado!$I$9:$I$364)</f>
        <v>0</v>
      </c>
      <c r="I62" s="16">
        <f>SUMIF(Estado!$A$9:$A$364,$B62,Estado!$K$9:$K$364)</f>
        <v>1310002148.99</v>
      </c>
      <c r="J62" s="16">
        <f t="shared" si="3"/>
        <v>1320933259.99</v>
      </c>
      <c r="K62" s="16">
        <f ca="1">SUMIF(Estado!$A$9:$A$364,$B62,Estado!$O$9:$O$364)</f>
        <v>36741976.009999998</v>
      </c>
      <c r="L62" s="51">
        <f t="shared" si="1"/>
        <v>0.9729375810681723</v>
      </c>
      <c r="M62" s="51">
        <f t="shared" ca="1" si="2"/>
        <v>2.7062418931827668E-2</v>
      </c>
    </row>
    <row r="63" spans="1:13" s="24" customFormat="1" ht="16.5" x14ac:dyDescent="0.25">
      <c r="A63" s="122"/>
      <c r="B63" s="119" t="str">
        <f>+Estado!A97</f>
        <v>E-107</v>
      </c>
      <c r="C63" s="113" t="str">
        <f>IFERROR(VLOOKUP(B63,Estado!$A$9:$B$501,2,FALSE),0)</f>
        <v>CAPACIT. Y PROTOCOLO</v>
      </c>
      <c r="D63" s="16">
        <f>SUMIF(Estado!$A$9:$A$364,$B63,Estado!$C$9:$C$364)</f>
        <v>16990373</v>
      </c>
      <c r="E63" s="16">
        <f ca="1">SUMIF(Estado!$A$9:$A$364,$B63,Estado!$D$9:$D$364)</f>
        <v>16990373</v>
      </c>
      <c r="F63" s="16">
        <f>SUMIF(Estado!$A$9:$A$364,$B63,Estado!$E$9:$E$364)</f>
        <v>0</v>
      </c>
      <c r="G63" s="16">
        <f>SUMIF(Estado!$A$9:$A$364,$B63,Estado!$G$9:$G$364)</f>
        <v>100000</v>
      </c>
      <c r="H63" s="16">
        <f>SUMIF(Estado!$A$9:$A$364,$B63,Estado!$I$9:$I$364)</f>
        <v>0</v>
      </c>
      <c r="I63" s="16">
        <f>SUMIF(Estado!$A$9:$A$364,$B63,Estado!$K$9:$K$364)</f>
        <v>15182192.84</v>
      </c>
      <c r="J63" s="16">
        <f t="shared" si="3"/>
        <v>15282192.84</v>
      </c>
      <c r="K63" s="16">
        <f ca="1">SUMIF(Estado!$A$9:$A$364,$B63,Estado!$O$9:$O$364)</f>
        <v>1708180.1600000001</v>
      </c>
      <c r="L63" s="51">
        <f t="shared" si="1"/>
        <v>0.8994618799716757</v>
      </c>
      <c r="M63" s="51">
        <f t="shared" ca="1" si="2"/>
        <v>0.10053812002832428</v>
      </c>
    </row>
    <row r="64" spans="1:13" s="24" customFormat="1" ht="16.5" x14ac:dyDescent="0.25">
      <c r="A64" s="122"/>
      <c r="B64" s="119" t="str">
        <f>+Estado!A98</f>
        <v>E-10701</v>
      </c>
      <c r="C64" s="113" t="str">
        <f>IFERROR(VLOOKUP(B64,Estado!$A$9:$B$501,2,FALSE),0)</f>
        <v>ACTIV. CAPACITACIÓN</v>
      </c>
      <c r="D64" s="16">
        <f>SUMIF(Estado!$A$9:$A$364,$B64,Estado!$C$9:$C$364)</f>
        <v>13071740</v>
      </c>
      <c r="E64" s="16">
        <f ca="1">SUMIF(Estado!$A$9:$A$364,$B64,Estado!$D$9:$D$364)</f>
        <v>13071740</v>
      </c>
      <c r="F64" s="16">
        <f>SUMIF(Estado!$A$9:$A$364,$B64,Estado!$E$9:$E$364)</f>
        <v>0</v>
      </c>
      <c r="G64" s="16">
        <f>SUMIF(Estado!$A$9:$A$364,$B64,Estado!$G$9:$G$364)</f>
        <v>0</v>
      </c>
      <c r="H64" s="16">
        <f>SUMIF(Estado!$A$9:$A$364,$B64,Estado!$I$9:$I$364)</f>
        <v>0</v>
      </c>
      <c r="I64" s="16">
        <f>SUMIF(Estado!$A$9:$A$364,$B64,Estado!$K$9:$K$364)</f>
        <v>12736349</v>
      </c>
      <c r="J64" s="16">
        <f t="shared" si="3"/>
        <v>12736349</v>
      </c>
      <c r="K64" s="16">
        <f ca="1">SUMIF(Estado!$A$9:$A$364,$B64,Estado!$O$9:$O$364)</f>
        <v>335391</v>
      </c>
      <c r="L64" s="51">
        <f t="shared" si="1"/>
        <v>0.97434228342974993</v>
      </c>
      <c r="M64" s="51">
        <f t="shared" ca="1" si="2"/>
        <v>2.5657716570250021E-2</v>
      </c>
    </row>
    <row r="65" spans="1:13" s="23" customFormat="1" ht="16.5" x14ac:dyDescent="0.25">
      <c r="A65" s="120"/>
      <c r="B65" s="119" t="str">
        <f>+Estado!A99</f>
        <v>E-10702</v>
      </c>
      <c r="C65" s="113" t="str">
        <f>IFERROR(VLOOKUP(B65,Estado!$A$9:$B$501,2,FALSE),0)</f>
        <v>ACTIV.PROTOCOL Y SOC</v>
      </c>
      <c r="D65" s="16">
        <f>SUMIF(Estado!$A$9:$A$364,$B65,Estado!$C$9:$C$364)</f>
        <v>2918633</v>
      </c>
      <c r="E65" s="16">
        <f ca="1">SUMIF(Estado!$A$9:$A$364,$B65,Estado!$D$9:$D$364)</f>
        <v>2918633</v>
      </c>
      <c r="F65" s="16">
        <f>SUMIF(Estado!$A$9:$A$364,$B65,Estado!$E$9:$E$364)</f>
        <v>0</v>
      </c>
      <c r="G65" s="16">
        <f>SUMIF(Estado!$A$9:$A$364,$B65,Estado!$G$9:$G$364)</f>
        <v>0</v>
      </c>
      <c r="H65" s="16">
        <f>SUMIF(Estado!$A$9:$A$364,$B65,Estado!$I$9:$I$364)</f>
        <v>0</v>
      </c>
      <c r="I65" s="16">
        <f>SUMIF(Estado!$A$9:$A$364,$B65,Estado!$K$9:$K$364)</f>
        <v>2018632.64</v>
      </c>
      <c r="J65" s="16">
        <f t="shared" ref="J65" si="6">SUM(G65:I65)</f>
        <v>2018632.64</v>
      </c>
      <c r="K65" s="16">
        <f ca="1">SUMIF(Estado!$A$9:$A$364,$B65,Estado!$O$9:$O$364)</f>
        <v>900000.36</v>
      </c>
      <c r="L65" s="51">
        <f t="shared" si="1"/>
        <v>0.69163633797054991</v>
      </c>
      <c r="M65" s="51">
        <f t="shared" ca="1" si="2"/>
        <v>0.30836366202945009</v>
      </c>
    </row>
    <row r="66" spans="1:13" s="24" customFormat="1" ht="16.5" x14ac:dyDescent="0.25">
      <c r="A66" s="122"/>
      <c r="B66" s="119" t="str">
        <f>+Estado!A100</f>
        <v>E-10703</v>
      </c>
      <c r="C66" s="113" t="str">
        <f>IFERROR(VLOOKUP(B66,Estado!$A$9:$B$501,2,FALSE),0)</f>
        <v>GASTOS REPRES.INSTIT</v>
      </c>
      <c r="D66" s="16">
        <f>SUMIF(Estado!$A$9:$A$364,$B66,Estado!$C$9:$C$364)</f>
        <v>1000000</v>
      </c>
      <c r="E66" s="16">
        <f ca="1">SUMIF(Estado!$A$9:$A$364,$B66,Estado!$D$9:$D$364)</f>
        <v>1000000</v>
      </c>
      <c r="F66" s="16">
        <f>SUMIF(Estado!$A$9:$A$364,$B66,Estado!$E$9:$E$364)</f>
        <v>0</v>
      </c>
      <c r="G66" s="16">
        <f>SUMIF(Estado!$A$9:$A$364,$B66,Estado!$G$9:$G$364)</f>
        <v>100000</v>
      </c>
      <c r="H66" s="16">
        <f>SUMIF(Estado!$A$9:$A$364,$B66,Estado!$I$9:$I$364)</f>
        <v>0</v>
      </c>
      <c r="I66" s="16">
        <f>SUMIF(Estado!$A$9:$A$364,$B66,Estado!$K$9:$K$364)</f>
        <v>427211.2</v>
      </c>
      <c r="J66" s="16">
        <f t="shared" ref="J66" si="7">SUM(G66:I66)</f>
        <v>527211.19999999995</v>
      </c>
      <c r="K66" s="16">
        <f ca="1">SUMIF(Estado!$A$9:$A$364,$B66,Estado!$O$9:$O$364)</f>
        <v>472788.8</v>
      </c>
      <c r="L66" s="51">
        <f t="shared" si="1"/>
        <v>0.52721119999999999</v>
      </c>
      <c r="M66" s="51">
        <f t="shared" ca="1" si="2"/>
        <v>0.47278880000000001</v>
      </c>
    </row>
    <row r="67" spans="1:13" s="24" customFormat="1" ht="16.5" x14ac:dyDescent="0.25">
      <c r="A67" s="122"/>
      <c r="B67" s="119" t="str">
        <f>+Estado!A101</f>
        <v>E-108</v>
      </c>
      <c r="C67" s="113" t="str">
        <f>IFERROR(VLOOKUP(B67,Estado!$A$9:$B$501,2,FALSE),0)</f>
        <v>MANTEN. Y REPARACIÓN</v>
      </c>
      <c r="D67" s="16">
        <f>SUMIF(Estado!$A$9:$A$364,$B67,Estado!$C$9:$C$364)</f>
        <v>523613241</v>
      </c>
      <c r="E67" s="16">
        <f ca="1">SUMIF(Estado!$A$9:$A$364,$B67,Estado!$D$9:$D$364)</f>
        <v>523613241</v>
      </c>
      <c r="F67" s="16">
        <f>SUMIF(Estado!$A$9:$A$364,$B67,Estado!$E$9:$E$364)</f>
        <v>4330422</v>
      </c>
      <c r="G67" s="16">
        <f>SUMIF(Estado!$A$9:$A$364,$B67,Estado!$G$9:$G$364)</f>
        <v>145272765.15000001</v>
      </c>
      <c r="H67" s="16">
        <f>SUMIF(Estado!$A$9:$A$364,$B67,Estado!$I$9:$I$364)</f>
        <v>0</v>
      </c>
      <c r="I67" s="16">
        <f>SUMIF(Estado!$A$9:$A$364,$B67,Estado!$K$9:$K$364)</f>
        <v>309016835.77999997</v>
      </c>
      <c r="J67" s="16">
        <f t="shared" si="3"/>
        <v>454289600.92999995</v>
      </c>
      <c r="K67" s="16">
        <f ca="1">SUMIF(Estado!$A$9:$A$364,$B67,Estado!$O$9:$O$364)</f>
        <v>64993218.07</v>
      </c>
      <c r="L67" s="51">
        <f t="shared" si="1"/>
        <v>0.86760525777078268</v>
      </c>
      <c r="M67" s="51">
        <f t="shared" ca="1" si="2"/>
        <v>0.12412447390725935</v>
      </c>
    </row>
    <row r="68" spans="1:13" s="24" customFormat="1" ht="16.5" x14ac:dyDescent="0.25">
      <c r="A68" s="122"/>
      <c r="B68" s="119" t="str">
        <f>+Estado!A102</f>
        <v>E-10801</v>
      </c>
      <c r="C68" s="113" t="str">
        <f>IFERROR(VLOOKUP(B68,Estado!$A$9:$B$501,2,FALSE),0)</f>
        <v>MANT.EDIF.,LOC.YTERR</v>
      </c>
      <c r="D68" s="16">
        <f>SUMIF(Estado!$A$9:$A$364,$B68,Estado!$C$9:$C$364)</f>
        <v>68677250</v>
      </c>
      <c r="E68" s="16">
        <f ca="1">SUMIF(Estado!$A$9:$A$364,$B68,Estado!$D$9:$D$364)</f>
        <v>68677250</v>
      </c>
      <c r="F68" s="16">
        <f>SUMIF(Estado!$A$9:$A$364,$B68,Estado!$E$9:$E$364)</f>
        <v>4330422</v>
      </c>
      <c r="G68" s="16">
        <f>SUMIF(Estado!$A$9:$A$364,$B68,Estado!$G$9:$G$364)</f>
        <v>54463500</v>
      </c>
      <c r="H68" s="16">
        <f>SUMIF(Estado!$A$9:$A$364,$B68,Estado!$I$9:$I$364)</f>
        <v>0</v>
      </c>
      <c r="I68" s="16">
        <f>SUMIF(Estado!$A$9:$A$364,$B68,Estado!$K$9:$K$364)</f>
        <v>4337000</v>
      </c>
      <c r="J68" s="16">
        <f t="shared" si="3"/>
        <v>58800500</v>
      </c>
      <c r="K68" s="16">
        <f ca="1">SUMIF(Estado!$A$9:$A$364,$B68,Estado!$O$9:$O$364)</f>
        <v>5546328</v>
      </c>
      <c r="L68" s="51">
        <f t="shared" ref="L68:L131" si="8">+IFERROR(SUM(G68:I68)/D68,0)</f>
        <v>0.85618600045866722</v>
      </c>
      <c r="M68" s="51">
        <f t="shared" ref="M68:M131" ca="1" si="9">+IFERROR(+K68/D68,0)</f>
        <v>8.0759319862108631E-2</v>
      </c>
    </row>
    <row r="69" spans="1:13" s="24" customFormat="1" ht="16.5" x14ac:dyDescent="0.25">
      <c r="A69" s="122"/>
      <c r="B69" s="119" t="str">
        <f>+Estado!A103</f>
        <v>E-10804</v>
      </c>
      <c r="C69" s="113" t="str">
        <f>IFERROR(VLOOKUP(B69,Estado!$A$9:$B$501,2,FALSE),0)</f>
        <v>MANT.Y REP.M.EQ.PROD</v>
      </c>
      <c r="D69" s="16">
        <f>SUMIF(Estado!$A$9:$A$364,$B69,Estado!$C$9:$C$364)</f>
        <v>163073543</v>
      </c>
      <c r="E69" s="16">
        <f ca="1">SUMIF(Estado!$A$9:$A$364,$B69,Estado!$D$9:$D$364)</f>
        <v>163073543</v>
      </c>
      <c r="F69" s="16">
        <f>SUMIF(Estado!$A$9:$A$364,$B69,Estado!$E$9:$E$364)</f>
        <v>0</v>
      </c>
      <c r="G69" s="16">
        <f>SUMIF(Estado!$A$9:$A$364,$B69,Estado!$G$9:$G$364)</f>
        <v>47628941.960000001</v>
      </c>
      <c r="H69" s="16">
        <f>SUMIF(Estado!$A$9:$A$364,$B69,Estado!$I$9:$I$364)</f>
        <v>0</v>
      </c>
      <c r="I69" s="16">
        <f>SUMIF(Estado!$A$9:$A$364,$B69,Estado!$K$9:$K$364)</f>
        <v>105594788.38</v>
      </c>
      <c r="J69" s="16">
        <f t="shared" ref="J69:J132" si="10">SUM(G69:I69)</f>
        <v>153223730.34</v>
      </c>
      <c r="K69" s="16">
        <f ca="1">SUMIF(Estado!$A$9:$A$364,$B69,Estado!$O$9:$O$364)</f>
        <v>9849812.6600000001</v>
      </c>
      <c r="L69" s="51">
        <f t="shared" si="8"/>
        <v>0.93959895346113875</v>
      </c>
      <c r="M69" s="51">
        <f t="shared" ca="1" si="9"/>
        <v>6.0401046538861303E-2</v>
      </c>
    </row>
    <row r="70" spans="1:13" s="24" customFormat="1" ht="16.5" x14ac:dyDescent="0.25">
      <c r="A70" s="122"/>
      <c r="B70" s="119" t="str">
        <f>+Estado!A104</f>
        <v>E-10805</v>
      </c>
      <c r="C70" s="113" t="str">
        <f>IFERROR(VLOOKUP(B70,Estado!$A$9:$B$501,2,FALSE),0)</f>
        <v>MANT.Y REP.EQ.TRANSP</v>
      </c>
      <c r="D70" s="16">
        <f>SUMIF(Estado!$A$9:$A$364,$B70,Estado!$C$9:$C$364)</f>
        <v>81308530</v>
      </c>
      <c r="E70" s="16">
        <f ca="1">SUMIF(Estado!$A$9:$A$364,$B70,Estado!$D$9:$D$364)</f>
        <v>81308530</v>
      </c>
      <c r="F70" s="16">
        <f>SUMIF(Estado!$A$9:$A$364,$B70,Estado!$E$9:$E$364)</f>
        <v>0</v>
      </c>
      <c r="G70" s="16">
        <f>SUMIF(Estado!$A$9:$A$364,$B70,Estado!$G$9:$G$364)</f>
        <v>18015001.59</v>
      </c>
      <c r="H70" s="16">
        <f>SUMIF(Estado!$A$9:$A$364,$B70,Estado!$I$9:$I$364)</f>
        <v>0</v>
      </c>
      <c r="I70" s="16">
        <f>SUMIF(Estado!$A$9:$A$364,$B70,Estado!$K$9:$K$364)</f>
        <v>59658287.43</v>
      </c>
      <c r="J70" s="16">
        <f t="shared" si="10"/>
        <v>77673289.019999996</v>
      </c>
      <c r="K70" s="16">
        <f ca="1">SUMIF(Estado!$A$9:$A$364,$B70,Estado!$O$9:$O$364)</f>
        <v>3635240.98</v>
      </c>
      <c r="L70" s="51">
        <f t="shared" si="8"/>
        <v>0.9552907797004816</v>
      </c>
      <c r="M70" s="51">
        <f t="shared" ca="1" si="9"/>
        <v>4.470922029951839E-2</v>
      </c>
    </row>
    <row r="71" spans="1:13" s="24" customFormat="1" ht="16.5" x14ac:dyDescent="0.25">
      <c r="A71" s="122"/>
      <c r="B71" s="119" t="str">
        <f>+Estado!A105</f>
        <v>E-10806</v>
      </c>
      <c r="C71" s="113" t="str">
        <f>IFERROR(VLOOKUP(B71,Estado!$A$9:$B$501,2,FALSE),0)</f>
        <v>MANT.Y REP.EQ.COMUNI</v>
      </c>
      <c r="D71" s="16">
        <f>SUMIF(Estado!$A$9:$A$364,$B71,Estado!$C$9:$C$364)</f>
        <v>9250000</v>
      </c>
      <c r="E71" s="16">
        <f ca="1">SUMIF(Estado!$A$9:$A$364,$B71,Estado!$D$9:$D$364)</f>
        <v>9250000</v>
      </c>
      <c r="F71" s="16">
        <f>SUMIF(Estado!$A$9:$A$364,$B71,Estado!$E$9:$E$364)</f>
        <v>0</v>
      </c>
      <c r="G71" s="16">
        <f>SUMIF(Estado!$A$9:$A$364,$B71,Estado!$G$9:$G$364)</f>
        <v>837136</v>
      </c>
      <c r="H71" s="16">
        <f>SUMIF(Estado!$A$9:$A$364,$B71,Estado!$I$9:$I$364)</f>
        <v>0</v>
      </c>
      <c r="I71" s="16">
        <f>SUMIF(Estado!$A$9:$A$364,$B71,Estado!$K$9:$K$364)</f>
        <v>5572410</v>
      </c>
      <c r="J71" s="16">
        <f t="shared" si="10"/>
        <v>6409546</v>
      </c>
      <c r="K71" s="16">
        <f ca="1">SUMIF(Estado!$A$9:$A$364,$B71,Estado!$O$9:$O$364)</f>
        <v>2840454</v>
      </c>
      <c r="L71" s="51">
        <f t="shared" si="8"/>
        <v>0.69292389189189185</v>
      </c>
      <c r="M71" s="51">
        <f t="shared" ca="1" si="9"/>
        <v>0.30707610810810809</v>
      </c>
    </row>
    <row r="72" spans="1:13" s="24" customFormat="1" ht="16.5" x14ac:dyDescent="0.25">
      <c r="A72" s="122"/>
      <c r="B72" s="119" t="str">
        <f>+Estado!A106</f>
        <v>E-10807</v>
      </c>
      <c r="C72" s="113" t="str">
        <f>IFERROR(VLOOKUP(B72,Estado!$A$9:$B$501,2,FALSE),0)</f>
        <v>MANT.Y REP.EQ.MOB.OF</v>
      </c>
      <c r="D72" s="16">
        <f>SUMIF(Estado!$A$9:$A$364,$B72,Estado!$C$9:$C$364)</f>
        <v>23623203</v>
      </c>
      <c r="E72" s="16">
        <f ca="1">SUMIF(Estado!$A$9:$A$364,$B72,Estado!$D$9:$D$364)</f>
        <v>23623203</v>
      </c>
      <c r="F72" s="16">
        <f>SUMIF(Estado!$A$9:$A$364,$B72,Estado!$E$9:$E$364)</f>
        <v>0</v>
      </c>
      <c r="G72" s="16">
        <f>SUMIF(Estado!$A$9:$A$364,$B72,Estado!$G$9:$G$364)</f>
        <v>2682354</v>
      </c>
      <c r="H72" s="16">
        <f>SUMIF(Estado!$A$9:$A$364,$B72,Estado!$I$9:$I$364)</f>
        <v>0</v>
      </c>
      <c r="I72" s="16">
        <f>SUMIF(Estado!$A$9:$A$364,$B72,Estado!$K$9:$K$364)</f>
        <v>15775356.960000001</v>
      </c>
      <c r="J72" s="16">
        <f t="shared" si="10"/>
        <v>18457710.960000001</v>
      </c>
      <c r="K72" s="16">
        <f ca="1">SUMIF(Estado!$A$9:$A$364,$B72,Estado!$O$9:$O$364)</f>
        <v>5165492.04</v>
      </c>
      <c r="L72" s="51">
        <f t="shared" si="8"/>
        <v>0.78133820210578564</v>
      </c>
      <c r="M72" s="51">
        <f t="shared" ca="1" si="9"/>
        <v>0.21866179789421444</v>
      </c>
    </row>
    <row r="73" spans="1:13" s="24" customFormat="1" ht="16.5" x14ac:dyDescent="0.25">
      <c r="A73" s="122"/>
      <c r="B73" s="119" t="str">
        <f>+Estado!A107</f>
        <v>E-10808</v>
      </c>
      <c r="C73" s="113" t="str">
        <f>IFERROR(VLOOKUP(B73,Estado!$A$9:$B$501,2,FALSE),0)</f>
        <v>MANT.YREP.EQ.C.S.INF</v>
      </c>
      <c r="D73" s="16">
        <f>SUMIF(Estado!$A$9:$A$364,$B73,Estado!$C$9:$C$364)</f>
        <v>95203143</v>
      </c>
      <c r="E73" s="16">
        <f ca="1">SUMIF(Estado!$A$9:$A$364,$B73,Estado!$D$9:$D$364)</f>
        <v>95203143</v>
      </c>
      <c r="F73" s="16">
        <f>SUMIF(Estado!$A$9:$A$364,$B73,Estado!$E$9:$E$364)</f>
        <v>0</v>
      </c>
      <c r="G73" s="16">
        <f>SUMIF(Estado!$A$9:$A$364,$B73,Estado!$G$9:$G$364)</f>
        <v>6346669.1200000001</v>
      </c>
      <c r="H73" s="16">
        <f>SUMIF(Estado!$A$9:$A$364,$B73,Estado!$I$9:$I$364)</f>
        <v>0</v>
      </c>
      <c r="I73" s="16">
        <f>SUMIF(Estado!$A$9:$A$364,$B73,Estado!$K$9:$K$364)</f>
        <v>77988105.930000007</v>
      </c>
      <c r="J73" s="16">
        <f t="shared" si="10"/>
        <v>84334775.050000012</v>
      </c>
      <c r="K73" s="16">
        <f ca="1">SUMIF(Estado!$A$9:$A$364,$B73,Estado!$O$9:$O$364)</f>
        <v>10868367.949999999</v>
      </c>
      <c r="L73" s="51">
        <f t="shared" si="8"/>
        <v>0.88584024006434336</v>
      </c>
      <c r="M73" s="51">
        <f t="shared" ca="1" si="9"/>
        <v>0.11415975993565673</v>
      </c>
    </row>
    <row r="74" spans="1:13" s="24" customFormat="1" ht="16.5" x14ac:dyDescent="0.25">
      <c r="A74" s="122"/>
      <c r="B74" s="119" t="str">
        <f>+Estado!A108</f>
        <v>E-10899</v>
      </c>
      <c r="C74" s="113" t="str">
        <f>IFERROR(VLOOKUP(B74,Estado!$A$9:$B$501,2,FALSE),0)</f>
        <v>MANT.Y REP.OTROS EQ.</v>
      </c>
      <c r="D74" s="16">
        <f>SUMIF(Estado!$A$9:$A$364,$B74,Estado!$C$9:$C$364)</f>
        <v>82477572</v>
      </c>
      <c r="E74" s="16">
        <f ca="1">SUMIF(Estado!$A$9:$A$364,$B74,Estado!$D$9:$D$364)</f>
        <v>82477572</v>
      </c>
      <c r="F74" s="16">
        <f>SUMIF(Estado!$A$9:$A$364,$B74,Estado!$E$9:$E$364)</f>
        <v>0</v>
      </c>
      <c r="G74" s="16">
        <f>SUMIF(Estado!$A$9:$A$364,$B74,Estado!$G$9:$G$364)</f>
        <v>15299162.48</v>
      </c>
      <c r="H74" s="16">
        <f>SUMIF(Estado!$A$9:$A$364,$B74,Estado!$I$9:$I$364)</f>
        <v>0</v>
      </c>
      <c r="I74" s="16">
        <f>SUMIF(Estado!$A$9:$A$364,$B74,Estado!$K$9:$K$364)</f>
        <v>40090887.079999998</v>
      </c>
      <c r="J74" s="16">
        <f t="shared" si="10"/>
        <v>55390049.560000002</v>
      </c>
      <c r="K74" s="16">
        <f ca="1">SUMIF(Estado!$A$9:$A$364,$B74,Estado!$O$9:$O$364)</f>
        <v>27087522.440000001</v>
      </c>
      <c r="L74" s="51">
        <f t="shared" si="8"/>
        <v>0.67157711141157261</v>
      </c>
      <c r="M74" s="51">
        <f t="shared" ca="1" si="9"/>
        <v>0.32842288858842744</v>
      </c>
    </row>
    <row r="75" spans="1:13" s="24" customFormat="1" ht="16.5" x14ac:dyDescent="0.25">
      <c r="A75" s="122"/>
      <c r="B75" s="119" t="str">
        <f>+Estado!A109</f>
        <v>E-109</v>
      </c>
      <c r="C75" s="113" t="str">
        <f>IFERROR(VLOOKUP(B75,Estado!$A$9:$B$501,2,FALSE),0)</f>
        <v>IMPUESTOS</v>
      </c>
      <c r="D75" s="16">
        <f>SUMIF(Estado!$A$9:$A$364,$B75,Estado!$C$9:$C$364)</f>
        <v>19690000</v>
      </c>
      <c r="E75" s="16">
        <f ca="1">SUMIF(Estado!$A$9:$A$364,$B75,Estado!$D$9:$D$364)</f>
        <v>19690000</v>
      </c>
      <c r="F75" s="16">
        <f>SUMIF(Estado!$A$9:$A$364,$B75,Estado!$E$9:$E$364)</f>
        <v>0</v>
      </c>
      <c r="G75" s="16">
        <f>SUMIF(Estado!$A$9:$A$364,$B75,Estado!$G$9:$G$364)</f>
        <v>433320</v>
      </c>
      <c r="H75" s="16">
        <f>SUMIF(Estado!$A$9:$A$364,$B75,Estado!$I$9:$I$364)</f>
        <v>0</v>
      </c>
      <c r="I75" s="16">
        <f>SUMIF(Estado!$A$9:$A$364,$B75,Estado!$K$9:$K$364)</f>
        <v>14344547</v>
      </c>
      <c r="J75" s="16">
        <f t="shared" si="10"/>
        <v>14777867</v>
      </c>
      <c r="K75" s="16">
        <f ca="1">SUMIF(Estado!$A$9:$A$364,$B75,Estado!$O$9:$O$364)</f>
        <v>4912133</v>
      </c>
      <c r="L75" s="51">
        <f t="shared" si="8"/>
        <v>0.75052651091924838</v>
      </c>
      <c r="M75" s="51">
        <f t="shared" ca="1" si="9"/>
        <v>0.24947348908075165</v>
      </c>
    </row>
    <row r="76" spans="1:13" s="24" customFormat="1" ht="16.5" x14ac:dyDescent="0.25">
      <c r="A76" s="122"/>
      <c r="B76" s="119" t="str">
        <f>+Estado!A110</f>
        <v>E-10999</v>
      </c>
      <c r="C76" s="113" t="str">
        <f>IFERROR(VLOOKUP(B76,Estado!$A$9:$B$501,2,FALSE),0)</f>
        <v>TROS IMPUESTOS</v>
      </c>
      <c r="D76" s="16">
        <f>SUMIF(Estado!$A$9:$A$364,$B76,Estado!$C$9:$C$364)</f>
        <v>19690000</v>
      </c>
      <c r="E76" s="16">
        <f ca="1">SUMIF(Estado!$A$9:$A$364,$B76,Estado!$D$9:$D$364)</f>
        <v>19690000</v>
      </c>
      <c r="F76" s="16">
        <f>SUMIF(Estado!$A$9:$A$364,$B76,Estado!$E$9:$E$364)</f>
        <v>0</v>
      </c>
      <c r="G76" s="16">
        <f>SUMIF(Estado!$A$9:$A$364,$B76,Estado!$G$9:$G$364)</f>
        <v>433320</v>
      </c>
      <c r="H76" s="16">
        <f>SUMIF(Estado!$A$9:$A$364,$B76,Estado!$I$9:$I$364)</f>
        <v>0</v>
      </c>
      <c r="I76" s="16">
        <f>SUMIF(Estado!$A$9:$A$364,$B76,Estado!$K$9:$K$364)</f>
        <v>14344547</v>
      </c>
      <c r="J76" s="16">
        <f t="shared" si="10"/>
        <v>14777867</v>
      </c>
      <c r="K76" s="16">
        <f ca="1">SUMIF(Estado!$A$9:$A$364,$B76,Estado!$O$9:$O$364)</f>
        <v>4912133</v>
      </c>
      <c r="L76" s="51">
        <f t="shared" si="8"/>
        <v>0.75052651091924838</v>
      </c>
      <c r="M76" s="51">
        <f t="shared" ca="1" si="9"/>
        <v>0.24947348908075165</v>
      </c>
    </row>
    <row r="77" spans="1:13" s="24" customFormat="1" ht="16.5" x14ac:dyDescent="0.25">
      <c r="A77" s="122"/>
      <c r="B77" s="119" t="str">
        <f>+Estado!A111</f>
        <v>E-199</v>
      </c>
      <c r="C77" s="113" t="str">
        <f>IFERROR(VLOOKUP(B77,Estado!$A$9:$B$501,2,FALSE),0)</f>
        <v>SERVICIOS DIVERSOS</v>
      </c>
      <c r="D77" s="16">
        <f>SUMIF(Estado!$A$9:$A$364,$B77,Estado!$C$9:$C$364)</f>
        <v>26483649.859999999</v>
      </c>
      <c r="E77" s="16">
        <f ca="1">SUMIF(Estado!$A$9:$A$364,$B77,Estado!$D$9:$D$364)</f>
        <v>26483649.18</v>
      </c>
      <c r="F77" s="16">
        <f>SUMIF(Estado!$A$9:$A$364,$B77,Estado!$E$9:$E$364)</f>
        <v>0</v>
      </c>
      <c r="G77" s="16">
        <f>SUMIF(Estado!$A$9:$A$364,$B77,Estado!$G$9:$G$364)</f>
        <v>14480457.48</v>
      </c>
      <c r="H77" s="16">
        <f>SUMIF(Estado!$A$9:$A$364,$B77,Estado!$I$9:$I$364)</f>
        <v>0</v>
      </c>
      <c r="I77" s="16">
        <f>SUMIF(Estado!$A$9:$A$364,$B77,Estado!$K$9:$K$364)</f>
        <v>5342112.92</v>
      </c>
      <c r="J77" s="16">
        <f t="shared" si="10"/>
        <v>19822570.399999999</v>
      </c>
      <c r="K77" s="16">
        <f ca="1">SUMIF(Estado!$A$9:$A$364,$B77,Estado!$O$9:$O$364)</f>
        <v>6661079.46</v>
      </c>
      <c r="L77" s="51">
        <f t="shared" si="8"/>
        <v>0.74848332857395661</v>
      </c>
      <c r="M77" s="51">
        <f t="shared" ca="1" si="9"/>
        <v>0.25151667142604339</v>
      </c>
    </row>
    <row r="78" spans="1:13" s="24" customFormat="1" ht="16.5" x14ac:dyDescent="0.25">
      <c r="A78" s="122"/>
      <c r="B78" s="119" t="str">
        <f>+Estado!A112</f>
        <v>E-19901</v>
      </c>
      <c r="C78" s="113" t="str">
        <f>IFERROR(VLOOKUP(B78,Estado!$A$9:$B$501,2,FALSE),0)</f>
        <v>SERV. DE REGULACIÓN</v>
      </c>
      <c r="D78" s="16">
        <f>SUMIF(Estado!$A$9:$A$364,$B78,Estado!$C$9:$C$364)</f>
        <v>3000000</v>
      </c>
      <c r="E78" s="16">
        <f ca="1">SUMIF(Estado!$A$9:$A$364,$B78,Estado!$D$9:$D$364)</f>
        <v>2999999.32</v>
      </c>
      <c r="F78" s="16">
        <f>SUMIF(Estado!$A$9:$A$364,$B78,Estado!$E$9:$E$364)</f>
        <v>0</v>
      </c>
      <c r="G78" s="16">
        <f>SUMIF(Estado!$A$9:$A$364,$B78,Estado!$G$9:$G$364)</f>
        <v>2569500.48</v>
      </c>
      <c r="H78" s="16">
        <f>SUMIF(Estado!$A$9:$A$364,$B78,Estado!$I$9:$I$364)</f>
        <v>0</v>
      </c>
      <c r="I78" s="16">
        <f>SUMIF(Estado!$A$9:$A$364,$B78,Estado!$K$9:$K$364)</f>
        <v>143499.84</v>
      </c>
      <c r="J78" s="16">
        <f t="shared" si="10"/>
        <v>2713000.32</v>
      </c>
      <c r="K78" s="16">
        <f ca="1">SUMIF(Estado!$A$9:$A$364,$B78,Estado!$O$9:$O$364)</f>
        <v>286999.67999999999</v>
      </c>
      <c r="L78" s="51">
        <f t="shared" si="8"/>
        <v>0.90433343999999993</v>
      </c>
      <c r="M78" s="51">
        <f t="shared" ca="1" si="9"/>
        <v>9.5666559999999998E-2</v>
      </c>
    </row>
    <row r="79" spans="1:13" s="24" customFormat="1" ht="16.5" x14ac:dyDescent="0.25">
      <c r="A79" s="122"/>
      <c r="B79" s="119" t="str">
        <f>+Estado!A113</f>
        <v>E-19902</v>
      </c>
      <c r="C79" s="113" t="str">
        <f>IFERROR(VLOOKUP(B79,Estado!$A$9:$B$501,2,FALSE),0)</f>
        <v>INT. MORAT. Y MULTAS</v>
      </c>
      <c r="D79" s="16">
        <f>SUMIF(Estado!$A$9:$A$364,$B79,Estado!$C$9:$C$364)</f>
        <v>6285649.8600000003</v>
      </c>
      <c r="E79" s="16">
        <f ca="1">SUMIF(Estado!$A$9:$A$364,$B79,Estado!$D$9:$D$364)</f>
        <v>6285649.8600000003</v>
      </c>
      <c r="F79" s="16">
        <f>SUMIF(Estado!$A$9:$A$364,$B79,Estado!$E$9:$E$364)</f>
        <v>0</v>
      </c>
      <c r="G79" s="16">
        <f>SUMIF(Estado!$A$9:$A$364,$B79,Estado!$G$9:$G$364)</f>
        <v>122527</v>
      </c>
      <c r="H79" s="16">
        <f>SUMIF(Estado!$A$9:$A$364,$B79,Estado!$I$9:$I$364)</f>
        <v>0</v>
      </c>
      <c r="I79" s="16">
        <f>SUMIF(Estado!$A$9:$A$364,$B79,Estado!$K$9:$K$364)</f>
        <v>1044231.08</v>
      </c>
      <c r="J79" s="16">
        <f t="shared" si="10"/>
        <v>1166758.08</v>
      </c>
      <c r="K79" s="16">
        <f ca="1">SUMIF(Estado!$A$9:$A$364,$B79,Estado!$O$9:$O$364)</f>
        <v>5118891.78</v>
      </c>
      <c r="L79" s="51">
        <f t="shared" si="8"/>
        <v>0.18562250618267814</v>
      </c>
      <c r="M79" s="51">
        <f t="shared" ca="1" si="9"/>
        <v>0.81437749381732183</v>
      </c>
    </row>
    <row r="80" spans="1:13" s="24" customFormat="1" ht="16.5" x14ac:dyDescent="0.25">
      <c r="A80" s="122"/>
      <c r="B80" s="119" t="str">
        <f>+Estado!A114</f>
        <v>E-19905</v>
      </c>
      <c r="C80" s="113" t="str">
        <f>IFERROR(VLOOKUP(B80,Estado!$A$9:$B$501,2,FALSE),0)</f>
        <v>DEDUCIBLES</v>
      </c>
      <c r="D80" s="16">
        <f>SUMIF(Estado!$A$9:$A$364,$B80,Estado!$C$9:$C$364)</f>
        <v>17198000</v>
      </c>
      <c r="E80" s="16">
        <f ca="1">SUMIF(Estado!$A$9:$A$364,$B80,Estado!$D$9:$D$364)</f>
        <v>17198000</v>
      </c>
      <c r="F80" s="16">
        <f>SUMIF(Estado!$A$9:$A$364,$B80,Estado!$E$9:$E$364)</f>
        <v>0</v>
      </c>
      <c r="G80" s="16">
        <f>SUMIF(Estado!$A$9:$A$364,$B80,Estado!$G$9:$G$364)</f>
        <v>11788430</v>
      </c>
      <c r="H80" s="16">
        <f>SUMIF(Estado!$A$9:$A$364,$B80,Estado!$I$9:$I$364)</f>
        <v>0</v>
      </c>
      <c r="I80" s="16">
        <f>SUMIF(Estado!$A$9:$A$364,$B80,Estado!$K$9:$K$364)</f>
        <v>4154382</v>
      </c>
      <c r="J80" s="16">
        <f t="shared" si="10"/>
        <v>15942812</v>
      </c>
      <c r="K80" s="16">
        <f ca="1">SUMIF(Estado!$A$9:$A$364,$B80,Estado!$O$9:$O$364)</f>
        <v>1255188</v>
      </c>
      <c r="L80" s="51">
        <f t="shared" si="8"/>
        <v>0.92701546691475756</v>
      </c>
      <c r="M80" s="51">
        <f t="shared" ca="1" si="9"/>
        <v>7.298453308524247E-2</v>
      </c>
    </row>
    <row r="81" spans="1:13" s="23" customFormat="1" ht="17.25" x14ac:dyDescent="0.25">
      <c r="A81" s="120"/>
      <c r="B81" s="121" t="str">
        <f>+Estado!A115</f>
        <v>E-2</v>
      </c>
      <c r="C81" s="114" t="str">
        <f>IFERROR(VLOOKUP(B81,Estado!$A$9:$B$501,2,FALSE),0)</f>
        <v>MATERIALES Y SUMINIS</v>
      </c>
      <c r="D81" s="22">
        <f>+D82+D88+D91+D99+D102</f>
        <v>12969269517</v>
      </c>
      <c r="E81" s="22">
        <f t="shared" ref="E81:K81" ca="1" si="11">+E82+E88+E91+E99+E102</f>
        <v>12969269510.41</v>
      </c>
      <c r="F81" s="22">
        <f t="shared" si="11"/>
        <v>0</v>
      </c>
      <c r="G81" s="22">
        <f t="shared" si="11"/>
        <v>1112309965.5899999</v>
      </c>
      <c r="H81" s="22">
        <f t="shared" si="11"/>
        <v>0</v>
      </c>
      <c r="I81" s="22">
        <f t="shared" si="11"/>
        <v>10890717174.57</v>
      </c>
      <c r="J81" s="22">
        <f t="shared" si="11"/>
        <v>12003027140.16</v>
      </c>
      <c r="K81" s="22">
        <f t="shared" ca="1" si="11"/>
        <v>966242376.83999991</v>
      </c>
      <c r="L81" s="69">
        <f t="shared" si="8"/>
        <v>0.92549754821785002</v>
      </c>
      <c r="M81" s="69">
        <f t="shared" ca="1" si="9"/>
        <v>7.4502451782149967E-2</v>
      </c>
    </row>
    <row r="82" spans="1:13" s="24" customFormat="1" ht="16.5" x14ac:dyDescent="0.25">
      <c r="A82" s="122"/>
      <c r="B82" s="119" t="str">
        <f>+Estado!A116</f>
        <v>E-201</v>
      </c>
      <c r="C82" s="113" t="str">
        <f>IFERROR(VLOOKUP(B82,Estado!$A$9:$B$501,2,FALSE),0)</f>
        <v>PRODUC QUÍM Y CONEX</v>
      </c>
      <c r="D82" s="16">
        <f>SUMIF(Estado!$A$9:$A$364,$B82,Estado!$C$9:$C$364)</f>
        <v>656809530</v>
      </c>
      <c r="E82" s="16">
        <f ca="1">SUMIF(Estado!$A$9:$A$364,$B82,Estado!$D$9:$D$364)</f>
        <v>656809529.85000002</v>
      </c>
      <c r="F82" s="16">
        <f>SUMIF(Estado!$A$9:$A$364,$B82,Estado!$E$9:$E$364)</f>
        <v>0</v>
      </c>
      <c r="G82" s="16">
        <f>SUMIF(Estado!$A$9:$A$364,$B82,Estado!$G$9:$G$364)</f>
        <v>42473595.5</v>
      </c>
      <c r="H82" s="16">
        <f>SUMIF(Estado!$A$9:$A$364,$B82,Estado!$I$9:$I$364)</f>
        <v>0</v>
      </c>
      <c r="I82" s="16">
        <f>SUMIF(Estado!$A$9:$A$364,$B82,Estado!$K$9:$K$364)</f>
        <v>592635717.36000001</v>
      </c>
      <c r="J82" s="16">
        <f t="shared" si="10"/>
        <v>635109312.86000001</v>
      </c>
      <c r="K82" s="16">
        <f ca="1">SUMIF(Estado!$A$9:$A$364,$B82,Estado!$O$9:$O$364)</f>
        <v>21700217.140000001</v>
      </c>
      <c r="L82" s="51">
        <f t="shared" si="8"/>
        <v>0.96696117192453046</v>
      </c>
      <c r="M82" s="51">
        <f t="shared" ca="1" si="9"/>
        <v>3.3038828075469609E-2</v>
      </c>
    </row>
    <row r="83" spans="1:13" s="24" customFormat="1" ht="16.5" x14ac:dyDescent="0.25">
      <c r="A83" s="122"/>
      <c r="B83" s="119" t="str">
        <f>+Estado!A117</f>
        <v>E-20101</v>
      </c>
      <c r="C83" s="113" t="str">
        <f>IFERROR(VLOOKUP(B83,Estado!$A$9:$B$501,2,FALSE),0)</f>
        <v>COMB Y LUBRICANTES</v>
      </c>
      <c r="D83" s="16">
        <f>SUMIF(Estado!$A$9:$A$364,$B83,Estado!$C$9:$C$364)</f>
        <v>501418139</v>
      </c>
      <c r="E83" s="16">
        <f ca="1">SUMIF(Estado!$A$9:$A$364,$B83,Estado!$D$9:$D$364)</f>
        <v>501418138.85000002</v>
      </c>
      <c r="F83" s="16">
        <f>SUMIF(Estado!$A$9:$A$364,$B83,Estado!$E$9:$E$364)</f>
        <v>0</v>
      </c>
      <c r="G83" s="16">
        <f>SUMIF(Estado!$A$9:$A$364,$B83,Estado!$G$9:$G$364)</f>
        <v>41069517.380000003</v>
      </c>
      <c r="H83" s="16">
        <f>SUMIF(Estado!$A$9:$A$364,$B83,Estado!$I$9:$I$364)</f>
        <v>0</v>
      </c>
      <c r="I83" s="16">
        <f>SUMIF(Estado!$A$9:$A$364,$B83,Estado!$K$9:$K$364)</f>
        <v>442091778.36000001</v>
      </c>
      <c r="J83" s="16">
        <f t="shared" si="10"/>
        <v>483161295.74000001</v>
      </c>
      <c r="K83" s="16">
        <f ca="1">SUMIF(Estado!$A$9:$A$364,$B83,Estado!$O$9:$O$364)</f>
        <v>18256843.259999998</v>
      </c>
      <c r="L83" s="51">
        <f t="shared" si="8"/>
        <v>0.96358958354316737</v>
      </c>
      <c r="M83" s="51">
        <f t="shared" ca="1" si="9"/>
        <v>3.6410416456832642E-2</v>
      </c>
    </row>
    <row r="84" spans="1:13" s="24" customFormat="1" ht="16.5" x14ac:dyDescent="0.25">
      <c r="A84" s="122"/>
      <c r="B84" s="119" t="str">
        <f>+Estado!A118</f>
        <v>E-20102</v>
      </c>
      <c r="C84" s="113" t="str">
        <f>IFERROR(VLOOKUP(B84,Estado!$A$9:$B$501,2,FALSE),0)</f>
        <v>PROD FARMAC Y MEDIC.</v>
      </c>
      <c r="D84" s="16">
        <f>SUMIF(Estado!$A$9:$A$364,$B84,Estado!$C$9:$C$364)</f>
        <v>74120319</v>
      </c>
      <c r="E84" s="16">
        <f ca="1">SUMIF(Estado!$A$9:$A$364,$B84,Estado!$D$9:$D$364)</f>
        <v>74120319</v>
      </c>
      <c r="F84" s="16">
        <f>SUMIF(Estado!$A$9:$A$364,$B84,Estado!$E$9:$E$364)</f>
        <v>0</v>
      </c>
      <c r="G84" s="16">
        <f>SUMIF(Estado!$A$9:$A$364,$B84,Estado!$G$9:$G$364)</f>
        <v>0</v>
      </c>
      <c r="H84" s="16">
        <f>SUMIF(Estado!$A$9:$A$364,$B84,Estado!$I$9:$I$364)</f>
        <v>0</v>
      </c>
      <c r="I84" s="16">
        <f>SUMIF(Estado!$A$9:$A$364,$B84,Estado!$K$9:$K$364)</f>
        <v>73480605.120000005</v>
      </c>
      <c r="J84" s="16">
        <f t="shared" si="10"/>
        <v>73480605.120000005</v>
      </c>
      <c r="K84" s="16">
        <f ca="1">SUMIF(Estado!$A$9:$A$364,$B84,Estado!$O$9:$O$364)</f>
        <v>639713.88</v>
      </c>
      <c r="L84" s="51">
        <f t="shared" si="8"/>
        <v>0.99136925085279248</v>
      </c>
      <c r="M84" s="51">
        <f t="shared" ca="1" si="9"/>
        <v>8.6307491472075292E-3</v>
      </c>
    </row>
    <row r="85" spans="1:13" s="24" customFormat="1" ht="16.5" x14ac:dyDescent="0.25">
      <c r="A85" s="122"/>
      <c r="B85" s="119" t="str">
        <f>+Estado!A119</f>
        <v>E-20103</v>
      </c>
      <c r="C85" s="113" t="str">
        <f>IFERROR(VLOOKUP(B85,Estado!$A$9:$B$501,2,FALSE),0)</f>
        <v>PRODUCTOS VETERIN.</v>
      </c>
      <c r="D85" s="16">
        <f>SUMIF(Estado!$A$9:$A$364,$B85,Estado!$C$9:$C$364)</f>
        <v>1941000</v>
      </c>
      <c r="E85" s="16">
        <f ca="1">SUMIF(Estado!$A$9:$A$364,$B85,Estado!$D$9:$D$364)</f>
        <v>1941000</v>
      </c>
      <c r="F85" s="16">
        <f>SUMIF(Estado!$A$9:$A$364,$B85,Estado!$E$9:$E$364)</f>
        <v>0</v>
      </c>
      <c r="G85" s="16">
        <f>SUMIF(Estado!$A$9:$A$364,$B85,Estado!$G$9:$G$364)</f>
        <v>0</v>
      </c>
      <c r="H85" s="16">
        <f>SUMIF(Estado!$A$9:$A$364,$B85,Estado!$I$9:$I$364)</f>
        <v>0</v>
      </c>
      <c r="I85" s="16">
        <f>SUMIF(Estado!$A$9:$A$364,$B85,Estado!$K$9:$K$364)</f>
        <v>1746786.65</v>
      </c>
      <c r="J85" s="16">
        <f t="shared" si="10"/>
        <v>1746786.65</v>
      </c>
      <c r="K85" s="16">
        <f ca="1">SUMIF(Estado!$A$9:$A$364,$B85,Estado!$O$9:$O$364)</f>
        <v>194213.35</v>
      </c>
      <c r="L85" s="51">
        <f t="shared" si="8"/>
        <v>0.8999416022668727</v>
      </c>
      <c r="M85" s="51">
        <f t="shared" ca="1" si="9"/>
        <v>0.10005839773312726</v>
      </c>
    </row>
    <row r="86" spans="1:13" s="24" customFormat="1" ht="16.5" x14ac:dyDescent="0.25">
      <c r="A86" s="122"/>
      <c r="B86" s="119" t="str">
        <f>+Estado!A120</f>
        <v>E-20104</v>
      </c>
      <c r="C86" s="113" t="str">
        <f>IFERROR(VLOOKUP(B86,Estado!$A$9:$B$501,2,FALSE),0)</f>
        <v>TINTAS, PINT.Y DILUY</v>
      </c>
      <c r="D86" s="16">
        <f>SUMIF(Estado!$A$9:$A$364,$B86,Estado!$C$9:$C$364)</f>
        <v>78709402</v>
      </c>
      <c r="E86" s="16">
        <f ca="1">SUMIF(Estado!$A$9:$A$364,$B86,Estado!$D$9:$D$364)</f>
        <v>78709402</v>
      </c>
      <c r="F86" s="16">
        <f>SUMIF(Estado!$A$9:$A$364,$B86,Estado!$E$9:$E$364)</f>
        <v>0</v>
      </c>
      <c r="G86" s="16">
        <f>SUMIF(Estado!$A$9:$A$364,$B86,Estado!$G$9:$G$364)</f>
        <v>1404078.1199999999</v>
      </c>
      <c r="H86" s="16">
        <f>SUMIF(Estado!$A$9:$A$364,$B86,Estado!$I$9:$I$364)</f>
        <v>0</v>
      </c>
      <c r="I86" s="16">
        <f>SUMIF(Estado!$A$9:$A$364,$B86,Estado!$K$9:$K$364)</f>
        <v>74718537.230000004</v>
      </c>
      <c r="J86" s="16">
        <f t="shared" si="10"/>
        <v>76122615.350000009</v>
      </c>
      <c r="K86" s="16">
        <f ca="1">SUMIF(Estado!$A$9:$A$364,$B86,Estado!$O$9:$O$364)</f>
        <v>2586786.65</v>
      </c>
      <c r="L86" s="51">
        <f t="shared" si="8"/>
        <v>0.96713497264278558</v>
      </c>
      <c r="M86" s="51">
        <f t="shared" ca="1" si="9"/>
        <v>3.2865027357214582E-2</v>
      </c>
    </row>
    <row r="87" spans="1:13" s="24" customFormat="1" ht="16.5" x14ac:dyDescent="0.25">
      <c r="A87" s="122"/>
      <c r="B87" s="119" t="str">
        <f>+Estado!A121</f>
        <v>E-20199</v>
      </c>
      <c r="C87" s="113" t="str">
        <f>IFERROR(VLOOKUP(B87,Estado!$A$9:$B$501,2,FALSE),0)</f>
        <v>OTR.PROD.QUÍM YCONEX</v>
      </c>
      <c r="D87" s="16">
        <f>SUMIF(Estado!$A$9:$A$364,$B87,Estado!$C$9:$C$364)</f>
        <v>620670</v>
      </c>
      <c r="E87" s="16">
        <f ca="1">SUMIF(Estado!$A$9:$A$364,$B87,Estado!$D$9:$D$364)</f>
        <v>620670</v>
      </c>
      <c r="F87" s="16">
        <f>SUMIF(Estado!$A$9:$A$364,$B87,Estado!$E$9:$E$364)</f>
        <v>0</v>
      </c>
      <c r="G87" s="16">
        <f>SUMIF(Estado!$A$9:$A$364,$B87,Estado!$G$9:$G$364)</f>
        <v>0</v>
      </c>
      <c r="H87" s="16">
        <f>SUMIF(Estado!$A$9:$A$364,$B87,Estado!$I$9:$I$364)</f>
        <v>0</v>
      </c>
      <c r="I87" s="16">
        <f>SUMIF(Estado!$A$9:$A$364,$B87,Estado!$K$9:$K$364)</f>
        <v>598010</v>
      </c>
      <c r="J87" s="16">
        <f t="shared" si="10"/>
        <v>598010</v>
      </c>
      <c r="K87" s="16">
        <f ca="1">SUMIF(Estado!$A$9:$A$364,$B87,Estado!$O$9:$O$364)</f>
        <v>22660</v>
      </c>
      <c r="L87" s="51">
        <f t="shared" si="8"/>
        <v>0.96349106610598223</v>
      </c>
      <c r="M87" s="51">
        <f t="shared" ca="1" si="9"/>
        <v>3.6508933894017756E-2</v>
      </c>
    </row>
    <row r="88" spans="1:13" s="24" customFormat="1" ht="16.5" x14ac:dyDescent="0.25">
      <c r="A88" s="122"/>
      <c r="B88" s="119" t="str">
        <f>+Estado!A122</f>
        <v>E-202</v>
      </c>
      <c r="C88" s="113" t="str">
        <f>IFERROR(VLOOKUP(B88,Estado!$A$9:$B$501,2,FALSE),0)</f>
        <v>ALIMEN Y PRODUC AGRO</v>
      </c>
      <c r="D88" s="16">
        <f>SUMIF(Estado!$A$9:$A$364,$B88,Estado!$C$9:$C$364)</f>
        <v>10482991903</v>
      </c>
      <c r="E88" s="16">
        <f ca="1">SUMIF(Estado!$A$9:$A$364,$B88,Estado!$D$9:$D$364)</f>
        <v>10482991898.870001</v>
      </c>
      <c r="F88" s="16">
        <f>SUMIF(Estado!$A$9:$A$364,$B88,Estado!$E$9:$E$364)</f>
        <v>0</v>
      </c>
      <c r="G88" s="16">
        <f>SUMIF(Estado!$A$9:$A$364,$B88,Estado!$G$9:$G$364)</f>
        <v>1007682830.34</v>
      </c>
      <c r="H88" s="16">
        <f>SUMIF(Estado!$A$9:$A$364,$B88,Estado!$I$9:$I$364)</f>
        <v>0</v>
      </c>
      <c r="I88" s="16">
        <f>SUMIF(Estado!$A$9:$A$364,$B88,Estado!$K$9:$K$364)</f>
        <v>8642263848.6100006</v>
      </c>
      <c r="J88" s="16">
        <f t="shared" si="10"/>
        <v>9649946678.9500008</v>
      </c>
      <c r="K88" s="16">
        <f ca="1">SUMIF(Estado!$A$9:$A$364,$B88,Estado!$O$9:$O$364)</f>
        <v>833045224.04999995</v>
      </c>
      <c r="L88" s="51">
        <f t="shared" si="8"/>
        <v>0.92053363851100556</v>
      </c>
      <c r="M88" s="51">
        <f t="shared" ca="1" si="9"/>
        <v>7.9466361488994455E-2</v>
      </c>
    </row>
    <row r="89" spans="1:13" s="24" customFormat="1" ht="16.5" x14ac:dyDescent="0.25">
      <c r="A89" s="122"/>
      <c r="B89" s="119" t="str">
        <f>+Estado!A123</f>
        <v>E-20203</v>
      </c>
      <c r="C89" s="113" t="str">
        <f>IFERROR(VLOOKUP(B89,Estado!$A$9:$B$501,2,FALSE),0)</f>
        <v>ALIMENTOS Y BEBIDAS</v>
      </c>
      <c r="D89" s="16">
        <f>SUMIF(Estado!$A$9:$A$364,$B89,Estado!$C$9:$C$364)</f>
        <v>10474291903</v>
      </c>
      <c r="E89" s="16">
        <f ca="1">SUMIF(Estado!$A$9:$A$364,$B89,Estado!$D$9:$D$364)</f>
        <v>10474291898.870001</v>
      </c>
      <c r="F89" s="16">
        <f>SUMIF(Estado!$A$9:$A$364,$B89,Estado!$E$9:$E$364)</f>
        <v>0</v>
      </c>
      <c r="G89" s="16">
        <f>SUMIF(Estado!$A$9:$A$364,$B89,Estado!$G$9:$G$364)</f>
        <v>1007682830.34</v>
      </c>
      <c r="H89" s="16">
        <f>SUMIF(Estado!$A$9:$A$364,$B89,Estado!$I$9:$I$364)</f>
        <v>0</v>
      </c>
      <c r="I89" s="16">
        <f>SUMIF(Estado!$A$9:$A$364,$B89,Estado!$K$9:$K$364)</f>
        <v>8633565208.6100006</v>
      </c>
      <c r="J89" s="16">
        <f t="shared" si="10"/>
        <v>9641248038.9500008</v>
      </c>
      <c r="K89" s="16">
        <f ca="1">SUMIF(Estado!$A$9:$A$364,$B89,Estado!$O$9:$O$364)</f>
        <v>833043864.04999995</v>
      </c>
      <c r="L89" s="51">
        <f t="shared" si="8"/>
        <v>0.92046776318966228</v>
      </c>
      <c r="M89" s="51">
        <f t="shared" ca="1" si="9"/>
        <v>7.9532236810337817E-2</v>
      </c>
    </row>
    <row r="90" spans="1:13" s="23" customFormat="1" ht="16.5" x14ac:dyDescent="0.25">
      <c r="A90" s="120"/>
      <c r="B90" s="119" t="str">
        <f>+Estado!A124</f>
        <v>E-20204</v>
      </c>
      <c r="C90" s="113" t="str">
        <f>IFERROR(VLOOKUP(B90,Estado!$A$9:$B$501,2,FALSE),0)</f>
        <v>ALIM. PARA ANIMALES</v>
      </c>
      <c r="D90" s="16">
        <f>SUMIF(Estado!$A$9:$A$364,$B90,Estado!$C$9:$C$364)</f>
        <v>8700000</v>
      </c>
      <c r="E90" s="16">
        <f ca="1">SUMIF(Estado!$A$9:$A$364,$B90,Estado!$D$9:$D$364)</f>
        <v>8700000</v>
      </c>
      <c r="F90" s="16">
        <f>SUMIF(Estado!$A$9:$A$364,$B90,Estado!$E$9:$E$364)</f>
        <v>0</v>
      </c>
      <c r="G90" s="16">
        <f>SUMIF(Estado!$A$9:$A$364,$B90,Estado!$G$9:$G$364)</f>
        <v>0</v>
      </c>
      <c r="H90" s="16">
        <f>SUMIF(Estado!$A$9:$A$364,$B90,Estado!$I$9:$I$364)</f>
        <v>0</v>
      </c>
      <c r="I90" s="16">
        <f>SUMIF(Estado!$A$9:$A$364,$B90,Estado!$K$9:$K$364)</f>
        <v>8698640</v>
      </c>
      <c r="J90" s="16">
        <f t="shared" ref="J90" si="12">SUM(G90:I90)</f>
        <v>8698640</v>
      </c>
      <c r="K90" s="16">
        <f ca="1">SUMIF(Estado!$A$9:$A$364,$B90,Estado!$O$9:$O$364)</f>
        <v>1360</v>
      </c>
      <c r="L90" s="51">
        <f t="shared" ref="L90" si="13">+IFERROR(SUM(G90:I90)/D90,0)</f>
        <v>0.99984367816091957</v>
      </c>
      <c r="M90" s="51">
        <f t="shared" ref="M90" ca="1" si="14">+IFERROR(+K90/D90,0)</f>
        <v>1.5632183908045977E-4</v>
      </c>
    </row>
    <row r="91" spans="1:13" s="24" customFormat="1" ht="16.5" x14ac:dyDescent="0.25">
      <c r="A91" s="122"/>
      <c r="B91" s="119" t="str">
        <f>+Estado!A125</f>
        <v>E-203</v>
      </c>
      <c r="C91" s="113" t="str">
        <f>IFERROR(VLOOKUP(B91,Estado!$A$9:$B$501,2,FALSE),0)</f>
        <v>MATER P.CONST Y MANT</v>
      </c>
      <c r="D91" s="16">
        <f>SUMIF(Estado!$A$9:$A$364,$B91,Estado!$C$9:$C$364)</f>
        <v>616500479</v>
      </c>
      <c r="E91" s="16">
        <f ca="1">SUMIF(Estado!$A$9:$A$364,$B91,Estado!$D$9:$D$364)</f>
        <v>616500477.71000004</v>
      </c>
      <c r="F91" s="16">
        <f>SUMIF(Estado!$A$9:$A$364,$B91,Estado!$E$9:$E$364)</f>
        <v>0</v>
      </c>
      <c r="G91" s="16">
        <f>SUMIF(Estado!$A$9:$A$364,$B91,Estado!$G$9:$G$364)</f>
        <v>28285697.350000001</v>
      </c>
      <c r="H91" s="16">
        <f>SUMIF(Estado!$A$9:$A$364,$B91,Estado!$I$9:$I$364)</f>
        <v>0</v>
      </c>
      <c r="I91" s="16">
        <f>SUMIF(Estado!$A$9:$A$364,$B91,Estado!$K$9:$K$364)</f>
        <v>524473983.13</v>
      </c>
      <c r="J91" s="16">
        <f t="shared" ref="J91:J101" si="15">SUM(G91:I91)</f>
        <v>552759680.48000002</v>
      </c>
      <c r="K91" s="16">
        <f ca="1">SUMIF(Estado!$A$9:$A$364,$B91,Estado!$O$9:$O$364)</f>
        <v>63740798.519999996</v>
      </c>
      <c r="L91" s="51">
        <f t="shared" ref="L91:L101" si="16">+IFERROR(SUM(G91:I91)/D91,0)</f>
        <v>0.89660867965035274</v>
      </c>
      <c r="M91" s="51">
        <f t="shared" ref="M91:M101" ca="1" si="17">+IFERROR(+K91/D91,0)</f>
        <v>0.10339132034964728</v>
      </c>
    </row>
    <row r="92" spans="1:13" s="24" customFormat="1" ht="16.5" x14ac:dyDescent="0.25">
      <c r="A92" s="122"/>
      <c r="B92" s="119" t="str">
        <f>+Estado!A126</f>
        <v>E-20301</v>
      </c>
      <c r="C92" s="113" t="str">
        <f>IFERROR(VLOOKUP(B92,Estado!$A$9:$B$501,2,FALSE),0)</f>
        <v>MATERIALES YPROD MET</v>
      </c>
      <c r="D92" s="16">
        <f>SUMIF(Estado!$A$9:$A$364,$B92,Estado!$C$9:$C$364)</f>
        <v>146255815</v>
      </c>
      <c r="E92" s="16">
        <f ca="1">SUMIF(Estado!$A$9:$A$364,$B92,Estado!$D$9:$D$364)</f>
        <v>146255815</v>
      </c>
      <c r="F92" s="16">
        <f>SUMIF(Estado!$A$9:$A$364,$B92,Estado!$E$9:$E$364)</f>
        <v>0</v>
      </c>
      <c r="G92" s="16">
        <f>SUMIF(Estado!$A$9:$A$364,$B92,Estado!$G$9:$G$364)</f>
        <v>12921037.6</v>
      </c>
      <c r="H92" s="16">
        <f>SUMIF(Estado!$A$9:$A$364,$B92,Estado!$I$9:$I$364)</f>
        <v>0</v>
      </c>
      <c r="I92" s="16">
        <f>SUMIF(Estado!$A$9:$A$364,$B92,Estado!$K$9:$K$364)</f>
        <v>131233944.66000001</v>
      </c>
      <c r="J92" s="16">
        <f t="shared" si="15"/>
        <v>144154982.26000002</v>
      </c>
      <c r="K92" s="16">
        <f ca="1">SUMIF(Estado!$A$9:$A$364,$B92,Estado!$O$9:$O$364)</f>
        <v>2100832.7400000002</v>
      </c>
      <c r="L92" s="51">
        <f t="shared" si="16"/>
        <v>0.98563590281863334</v>
      </c>
      <c r="M92" s="51">
        <f t="shared" ca="1" si="17"/>
        <v>1.4364097181366773E-2</v>
      </c>
    </row>
    <row r="93" spans="1:13" s="24" customFormat="1" ht="16.5" x14ac:dyDescent="0.25">
      <c r="A93" s="122"/>
      <c r="B93" s="119" t="str">
        <f>+Estado!A127</f>
        <v>E-20302</v>
      </c>
      <c r="C93" s="113" t="str">
        <f>IFERROR(VLOOKUP(B93,Estado!$A$9:$B$501,2,FALSE),0)</f>
        <v>MAT Y PROD.MIN.Y ASF</v>
      </c>
      <c r="D93" s="16">
        <f>SUMIF(Estado!$A$9:$A$364,$B93,Estado!$C$9:$C$364)</f>
        <v>150899313</v>
      </c>
      <c r="E93" s="16">
        <f ca="1">SUMIF(Estado!$A$9:$A$364,$B93,Estado!$D$9:$D$364)</f>
        <v>150899312.69</v>
      </c>
      <c r="F93" s="16">
        <f>SUMIF(Estado!$A$9:$A$364,$B93,Estado!$E$9:$E$364)</f>
        <v>0</v>
      </c>
      <c r="G93" s="16">
        <f>SUMIF(Estado!$A$9:$A$364,$B93,Estado!$G$9:$G$364)</f>
        <v>0</v>
      </c>
      <c r="H93" s="16">
        <f>SUMIF(Estado!$A$9:$A$364,$B93,Estado!$I$9:$I$364)</f>
        <v>0</v>
      </c>
      <c r="I93" s="16">
        <f>SUMIF(Estado!$A$9:$A$364,$B93,Estado!$K$9:$K$364)</f>
        <v>146646841.69</v>
      </c>
      <c r="J93" s="16">
        <f t="shared" si="15"/>
        <v>146646841.69</v>
      </c>
      <c r="K93" s="16">
        <f ca="1">SUMIF(Estado!$A$9:$A$364,$B93,Estado!$O$9:$O$364)</f>
        <v>4252471.3099999996</v>
      </c>
      <c r="L93" s="51">
        <f t="shared" si="16"/>
        <v>0.9718191473144745</v>
      </c>
      <c r="M93" s="51">
        <f t="shared" ca="1" si="17"/>
        <v>2.8180852685525476E-2</v>
      </c>
    </row>
    <row r="94" spans="1:13" s="24" customFormat="1" ht="16.5" x14ac:dyDescent="0.25">
      <c r="A94" s="122"/>
      <c r="B94" s="119" t="str">
        <f>+Estado!A128</f>
        <v>E-20303</v>
      </c>
      <c r="C94" s="113" t="str">
        <f>IFERROR(VLOOKUP(B94,Estado!$A$9:$B$501,2,FALSE),0)</f>
        <v>MADERA Y SUS DERIV</v>
      </c>
      <c r="D94" s="16">
        <f>SUMIF(Estado!$A$9:$A$364,$B94,Estado!$C$9:$C$364)</f>
        <v>31483102</v>
      </c>
      <c r="E94" s="16">
        <f ca="1">SUMIF(Estado!$A$9:$A$364,$B94,Estado!$D$9:$D$364)</f>
        <v>31483102</v>
      </c>
      <c r="F94" s="16">
        <f>SUMIF(Estado!$A$9:$A$364,$B94,Estado!$E$9:$E$364)</f>
        <v>0</v>
      </c>
      <c r="G94" s="16">
        <f>SUMIF(Estado!$A$9:$A$364,$B94,Estado!$G$9:$G$364)</f>
        <v>0</v>
      </c>
      <c r="H94" s="16">
        <f>SUMIF(Estado!$A$9:$A$364,$B94,Estado!$I$9:$I$364)</f>
        <v>0</v>
      </c>
      <c r="I94" s="16">
        <f>SUMIF(Estado!$A$9:$A$364,$B94,Estado!$K$9:$K$364)</f>
        <v>30875957.5</v>
      </c>
      <c r="J94" s="16">
        <f t="shared" si="15"/>
        <v>30875957.5</v>
      </c>
      <c r="K94" s="16">
        <f ca="1">SUMIF(Estado!$A$9:$A$364,$B94,Estado!$O$9:$O$364)</f>
        <v>607144.5</v>
      </c>
      <c r="L94" s="51">
        <f t="shared" si="16"/>
        <v>0.98071522621881413</v>
      </c>
      <c r="M94" s="51">
        <f t="shared" ca="1" si="17"/>
        <v>1.9284773781185857E-2</v>
      </c>
    </row>
    <row r="95" spans="1:13" s="24" customFormat="1" ht="16.5" x14ac:dyDescent="0.25">
      <c r="A95" s="122"/>
      <c r="B95" s="119" t="str">
        <f>+Estado!A129</f>
        <v>E-20304</v>
      </c>
      <c r="C95" s="113" t="str">
        <f>IFERROR(VLOOKUP(B95,Estado!$A$9:$B$501,2,FALSE),0)</f>
        <v>MAT.YPROD.ELÉC,TEL.C</v>
      </c>
      <c r="D95" s="16">
        <f>SUMIF(Estado!$A$9:$A$364,$B95,Estado!$C$9:$C$364)</f>
        <v>202680625</v>
      </c>
      <c r="E95" s="16">
        <f ca="1">SUMIF(Estado!$A$9:$A$364,$B95,Estado!$D$9:$D$364)</f>
        <v>202680624.02000001</v>
      </c>
      <c r="F95" s="16">
        <f>SUMIF(Estado!$A$9:$A$364,$B95,Estado!$E$9:$E$364)</f>
        <v>0</v>
      </c>
      <c r="G95" s="16">
        <f>SUMIF(Estado!$A$9:$A$364,$B95,Estado!$G$9:$G$364)</f>
        <v>4176903.4</v>
      </c>
      <c r="H95" s="16">
        <f>SUMIF(Estado!$A$9:$A$364,$B95,Estado!$I$9:$I$364)</f>
        <v>0</v>
      </c>
      <c r="I95" s="16">
        <f>SUMIF(Estado!$A$9:$A$364,$B95,Estado!$K$9:$K$364)</f>
        <v>176263022.27999997</v>
      </c>
      <c r="J95" s="16">
        <f t="shared" si="15"/>
        <v>180439925.67999998</v>
      </c>
      <c r="K95" s="16">
        <f ca="1">SUMIF(Estado!$A$9:$A$364,$B95,Estado!$O$9:$O$364)</f>
        <v>22240699.32</v>
      </c>
      <c r="L95" s="51">
        <f t="shared" si="16"/>
        <v>0.89026726496427555</v>
      </c>
      <c r="M95" s="51">
        <f t="shared" ca="1" si="17"/>
        <v>0.10973273503572431</v>
      </c>
    </row>
    <row r="96" spans="1:13" s="24" customFormat="1" ht="16.5" x14ac:dyDescent="0.25">
      <c r="A96" s="122"/>
      <c r="B96" s="119" t="str">
        <f>+Estado!A130</f>
        <v>E-20305</v>
      </c>
      <c r="C96" s="113" t="str">
        <f>IFERROR(VLOOKUP(B96,Estado!$A$9:$B$501,2,FALSE),0)</f>
        <v>MATER. Y PROD VIDRIO</v>
      </c>
      <c r="D96" s="16">
        <f>SUMIF(Estado!$A$9:$A$364,$B96,Estado!$C$9:$C$364)</f>
        <v>3050000</v>
      </c>
      <c r="E96" s="16">
        <f ca="1">SUMIF(Estado!$A$9:$A$364,$B96,Estado!$D$9:$D$364)</f>
        <v>3050000</v>
      </c>
      <c r="F96" s="16">
        <f>SUMIF(Estado!$A$9:$A$364,$B96,Estado!$E$9:$E$364)</f>
        <v>0</v>
      </c>
      <c r="G96" s="16">
        <f>SUMIF(Estado!$A$9:$A$364,$B96,Estado!$G$9:$G$364)</f>
        <v>0</v>
      </c>
      <c r="H96" s="16">
        <f>SUMIF(Estado!$A$9:$A$364,$B96,Estado!$I$9:$I$364)</f>
        <v>0</v>
      </c>
      <c r="I96" s="16">
        <f>SUMIF(Estado!$A$9:$A$364,$B96,Estado!$K$9:$K$364)</f>
        <v>2754168</v>
      </c>
      <c r="J96" s="16">
        <f t="shared" si="15"/>
        <v>2754168</v>
      </c>
      <c r="K96" s="16">
        <f ca="1">SUMIF(Estado!$A$9:$A$364,$B96,Estado!$O$9:$O$364)</f>
        <v>295832</v>
      </c>
      <c r="L96" s="51">
        <f t="shared" si="16"/>
        <v>0.90300590163934424</v>
      </c>
      <c r="M96" s="51">
        <f t="shared" ca="1" si="17"/>
        <v>9.6994098360655742E-2</v>
      </c>
    </row>
    <row r="97" spans="1:13" s="24" customFormat="1" ht="16.5" x14ac:dyDescent="0.25">
      <c r="A97" s="122"/>
      <c r="B97" s="119" t="str">
        <f>+Estado!A131</f>
        <v>E-20306</v>
      </c>
      <c r="C97" s="113" t="str">
        <f>IFERROR(VLOOKUP(B97,Estado!$A$9:$B$501,2,FALSE),0)</f>
        <v>MAT. Y PROD PLÁSTICO</v>
      </c>
      <c r="D97" s="16">
        <f>SUMIF(Estado!$A$9:$A$364,$B97,Estado!$C$9:$C$364)</f>
        <v>40275485</v>
      </c>
      <c r="E97" s="16">
        <f ca="1">SUMIF(Estado!$A$9:$A$364,$B97,Estado!$D$9:$D$364)</f>
        <v>40275485</v>
      </c>
      <c r="F97" s="16">
        <f>SUMIF(Estado!$A$9:$A$364,$B97,Estado!$E$9:$E$364)</f>
        <v>0</v>
      </c>
      <c r="G97" s="16">
        <f>SUMIF(Estado!$A$9:$A$364,$B97,Estado!$G$9:$G$364)</f>
        <v>7968629.3499999996</v>
      </c>
      <c r="H97" s="16">
        <f>SUMIF(Estado!$A$9:$A$364,$B97,Estado!$I$9:$I$364)</f>
        <v>0</v>
      </c>
      <c r="I97" s="16">
        <f>SUMIF(Estado!$A$9:$A$364,$B97,Estado!$K$9:$K$364)</f>
        <v>15273018.449999999</v>
      </c>
      <c r="J97" s="16">
        <f t="shared" si="15"/>
        <v>23241647.799999997</v>
      </c>
      <c r="K97" s="16">
        <f ca="1">SUMIF(Estado!$A$9:$A$364,$B97,Estado!$O$9:$O$364)</f>
        <v>17033837.199999999</v>
      </c>
      <c r="L97" s="51">
        <f t="shared" si="16"/>
        <v>0.57706686337855395</v>
      </c>
      <c r="M97" s="51">
        <f t="shared" ca="1" si="17"/>
        <v>0.42293313662144599</v>
      </c>
    </row>
    <row r="98" spans="1:13" s="24" customFormat="1" ht="16.5" x14ac:dyDescent="0.25">
      <c r="A98" s="122"/>
      <c r="B98" s="119" t="str">
        <f>+Estado!A132</f>
        <v>E-20399</v>
      </c>
      <c r="C98" s="113" t="str">
        <f>IFERROR(VLOOKUP(B98,Estado!$A$9:$B$501,2,FALSE),0)</f>
        <v>OTR.MAT.YP.USO CONST</v>
      </c>
      <c r="D98" s="16">
        <f>SUMIF(Estado!$A$9:$A$364,$B98,Estado!$C$9:$C$364)</f>
        <v>41856139</v>
      </c>
      <c r="E98" s="16">
        <f ca="1">SUMIF(Estado!$A$9:$A$364,$B98,Estado!$D$9:$D$364)</f>
        <v>41856139</v>
      </c>
      <c r="F98" s="16">
        <f>SUMIF(Estado!$A$9:$A$364,$B98,Estado!$E$9:$E$364)</f>
        <v>0</v>
      </c>
      <c r="G98" s="16">
        <f>SUMIF(Estado!$A$9:$A$364,$B98,Estado!$G$9:$G$364)</f>
        <v>3219127</v>
      </c>
      <c r="H98" s="16">
        <f>SUMIF(Estado!$A$9:$A$364,$B98,Estado!$I$9:$I$364)</f>
        <v>0</v>
      </c>
      <c r="I98" s="16">
        <f>SUMIF(Estado!$A$9:$A$364,$B98,Estado!$K$9:$K$364)</f>
        <v>21427030.550000001</v>
      </c>
      <c r="J98" s="16">
        <f t="shared" si="15"/>
        <v>24646157.550000001</v>
      </c>
      <c r="K98" s="16">
        <f ca="1">SUMIF(Estado!$A$9:$A$364,$B98,Estado!$O$9:$O$364)</f>
        <v>17209981.449999999</v>
      </c>
      <c r="L98" s="51">
        <f t="shared" si="16"/>
        <v>0.58883017255843884</v>
      </c>
      <c r="M98" s="51">
        <f t="shared" ca="1" si="17"/>
        <v>0.41116982744156116</v>
      </c>
    </row>
    <row r="99" spans="1:13" s="24" customFormat="1" ht="16.5" x14ac:dyDescent="0.25">
      <c r="A99" s="122"/>
      <c r="B99" s="119" t="str">
        <f>+Estado!A133</f>
        <v>E-204</v>
      </c>
      <c r="C99" s="113" t="str">
        <f>IFERROR(VLOOKUP(B99,Estado!$A$9:$B$501,2,FALSE),0)</f>
        <v>HERRAM REPUE Y ACCES</v>
      </c>
      <c r="D99" s="16">
        <f>SUMIF(Estado!$A$9:$A$364,$B99,Estado!$C$9:$C$364)</f>
        <v>241224577</v>
      </c>
      <c r="E99" s="16">
        <f ca="1">SUMIF(Estado!$A$9:$A$364,$B99,Estado!$D$9:$D$364)</f>
        <v>241224576.47</v>
      </c>
      <c r="F99" s="16">
        <f>SUMIF(Estado!$A$9:$A$364,$B99,Estado!$E$9:$E$364)</f>
        <v>0</v>
      </c>
      <c r="G99" s="16">
        <f>SUMIF(Estado!$A$9:$A$364,$B99,Estado!$G$9:$G$364)</f>
        <v>7068422.04</v>
      </c>
      <c r="H99" s="16">
        <f>SUMIF(Estado!$A$9:$A$364,$B99,Estado!$I$9:$I$364)</f>
        <v>0</v>
      </c>
      <c r="I99" s="16">
        <f>SUMIF(Estado!$A$9:$A$364,$B99,Estado!$K$9:$K$364)</f>
        <v>214032808.08999997</v>
      </c>
      <c r="J99" s="16">
        <f t="shared" si="15"/>
        <v>221101230.12999997</v>
      </c>
      <c r="K99" s="16">
        <f ca="1">SUMIF(Estado!$A$9:$A$364,$B99,Estado!$O$9:$O$364)</f>
        <v>20123346.869999997</v>
      </c>
      <c r="L99" s="51">
        <f t="shared" si="16"/>
        <v>0.91657837223609251</v>
      </c>
      <c r="M99" s="51">
        <f t="shared" ca="1" si="17"/>
        <v>8.3421627763907311E-2</v>
      </c>
    </row>
    <row r="100" spans="1:13" s="24" customFormat="1" ht="16.5" x14ac:dyDescent="0.25">
      <c r="A100" s="122"/>
      <c r="B100" s="119" t="str">
        <f>+Estado!A134</f>
        <v>E-20401</v>
      </c>
      <c r="C100" s="113" t="str">
        <f>IFERROR(VLOOKUP(B100,Estado!$A$9:$B$501,2,FALSE),0)</f>
        <v>HERRAM.E INSTRUMENTO</v>
      </c>
      <c r="D100" s="16">
        <f>SUMIF(Estado!$A$9:$A$364,$B100,Estado!$C$9:$C$364)</f>
        <v>72898412</v>
      </c>
      <c r="E100" s="16">
        <f ca="1">SUMIF(Estado!$A$9:$A$364,$B100,Estado!$D$9:$D$364)</f>
        <v>72898411.590000004</v>
      </c>
      <c r="F100" s="16">
        <f>SUMIF(Estado!$A$9:$A$364,$B100,Estado!$E$9:$E$364)</f>
        <v>0</v>
      </c>
      <c r="G100" s="16">
        <f>SUMIF(Estado!$A$9:$A$364,$B100,Estado!$G$9:$G$364)</f>
        <v>2191792</v>
      </c>
      <c r="H100" s="16">
        <f>SUMIF(Estado!$A$9:$A$364,$B100,Estado!$I$9:$I$364)</f>
        <v>0</v>
      </c>
      <c r="I100" s="16">
        <f>SUMIF(Estado!$A$9:$A$364,$B100,Estado!$K$9:$K$364)</f>
        <v>62077479.509999998</v>
      </c>
      <c r="J100" s="16">
        <f t="shared" si="15"/>
        <v>64269271.509999998</v>
      </c>
      <c r="K100" s="16">
        <f ca="1">SUMIF(Estado!$A$9:$A$364,$B100,Estado!$O$9:$O$364)</f>
        <v>8629140.4900000002</v>
      </c>
      <c r="L100" s="51">
        <f t="shared" si="16"/>
        <v>0.88162786742185817</v>
      </c>
      <c r="M100" s="51">
        <f t="shared" ca="1" si="17"/>
        <v>0.11837213257814176</v>
      </c>
    </row>
    <row r="101" spans="1:13" s="24" customFormat="1" ht="16.5" x14ac:dyDescent="0.25">
      <c r="A101" s="122"/>
      <c r="B101" s="119" t="str">
        <f>+Estado!A135</f>
        <v>E-20402</v>
      </c>
      <c r="C101" s="113" t="str">
        <f>IFERROR(VLOOKUP(B101,Estado!$A$9:$B$501,2,FALSE),0)</f>
        <v>REP.Y ACCESORIOS</v>
      </c>
      <c r="D101" s="16">
        <f>SUMIF(Estado!$A$9:$A$364,$B101,Estado!$C$9:$C$364)</f>
        <v>168326165</v>
      </c>
      <c r="E101" s="16">
        <f ca="1">SUMIF(Estado!$A$9:$A$364,$B101,Estado!$D$9:$D$364)</f>
        <v>168326164.88</v>
      </c>
      <c r="F101" s="16">
        <f>SUMIF(Estado!$A$9:$A$364,$B101,Estado!$E$9:$E$364)</f>
        <v>0</v>
      </c>
      <c r="G101" s="16">
        <f>SUMIF(Estado!$A$9:$A$364,$B101,Estado!$G$9:$G$364)</f>
        <v>4876630.04</v>
      </c>
      <c r="H101" s="16">
        <f>SUMIF(Estado!$A$9:$A$364,$B101,Estado!$I$9:$I$364)</f>
        <v>0</v>
      </c>
      <c r="I101" s="16">
        <f>SUMIF(Estado!$A$9:$A$364,$B101,Estado!$K$9:$K$364)</f>
        <v>151955328.58000001</v>
      </c>
      <c r="J101" s="16">
        <f t="shared" si="15"/>
        <v>156831958.62</v>
      </c>
      <c r="K101" s="16">
        <f ca="1">SUMIF(Estado!$A$9:$A$364,$B101,Estado!$O$9:$O$364)</f>
        <v>11494206.379999999</v>
      </c>
      <c r="L101" s="51">
        <f t="shared" si="16"/>
        <v>0.93171467798841612</v>
      </c>
      <c r="M101" s="51">
        <f t="shared" ca="1" si="17"/>
        <v>6.8285322011583868E-2</v>
      </c>
    </row>
    <row r="102" spans="1:13" s="24" customFormat="1" ht="16.5" x14ac:dyDescent="0.25">
      <c r="A102" s="122"/>
      <c r="B102" s="119" t="str">
        <f>+Estado!A136</f>
        <v>E-299</v>
      </c>
      <c r="C102" s="113" t="str">
        <f>IFERROR(VLOOKUP(B102,Estado!$A$9:$B$501,2,FALSE),0)</f>
        <v>ÚTILES MAT Y SUM DIV</v>
      </c>
      <c r="D102" s="16">
        <f>SUMIF(Estado!$A$9:$A$364,$B102,Estado!$C$9:$C$364)</f>
        <v>971743028</v>
      </c>
      <c r="E102" s="16">
        <f ca="1">SUMIF(Estado!$A$9:$A$364,$B102,Estado!$D$9:$D$364)</f>
        <v>971743027.50999999</v>
      </c>
      <c r="F102" s="16">
        <f>SUMIF(Estado!$A$9:$A$364,$B102,Estado!$E$9:$E$364)</f>
        <v>0</v>
      </c>
      <c r="G102" s="16">
        <f>SUMIF(Estado!$A$9:$A$364,$B102,Estado!$G$9:$G$364)</f>
        <v>26799420.359999999</v>
      </c>
      <c r="H102" s="16">
        <f>SUMIF(Estado!$A$9:$A$364,$B102,Estado!$I$9:$I$364)</f>
        <v>0</v>
      </c>
      <c r="I102" s="16">
        <f>SUMIF(Estado!$A$9:$A$364,$B102,Estado!$K$9:$K$364)</f>
        <v>917310817.38</v>
      </c>
      <c r="J102" s="16">
        <f t="shared" ref="J102:J110" si="18">SUM(G102:I102)</f>
        <v>944110237.74000001</v>
      </c>
      <c r="K102" s="16">
        <f ca="1">SUMIF(Estado!$A$9:$A$364,$B102,Estado!$O$9:$O$364)</f>
        <v>27632790.260000002</v>
      </c>
      <c r="L102" s="51">
        <f t="shared" ref="L102:L110" si="19">+IFERROR(SUM(G102:I102)/D102,0)</f>
        <v>0.97156368560022233</v>
      </c>
      <c r="M102" s="51">
        <f t="shared" ref="M102:M110" ca="1" si="20">+IFERROR(+K102/D102,0)</f>
        <v>2.8436314399777719E-2</v>
      </c>
    </row>
    <row r="103" spans="1:13" s="24" customFormat="1" ht="16.5" x14ac:dyDescent="0.25">
      <c r="A103" s="122"/>
      <c r="B103" s="119" t="str">
        <f>+Estado!A137</f>
        <v>E-29901</v>
      </c>
      <c r="C103" s="113" t="str">
        <f>IFERROR(VLOOKUP(B103,Estado!$A$9:$B$501,2,FALSE),0)</f>
        <v>ÚT.Y MAT.OF.Y COMP.</v>
      </c>
      <c r="D103" s="16">
        <f>SUMIF(Estado!$A$9:$A$364,$B103,Estado!$C$9:$C$364)</f>
        <v>16946576</v>
      </c>
      <c r="E103" s="16">
        <f ca="1">SUMIF(Estado!$A$9:$A$364,$B103,Estado!$D$9:$D$364)</f>
        <v>16946576</v>
      </c>
      <c r="F103" s="16">
        <f>SUMIF(Estado!$A$9:$A$364,$B103,Estado!$E$9:$E$364)</f>
        <v>0</v>
      </c>
      <c r="G103" s="16">
        <f>SUMIF(Estado!$A$9:$A$364,$B103,Estado!$G$9:$G$364)</f>
        <v>364100.12</v>
      </c>
      <c r="H103" s="16">
        <f>SUMIF(Estado!$A$9:$A$364,$B103,Estado!$I$9:$I$364)</f>
        <v>0</v>
      </c>
      <c r="I103" s="16">
        <f>SUMIF(Estado!$A$9:$A$364,$B103,Estado!$K$9:$K$364)</f>
        <v>16228378.01</v>
      </c>
      <c r="J103" s="16">
        <f t="shared" si="18"/>
        <v>16592478.129999999</v>
      </c>
      <c r="K103" s="16">
        <f ca="1">SUMIF(Estado!$A$9:$A$364,$B103,Estado!$O$9:$O$364)</f>
        <v>354097.87</v>
      </c>
      <c r="L103" s="51">
        <f t="shared" si="19"/>
        <v>0.97910504930317477</v>
      </c>
      <c r="M103" s="51">
        <f t="shared" ca="1" si="20"/>
        <v>2.0894950696825128E-2</v>
      </c>
    </row>
    <row r="104" spans="1:13" s="24" customFormat="1" ht="16.5" x14ac:dyDescent="0.25">
      <c r="A104" s="122"/>
      <c r="B104" s="119" t="str">
        <f>+Estado!A138</f>
        <v>E-29902</v>
      </c>
      <c r="C104" s="113" t="str">
        <f>IFERROR(VLOOKUP(B104,Estado!$A$9:$B$501,2,FALSE),0)</f>
        <v>UT.Y MAT.MÉD,H.Y INV</v>
      </c>
      <c r="D104" s="16">
        <f>SUMIF(Estado!$A$9:$A$364,$B104,Estado!$C$9:$C$364)</f>
        <v>12382557</v>
      </c>
      <c r="E104" s="16">
        <f ca="1">SUMIF(Estado!$A$9:$A$364,$B104,Estado!$D$9:$D$364)</f>
        <v>12382557</v>
      </c>
      <c r="F104" s="16">
        <f>SUMIF(Estado!$A$9:$A$364,$B104,Estado!$E$9:$E$364)</f>
        <v>0</v>
      </c>
      <c r="G104" s="16">
        <f>SUMIF(Estado!$A$9:$A$364,$B104,Estado!$G$9:$G$364)</f>
        <v>0</v>
      </c>
      <c r="H104" s="16">
        <f>SUMIF(Estado!$A$9:$A$364,$B104,Estado!$I$9:$I$364)</f>
        <v>0</v>
      </c>
      <c r="I104" s="16">
        <f>SUMIF(Estado!$A$9:$A$364,$B104,Estado!$K$9:$K$364)</f>
        <v>11599938.440000001</v>
      </c>
      <c r="J104" s="16">
        <f t="shared" si="18"/>
        <v>11599938.440000001</v>
      </c>
      <c r="K104" s="16">
        <f ca="1">SUMIF(Estado!$A$9:$A$364,$B104,Estado!$O$9:$O$364)</f>
        <v>782618.56</v>
      </c>
      <c r="L104" s="51">
        <f t="shared" si="19"/>
        <v>0.93679669231484264</v>
      </c>
      <c r="M104" s="51">
        <f t="shared" ca="1" si="20"/>
        <v>6.3203307685157445E-2</v>
      </c>
    </row>
    <row r="105" spans="1:13" s="24" customFormat="1" ht="16.5" x14ac:dyDescent="0.25">
      <c r="A105" s="122"/>
      <c r="B105" s="119" t="str">
        <f>+Estado!A139</f>
        <v>E-29903</v>
      </c>
      <c r="C105" s="113" t="str">
        <f>IFERROR(VLOOKUP(B105,Estado!$A$9:$B$501,2,FALSE),0)</f>
        <v>PROD.PAPEL,CART.EIMP</v>
      </c>
      <c r="D105" s="16">
        <f>SUMIF(Estado!$A$9:$A$364,$B105,Estado!$C$9:$C$364)</f>
        <v>127285472</v>
      </c>
      <c r="E105" s="16">
        <f ca="1">SUMIF(Estado!$A$9:$A$364,$B105,Estado!$D$9:$D$364)</f>
        <v>127285471.97</v>
      </c>
      <c r="F105" s="16">
        <f>SUMIF(Estado!$A$9:$A$364,$B105,Estado!$E$9:$E$364)</f>
        <v>0</v>
      </c>
      <c r="G105" s="16">
        <f>SUMIF(Estado!$A$9:$A$364,$B105,Estado!$G$9:$G$364)</f>
        <v>1481857.07</v>
      </c>
      <c r="H105" s="16">
        <f>SUMIF(Estado!$A$9:$A$364,$B105,Estado!$I$9:$I$364)</f>
        <v>0</v>
      </c>
      <c r="I105" s="16">
        <f>SUMIF(Estado!$A$9:$A$364,$B105,Estado!$K$9:$K$364)</f>
        <v>124728282.06</v>
      </c>
      <c r="J105" s="16">
        <f t="shared" si="18"/>
        <v>126210139.13</v>
      </c>
      <c r="K105" s="16">
        <f ca="1">SUMIF(Estado!$A$9:$A$364,$B105,Estado!$O$9:$O$364)</f>
        <v>1075332.8700000001</v>
      </c>
      <c r="L105" s="51">
        <f t="shared" si="19"/>
        <v>0.99155180199983861</v>
      </c>
      <c r="M105" s="51">
        <f t="shared" ca="1" si="20"/>
        <v>8.4481980001614027E-3</v>
      </c>
    </row>
    <row r="106" spans="1:13" s="24" customFormat="1" ht="16.5" x14ac:dyDescent="0.25">
      <c r="A106" s="122"/>
      <c r="B106" s="119" t="str">
        <f>+Estado!A140</f>
        <v>E-29904</v>
      </c>
      <c r="C106" s="113" t="str">
        <f>IFERROR(VLOOKUP(B106,Estado!$A$9:$B$501,2,FALSE),0)</f>
        <v>TEXTILES Y VESTUARIO</v>
      </c>
      <c r="D106" s="16">
        <f>SUMIF(Estado!$A$9:$A$364,$B106,Estado!$C$9:$C$364)</f>
        <v>120712418</v>
      </c>
      <c r="E106" s="16">
        <f ca="1">SUMIF(Estado!$A$9:$A$364,$B106,Estado!$D$9:$D$364)</f>
        <v>120712418</v>
      </c>
      <c r="F106" s="16">
        <f>SUMIF(Estado!$A$9:$A$364,$B106,Estado!$E$9:$E$364)</f>
        <v>0</v>
      </c>
      <c r="G106" s="16">
        <f>SUMIF(Estado!$A$9:$A$364,$B106,Estado!$G$9:$G$364)</f>
        <v>6727122</v>
      </c>
      <c r="H106" s="16">
        <f>SUMIF(Estado!$A$9:$A$364,$B106,Estado!$I$9:$I$364)</f>
        <v>0</v>
      </c>
      <c r="I106" s="16">
        <f>SUMIF(Estado!$A$9:$A$364,$B106,Estado!$K$9:$K$364)</f>
        <v>108202592.17999999</v>
      </c>
      <c r="J106" s="16">
        <f t="shared" si="18"/>
        <v>114929714.17999999</v>
      </c>
      <c r="K106" s="16">
        <f ca="1">SUMIF(Estado!$A$9:$A$364,$B106,Estado!$O$9:$O$364)</f>
        <v>5782703.8199999994</v>
      </c>
      <c r="L106" s="51">
        <f t="shared" si="19"/>
        <v>0.95209520349430821</v>
      </c>
      <c r="M106" s="51">
        <f t="shared" ca="1" si="20"/>
        <v>4.7904796505691731E-2</v>
      </c>
    </row>
    <row r="107" spans="1:13" s="24" customFormat="1" ht="16.5" x14ac:dyDescent="0.25">
      <c r="A107" s="122"/>
      <c r="B107" s="119" t="str">
        <f>+Estado!A141</f>
        <v>E-29905</v>
      </c>
      <c r="C107" s="113" t="str">
        <f>IFERROR(VLOOKUP(B107,Estado!$A$9:$B$501,2,FALSE),0)</f>
        <v>ÚTILES Y MATER.LIMP</v>
      </c>
      <c r="D107" s="16">
        <f>SUMIF(Estado!$A$9:$A$364,$B107,Estado!$C$9:$C$364)</f>
        <v>139001245</v>
      </c>
      <c r="E107" s="16">
        <f ca="1">SUMIF(Estado!$A$9:$A$364,$B107,Estado!$D$9:$D$364)</f>
        <v>139001244.72</v>
      </c>
      <c r="F107" s="16">
        <f>SUMIF(Estado!$A$9:$A$364,$B107,Estado!$E$9:$E$364)</f>
        <v>0</v>
      </c>
      <c r="G107" s="16">
        <f>SUMIF(Estado!$A$9:$A$364,$B107,Estado!$G$9:$G$364)</f>
        <v>3189406.45</v>
      </c>
      <c r="H107" s="16">
        <f>SUMIF(Estado!$A$9:$A$364,$B107,Estado!$I$9:$I$364)</f>
        <v>0</v>
      </c>
      <c r="I107" s="16">
        <f>SUMIF(Estado!$A$9:$A$364,$B107,Estado!$K$9:$K$364)</f>
        <v>128295013.77</v>
      </c>
      <c r="J107" s="16">
        <f t="shared" si="18"/>
        <v>131484420.22</v>
      </c>
      <c r="K107" s="16">
        <f ca="1">SUMIF(Estado!$A$9:$A$364,$B107,Estado!$O$9:$O$364)</f>
        <v>7516824.7799999993</v>
      </c>
      <c r="L107" s="51">
        <f t="shared" si="19"/>
        <v>0.94592260824714192</v>
      </c>
      <c r="M107" s="51">
        <f t="shared" ca="1" si="20"/>
        <v>5.4077391752858035E-2</v>
      </c>
    </row>
    <row r="108" spans="1:13" s="24" customFormat="1" ht="16.5" x14ac:dyDescent="0.25">
      <c r="A108" s="122"/>
      <c r="B108" s="119" t="str">
        <f>+Estado!A142</f>
        <v>E-29906</v>
      </c>
      <c r="C108" s="113" t="str">
        <f>IFERROR(VLOOKUP(B108,Estado!$A$9:$B$501,2,FALSE),0)</f>
        <v>ÚTILES YMAT.RESG.SEG</v>
      </c>
      <c r="D108" s="16">
        <f>SUMIF(Estado!$A$9:$A$364,$B108,Estado!$C$9:$C$364)</f>
        <v>413823406</v>
      </c>
      <c r="E108" s="16">
        <f ca="1">SUMIF(Estado!$A$9:$A$364,$B108,Estado!$D$9:$D$364)</f>
        <v>413823406</v>
      </c>
      <c r="F108" s="16">
        <f>SUMIF(Estado!$A$9:$A$364,$B108,Estado!$E$9:$E$364)</f>
        <v>0</v>
      </c>
      <c r="G108" s="16">
        <f>SUMIF(Estado!$A$9:$A$364,$B108,Estado!$G$9:$G$364)</f>
        <v>0</v>
      </c>
      <c r="H108" s="16">
        <f>SUMIF(Estado!$A$9:$A$364,$B108,Estado!$I$9:$I$364)</f>
        <v>0</v>
      </c>
      <c r="I108" s="16">
        <f>SUMIF(Estado!$A$9:$A$364,$B108,Estado!$K$9:$K$364)</f>
        <v>403452380.44</v>
      </c>
      <c r="J108" s="16">
        <f t="shared" si="18"/>
        <v>403452380.44</v>
      </c>
      <c r="K108" s="16">
        <f ca="1">SUMIF(Estado!$A$9:$A$364,$B108,Estado!$O$9:$O$364)</f>
        <v>10371025.560000001</v>
      </c>
      <c r="L108" s="51">
        <f t="shared" si="19"/>
        <v>0.97493852351116161</v>
      </c>
      <c r="M108" s="51">
        <f t="shared" ca="1" si="20"/>
        <v>2.5061476488838334E-2</v>
      </c>
    </row>
    <row r="109" spans="1:13" s="24" customFormat="1" ht="16.5" x14ac:dyDescent="0.25">
      <c r="A109" s="122"/>
      <c r="B109" s="119" t="str">
        <f>+Estado!A143</f>
        <v>E-29907</v>
      </c>
      <c r="C109" s="113" t="str">
        <f>IFERROR(VLOOKUP(B109,Estado!$A$9:$B$501,2,FALSE),0)</f>
        <v>ÚTILES YMAT.COC.YCOM</v>
      </c>
      <c r="D109" s="16">
        <f>SUMIF(Estado!$A$9:$A$364,$B109,Estado!$C$9:$C$364)</f>
        <v>63062250</v>
      </c>
      <c r="E109" s="16">
        <f ca="1">SUMIF(Estado!$A$9:$A$364,$B109,Estado!$D$9:$D$364)</f>
        <v>63062249.82</v>
      </c>
      <c r="F109" s="16">
        <f>SUMIF(Estado!$A$9:$A$364,$B109,Estado!$E$9:$E$364)</f>
        <v>0</v>
      </c>
      <c r="G109" s="16">
        <f>SUMIF(Estado!$A$9:$A$364,$B109,Estado!$G$9:$G$364)</f>
        <v>11691240.970000001</v>
      </c>
      <c r="H109" s="16">
        <f>SUMIF(Estado!$A$9:$A$364,$B109,Estado!$I$9:$I$364)</f>
        <v>0</v>
      </c>
      <c r="I109" s="16">
        <f>SUMIF(Estado!$A$9:$A$364,$B109,Estado!$K$9:$K$364)</f>
        <v>51366172.93</v>
      </c>
      <c r="J109" s="16">
        <f t="shared" si="18"/>
        <v>63057413.899999999</v>
      </c>
      <c r="K109" s="16">
        <f ca="1">SUMIF(Estado!$A$9:$A$364,$B109,Estado!$O$9:$O$364)</f>
        <v>4836.1000000000004</v>
      </c>
      <c r="L109" s="51">
        <f t="shared" si="19"/>
        <v>0.99992331228270481</v>
      </c>
      <c r="M109" s="51">
        <f t="shared" ca="1" si="20"/>
        <v>7.6687717295212274E-5</v>
      </c>
    </row>
    <row r="110" spans="1:13" s="24" customFormat="1" ht="16.5" x14ac:dyDescent="0.25">
      <c r="A110" s="122"/>
      <c r="B110" s="119" t="str">
        <f>+Estado!A144</f>
        <v>E-29999</v>
      </c>
      <c r="C110" s="113" t="str">
        <f>IFERROR(VLOOKUP(B110,Estado!$A$9:$B$501,2,FALSE),0)</f>
        <v>OTR.UT,MAT Y SUM.DIV</v>
      </c>
      <c r="D110" s="16">
        <f>SUMIF(Estado!$A$9:$A$364,$B110,Estado!$C$9:$C$364)</f>
        <v>78529104</v>
      </c>
      <c r="E110" s="16">
        <f ca="1">SUMIF(Estado!$A$9:$A$364,$B110,Estado!$D$9:$D$364)</f>
        <v>78529104</v>
      </c>
      <c r="F110" s="16">
        <f>SUMIF(Estado!$A$9:$A$364,$B110,Estado!$E$9:$E$364)</f>
        <v>0</v>
      </c>
      <c r="G110" s="16">
        <f>SUMIF(Estado!$A$9:$A$364,$B110,Estado!$G$9:$G$364)</f>
        <v>3345693.75</v>
      </c>
      <c r="H110" s="16">
        <f>SUMIF(Estado!$A$9:$A$364,$B110,Estado!$I$9:$I$364)</f>
        <v>0</v>
      </c>
      <c r="I110" s="16">
        <f>SUMIF(Estado!$A$9:$A$364,$B110,Estado!$K$9:$K$364)</f>
        <v>73438059.549999997</v>
      </c>
      <c r="J110" s="16">
        <f t="shared" si="18"/>
        <v>76783753.299999997</v>
      </c>
      <c r="K110" s="16">
        <f ca="1">SUMIF(Estado!$A$9:$A$364,$B110,Estado!$O$9:$O$364)</f>
        <v>1745350.7</v>
      </c>
      <c r="L110" s="51">
        <f t="shared" si="19"/>
        <v>0.97777447327044498</v>
      </c>
      <c r="M110" s="51">
        <f t="shared" ca="1" si="20"/>
        <v>2.2225526729554943E-2</v>
      </c>
    </row>
    <row r="111" spans="1:13" s="23" customFormat="1" ht="17.25" x14ac:dyDescent="0.25">
      <c r="A111" s="120"/>
      <c r="B111" s="121" t="str">
        <f>+Estado!A145</f>
        <v>E-5</v>
      </c>
      <c r="C111" s="114" t="str">
        <f>IFERROR(VLOOKUP(B111,Estado!$A$9:$B$501,2,FALSE),0)</f>
        <v>BIENES DURADEROS</v>
      </c>
      <c r="D111" s="22">
        <f>+D112+D121+D124</f>
        <v>3017512862</v>
      </c>
      <c r="E111" s="22">
        <f t="shared" ref="E111:K111" ca="1" si="21">+E112+E121+E124</f>
        <v>3017512861.0000005</v>
      </c>
      <c r="F111" s="22">
        <f t="shared" si="21"/>
        <v>0</v>
      </c>
      <c r="G111" s="22">
        <f t="shared" si="21"/>
        <v>443637739.51999998</v>
      </c>
      <c r="H111" s="22">
        <f t="shared" si="21"/>
        <v>0</v>
      </c>
      <c r="I111" s="22">
        <f t="shared" si="21"/>
        <v>2429148961.52</v>
      </c>
      <c r="J111" s="22">
        <f t="shared" si="21"/>
        <v>2872786701.04</v>
      </c>
      <c r="K111" s="22">
        <f t="shared" ca="1" si="21"/>
        <v>144726160.96000001</v>
      </c>
      <c r="L111" s="69">
        <f t="shared" si="8"/>
        <v>0.95203793071354936</v>
      </c>
      <c r="M111" s="69">
        <f t="shared" ca="1" si="9"/>
        <v>4.7962069286450651E-2</v>
      </c>
    </row>
    <row r="112" spans="1:13" s="24" customFormat="1" ht="16.5" x14ac:dyDescent="0.25">
      <c r="A112" s="122"/>
      <c r="B112" s="119" t="str">
        <f>+Estado!A146</f>
        <v>E-501</v>
      </c>
      <c r="C112" s="113" t="str">
        <f>IFERROR(VLOOKUP(B112,Estado!$A$9:$B$501,2,FALSE),0)</f>
        <v>MAQ, EQUIPO Y MOB</v>
      </c>
      <c r="D112" s="16">
        <f>SUMIF(Estado!$A$9:$A$364,$B112,Estado!$C$9:$C$364)</f>
        <v>959391035</v>
      </c>
      <c r="E112" s="16">
        <f ca="1">SUMIF(Estado!$A$9:$A$364,$B112,Estado!$D$9:$D$364)</f>
        <v>959391034.72000003</v>
      </c>
      <c r="F112" s="16">
        <f>SUMIF(Estado!$A$9:$A$364,$B112,Estado!$E$9:$E$364)</f>
        <v>0</v>
      </c>
      <c r="G112" s="16">
        <f>SUMIF(Estado!$A$9:$A$364,$B112,Estado!$G$9:$G$364)</f>
        <v>98646847.539999992</v>
      </c>
      <c r="H112" s="16">
        <f>SUMIF(Estado!$A$9:$A$364,$B112,Estado!$I$9:$I$364)</f>
        <v>0</v>
      </c>
      <c r="I112" s="16">
        <f>SUMIF(Estado!$A$9:$A$364,$B112,Estado!$K$9:$K$364)</f>
        <v>752180490.98000002</v>
      </c>
      <c r="J112" s="16">
        <f t="shared" si="10"/>
        <v>850827338.51999998</v>
      </c>
      <c r="K112" s="16">
        <f ca="1">SUMIF(Estado!$A$9:$A$364,$B112,Estado!$O$9:$O$364)</f>
        <v>108563696.48</v>
      </c>
      <c r="L112" s="51">
        <f t="shared" si="8"/>
        <v>0.8868410350738789</v>
      </c>
      <c r="M112" s="51">
        <f t="shared" ca="1" si="9"/>
        <v>0.11315896492612108</v>
      </c>
    </row>
    <row r="113" spans="1:13" s="24" customFormat="1" ht="16.5" x14ac:dyDescent="0.25">
      <c r="A113" s="122"/>
      <c r="B113" s="119" t="str">
        <f>+Estado!A147</f>
        <v>E-50101</v>
      </c>
      <c r="C113" s="113" t="str">
        <f>IFERROR(VLOOKUP(B113,Estado!$A$9:$B$501,2,FALSE),0)</f>
        <v>MAQ.Y EQ. PRODUCCIÓN</v>
      </c>
      <c r="D113" s="16">
        <f>SUMIF(Estado!$A$9:$A$364,$B113,Estado!$C$9:$C$364)</f>
        <v>55423300</v>
      </c>
      <c r="E113" s="16">
        <f ca="1">SUMIF(Estado!$A$9:$A$364,$B113,Estado!$D$9:$D$364)</f>
        <v>55423300</v>
      </c>
      <c r="F113" s="16">
        <f>SUMIF(Estado!$A$9:$A$364,$B113,Estado!$E$9:$E$364)</f>
        <v>0</v>
      </c>
      <c r="G113" s="16">
        <f>SUMIF(Estado!$A$9:$A$364,$B113,Estado!$G$9:$G$364)</f>
        <v>31642125.27</v>
      </c>
      <c r="H113" s="16">
        <f>SUMIF(Estado!$A$9:$A$364,$B113,Estado!$I$9:$I$364)</f>
        <v>0</v>
      </c>
      <c r="I113" s="16">
        <f>SUMIF(Estado!$A$9:$A$364,$B113,Estado!$K$9:$K$364)</f>
        <v>5956938.4299999997</v>
      </c>
      <c r="J113" s="16">
        <f t="shared" si="10"/>
        <v>37599063.700000003</v>
      </c>
      <c r="K113" s="16">
        <f ca="1">SUMIF(Estado!$A$9:$A$364,$B113,Estado!$O$9:$O$364)</f>
        <v>17824236.300000001</v>
      </c>
      <c r="L113" s="51">
        <f t="shared" si="8"/>
        <v>0.67839814121497644</v>
      </c>
      <c r="M113" s="51">
        <f t="shared" ca="1" si="9"/>
        <v>0.32160185878502362</v>
      </c>
    </row>
    <row r="114" spans="1:13" s="24" customFormat="1" ht="16.5" x14ac:dyDescent="0.25">
      <c r="A114" s="122"/>
      <c r="B114" s="119" t="str">
        <f>+Estado!A148</f>
        <v>E-50102</v>
      </c>
      <c r="C114" s="113" t="str">
        <f>IFERROR(VLOOKUP(B114,Estado!$A$9:$B$501,2,FALSE),0)</f>
        <v>EQUIPO DE TRANSPORTE</v>
      </c>
      <c r="D114" s="16">
        <f>SUMIF(Estado!$A$9:$A$364,$B114,Estado!$C$9:$C$364)</f>
        <v>51330956</v>
      </c>
      <c r="E114" s="16">
        <f ca="1">SUMIF(Estado!$A$9:$A$364,$B114,Estado!$D$9:$D$364)</f>
        <v>51330956</v>
      </c>
      <c r="F114" s="16">
        <f>SUMIF(Estado!$A$9:$A$364,$B114,Estado!$E$9:$E$364)</f>
        <v>0</v>
      </c>
      <c r="G114" s="16">
        <f>SUMIF(Estado!$A$9:$A$364,$B114,Estado!$G$9:$G$364)</f>
        <v>3530373.37</v>
      </c>
      <c r="H114" s="16">
        <f>SUMIF(Estado!$A$9:$A$364,$B114,Estado!$I$9:$I$364)</f>
        <v>0</v>
      </c>
      <c r="I114" s="16">
        <f>SUMIF(Estado!$A$9:$A$364,$B114,Estado!$K$9:$K$364)</f>
        <v>45277472.630000003</v>
      </c>
      <c r="J114" s="16">
        <f t="shared" si="10"/>
        <v>48807846</v>
      </c>
      <c r="K114" s="16">
        <f ca="1">SUMIF(Estado!$A$9:$A$364,$B114,Estado!$O$9:$O$364)</f>
        <v>2523110</v>
      </c>
      <c r="L114" s="51">
        <f t="shared" si="8"/>
        <v>0.95084623009943547</v>
      </c>
      <c r="M114" s="51">
        <f t="shared" ca="1" si="9"/>
        <v>4.9153769900564484E-2</v>
      </c>
    </row>
    <row r="115" spans="1:13" s="24" customFormat="1" ht="16.5" x14ac:dyDescent="0.25">
      <c r="A115" s="122"/>
      <c r="B115" s="119" t="str">
        <f>+Estado!A149</f>
        <v>E-50103</v>
      </c>
      <c r="C115" s="113" t="str">
        <f>IFERROR(VLOOKUP(B115,Estado!$A$9:$B$501,2,FALSE),0)</f>
        <v>EQ. DE COMUNICACIÓN</v>
      </c>
      <c r="D115" s="16">
        <f>SUMIF(Estado!$A$9:$A$364,$B115,Estado!$C$9:$C$364)</f>
        <v>49905610.289999999</v>
      </c>
      <c r="E115" s="16">
        <f ca="1">SUMIF(Estado!$A$9:$A$364,$B115,Estado!$D$9:$D$364)</f>
        <v>49905610.289999999</v>
      </c>
      <c r="F115" s="16">
        <f>SUMIF(Estado!$A$9:$A$364,$B115,Estado!$E$9:$E$364)</f>
        <v>0</v>
      </c>
      <c r="G115" s="16">
        <f>SUMIF(Estado!$A$9:$A$364,$B115,Estado!$G$9:$G$364)</f>
        <v>300000</v>
      </c>
      <c r="H115" s="16">
        <f>SUMIF(Estado!$A$9:$A$364,$B115,Estado!$I$9:$I$364)</f>
        <v>0</v>
      </c>
      <c r="I115" s="16">
        <f>SUMIF(Estado!$A$9:$A$364,$B115,Estado!$K$9:$K$364)</f>
        <v>47518143.329999998</v>
      </c>
      <c r="J115" s="16">
        <f t="shared" si="10"/>
        <v>47818143.329999998</v>
      </c>
      <c r="K115" s="16">
        <f ca="1">SUMIF(Estado!$A$9:$A$364,$B115,Estado!$O$9:$O$364)</f>
        <v>2087466.96</v>
      </c>
      <c r="L115" s="51">
        <f t="shared" si="8"/>
        <v>0.95817169757328302</v>
      </c>
      <c r="M115" s="51">
        <f t="shared" ca="1" si="9"/>
        <v>4.1828302426717E-2</v>
      </c>
    </row>
    <row r="116" spans="1:13" s="24" customFormat="1" ht="16.5" x14ac:dyDescent="0.25">
      <c r="A116" s="122"/>
      <c r="B116" s="119" t="str">
        <f>+Estado!A150</f>
        <v>E-50104</v>
      </c>
      <c r="C116" s="113" t="str">
        <f>IFERROR(VLOOKUP(B116,Estado!$A$9:$B$501,2,FALSE),0)</f>
        <v>EQUIPO Y MOB. OFIC.</v>
      </c>
      <c r="D116" s="16">
        <f>SUMIF(Estado!$A$9:$A$364,$B116,Estado!$C$9:$C$364)</f>
        <v>243719832.19999999</v>
      </c>
      <c r="E116" s="16">
        <f ca="1">SUMIF(Estado!$A$9:$A$364,$B116,Estado!$D$9:$D$364)</f>
        <v>243719832.19999999</v>
      </c>
      <c r="F116" s="16">
        <f>SUMIF(Estado!$A$9:$A$364,$B116,Estado!$E$9:$E$364)</f>
        <v>0</v>
      </c>
      <c r="G116" s="16">
        <f>SUMIF(Estado!$A$9:$A$364,$B116,Estado!$G$9:$G$364)</f>
        <v>52585808.700000003</v>
      </c>
      <c r="H116" s="16">
        <f>SUMIF(Estado!$A$9:$A$364,$B116,Estado!$I$9:$I$364)</f>
        <v>0</v>
      </c>
      <c r="I116" s="16">
        <f>SUMIF(Estado!$A$9:$A$364,$B116,Estado!$K$9:$K$364)</f>
        <v>173030880.38</v>
      </c>
      <c r="J116" s="16">
        <f t="shared" si="10"/>
        <v>225616689.07999998</v>
      </c>
      <c r="K116" s="16">
        <f ca="1">SUMIF(Estado!$A$9:$A$364,$B116,Estado!$O$9:$O$364)</f>
        <v>18103143.119999997</v>
      </c>
      <c r="L116" s="51">
        <f t="shared" si="8"/>
        <v>0.92572150178921708</v>
      </c>
      <c r="M116" s="51">
        <f t="shared" ca="1" si="9"/>
        <v>7.4278498210782862E-2</v>
      </c>
    </row>
    <row r="117" spans="1:13" s="24" customFormat="1" ht="16.5" x14ac:dyDescent="0.25">
      <c r="A117" s="122"/>
      <c r="B117" s="119" t="str">
        <f>+Estado!A151</f>
        <v>E-50105</v>
      </c>
      <c r="C117" s="113" t="str">
        <f>IFERROR(VLOOKUP(B117,Estado!$A$9:$B$501,2,FALSE),0)</f>
        <v>EQ.Y PROGR. CÓMPUTO</v>
      </c>
      <c r="D117" s="16">
        <f>SUMIF(Estado!$A$9:$A$364,$B117,Estado!$C$9:$C$364)</f>
        <v>238267584.50999999</v>
      </c>
      <c r="E117" s="16">
        <f ca="1">SUMIF(Estado!$A$9:$A$364,$B117,Estado!$D$9:$D$364)</f>
        <v>238267584.50999999</v>
      </c>
      <c r="F117" s="16">
        <f>SUMIF(Estado!$A$9:$A$364,$B117,Estado!$E$9:$E$364)</f>
        <v>0</v>
      </c>
      <c r="G117" s="16">
        <f>SUMIF(Estado!$A$9:$A$364,$B117,Estado!$G$9:$G$364)</f>
        <v>3400</v>
      </c>
      <c r="H117" s="16">
        <f>SUMIF(Estado!$A$9:$A$364,$B117,Estado!$I$9:$I$364)</f>
        <v>0</v>
      </c>
      <c r="I117" s="16">
        <f>SUMIF(Estado!$A$9:$A$364,$B117,Estado!$K$9:$K$364)</f>
        <v>230145544.51999998</v>
      </c>
      <c r="J117" s="16">
        <f t="shared" si="10"/>
        <v>230148944.51999998</v>
      </c>
      <c r="K117" s="16">
        <f ca="1">SUMIF(Estado!$A$9:$A$364,$B117,Estado!$O$9:$O$364)</f>
        <v>8118639.9900000002</v>
      </c>
      <c r="L117" s="51">
        <f t="shared" si="8"/>
        <v>0.96592637640283263</v>
      </c>
      <c r="M117" s="51">
        <f t="shared" ca="1" si="9"/>
        <v>3.4073623597167348E-2</v>
      </c>
    </row>
    <row r="118" spans="1:13" s="24" customFormat="1" ht="16.5" x14ac:dyDescent="0.25">
      <c r="A118" s="122"/>
      <c r="B118" s="119" t="str">
        <f>+Estado!A152</f>
        <v>E-50106</v>
      </c>
      <c r="C118" s="113" t="str">
        <f>IFERROR(VLOOKUP(B118,Estado!$A$9:$B$501,2,FALSE),0)</f>
        <v>EQ.SANIT, LAB. E INV</v>
      </c>
      <c r="D118" s="16">
        <f>SUMIF(Estado!$A$9:$A$364,$B118,Estado!$C$9:$C$364)</f>
        <v>25655698</v>
      </c>
      <c r="E118" s="16">
        <f ca="1">SUMIF(Estado!$A$9:$A$364,$B118,Estado!$D$9:$D$364)</f>
        <v>25655698</v>
      </c>
      <c r="F118" s="16">
        <f>SUMIF(Estado!$A$9:$A$364,$B118,Estado!$E$9:$E$364)</f>
        <v>0</v>
      </c>
      <c r="G118" s="16">
        <f>SUMIF(Estado!$A$9:$A$364,$B118,Estado!$G$9:$G$364)</f>
        <v>0</v>
      </c>
      <c r="H118" s="16">
        <f>SUMIF(Estado!$A$9:$A$364,$B118,Estado!$I$9:$I$364)</f>
        <v>0</v>
      </c>
      <c r="I118" s="16">
        <f>SUMIF(Estado!$A$9:$A$364,$B118,Estado!$K$9:$K$364)</f>
        <v>24977286.199999999</v>
      </c>
      <c r="J118" s="16">
        <f t="shared" si="10"/>
        <v>24977286.199999999</v>
      </c>
      <c r="K118" s="16">
        <f ca="1">SUMIF(Estado!$A$9:$A$364,$B118,Estado!$O$9:$O$364)</f>
        <v>678411.8</v>
      </c>
      <c r="L118" s="51">
        <f t="shared" si="8"/>
        <v>0.97355707102570355</v>
      </c>
      <c r="M118" s="51">
        <f t="shared" ca="1" si="9"/>
        <v>2.6442928974296471E-2</v>
      </c>
    </row>
    <row r="119" spans="1:13" s="24" customFormat="1" ht="16.5" x14ac:dyDescent="0.25">
      <c r="A119" s="122"/>
      <c r="B119" s="119" t="str">
        <f>+Estado!A153</f>
        <v>E-50107</v>
      </c>
      <c r="C119" s="113" t="str">
        <f>IFERROR(VLOOKUP(B119,Estado!$A$9:$B$501,2,FALSE),0)</f>
        <v>EQ.YMOB.EDUC,DEP.Y R</v>
      </c>
      <c r="D119" s="16">
        <f>SUMIF(Estado!$A$9:$A$364,$B119,Estado!$C$9:$C$364)</f>
        <v>200000</v>
      </c>
      <c r="E119" s="16">
        <f ca="1">SUMIF(Estado!$A$9:$A$364,$B119,Estado!$D$9:$D$364)</f>
        <v>200000</v>
      </c>
      <c r="F119" s="16">
        <f>SUMIF(Estado!$A$9:$A$364,$B119,Estado!$E$9:$E$364)</f>
        <v>0</v>
      </c>
      <c r="G119" s="16">
        <f>SUMIF(Estado!$A$9:$A$364,$B119,Estado!$G$9:$G$364)</f>
        <v>0</v>
      </c>
      <c r="H119" s="16">
        <f>SUMIF(Estado!$A$9:$A$364,$B119,Estado!$I$9:$I$364)</f>
        <v>0</v>
      </c>
      <c r="I119" s="16">
        <f>SUMIF(Estado!$A$9:$A$364,$B119,Estado!$K$9:$K$364)</f>
        <v>198000</v>
      </c>
      <c r="J119" s="16">
        <f t="shared" si="10"/>
        <v>198000</v>
      </c>
      <c r="K119" s="16">
        <f ca="1">SUMIF(Estado!$A$9:$A$364,$B119,Estado!$O$9:$O$364)</f>
        <v>2000</v>
      </c>
      <c r="L119" s="51">
        <f t="shared" si="8"/>
        <v>0.99</v>
      </c>
      <c r="M119" s="51">
        <f t="shared" ca="1" si="9"/>
        <v>0.01</v>
      </c>
    </row>
    <row r="120" spans="1:13" s="24" customFormat="1" ht="16.5" x14ac:dyDescent="0.25">
      <c r="A120" s="122"/>
      <c r="B120" s="119" t="str">
        <f>+Estado!A154</f>
        <v>E-50199</v>
      </c>
      <c r="C120" s="113" t="str">
        <f>IFERROR(VLOOKUP(B120,Estado!$A$9:$B$501,2,FALSE),0)</f>
        <v>MAQ,EQ Y MOV.DIVERSO</v>
      </c>
      <c r="D120" s="16">
        <f>SUMIF(Estado!$A$9:$A$364,$B120,Estado!$C$9:$C$364)</f>
        <v>294888054</v>
      </c>
      <c r="E120" s="16">
        <f ca="1">SUMIF(Estado!$A$9:$A$364,$B120,Estado!$D$9:$D$364)</f>
        <v>294888053.72000003</v>
      </c>
      <c r="F120" s="16">
        <f>SUMIF(Estado!$A$9:$A$364,$B120,Estado!$E$9:$E$364)</f>
        <v>0</v>
      </c>
      <c r="G120" s="16">
        <f>SUMIF(Estado!$A$9:$A$364,$B120,Estado!$G$9:$G$364)</f>
        <v>10585140.199999999</v>
      </c>
      <c r="H120" s="16">
        <f>SUMIF(Estado!$A$9:$A$364,$B120,Estado!$I$9:$I$364)</f>
        <v>0</v>
      </c>
      <c r="I120" s="16">
        <f>SUMIF(Estado!$A$9:$A$364,$B120,Estado!$K$9:$K$364)</f>
        <v>225076225.49000001</v>
      </c>
      <c r="J120" s="16">
        <f t="shared" si="10"/>
        <v>235661365.69</v>
      </c>
      <c r="K120" s="16">
        <f ca="1">SUMIF(Estado!$A$9:$A$364,$B120,Estado!$O$9:$O$364)</f>
        <v>59226688.309999995</v>
      </c>
      <c r="L120" s="51">
        <f t="shared" si="8"/>
        <v>0.79915534893115747</v>
      </c>
      <c r="M120" s="51">
        <f t="shared" ca="1" si="9"/>
        <v>0.20084465106884253</v>
      </c>
    </row>
    <row r="121" spans="1:13" s="24" customFormat="1" ht="16.5" x14ac:dyDescent="0.25">
      <c r="A121" s="122"/>
      <c r="B121" s="119" t="str">
        <f>+Estado!A155</f>
        <v>E-502</v>
      </c>
      <c r="C121" s="113" t="str">
        <f>IFERROR(VLOOKUP(B121,Estado!$A$9:$B$501,2,FALSE),0)</f>
        <v>CONST, ADIC YMEJORAS</v>
      </c>
      <c r="D121" s="16">
        <f>SUMIF(Estado!$A$9:$A$364,$B121,Estado!$C$9:$C$364)</f>
        <v>1858025864</v>
      </c>
      <c r="E121" s="16">
        <f ca="1">SUMIF(Estado!$A$9:$A$364,$B121,Estado!$D$9:$D$364)</f>
        <v>1858025864</v>
      </c>
      <c r="F121" s="16">
        <f>SUMIF(Estado!$A$9:$A$364,$B121,Estado!$E$9:$E$364)</f>
        <v>0</v>
      </c>
      <c r="G121" s="16">
        <f>SUMIF(Estado!$A$9:$A$364,$B121,Estado!$G$9:$G$364)</f>
        <v>344990891.98000002</v>
      </c>
      <c r="H121" s="16">
        <f>SUMIF(Estado!$A$9:$A$364,$B121,Estado!$I$9:$I$364)</f>
        <v>0</v>
      </c>
      <c r="I121" s="16">
        <f>SUMIF(Estado!$A$9:$A$364,$B121,Estado!$K$9:$K$364)</f>
        <v>1502611680.77</v>
      </c>
      <c r="J121" s="16">
        <f t="shared" si="10"/>
        <v>1847602572.75</v>
      </c>
      <c r="K121" s="16">
        <f ca="1">SUMIF(Estado!$A$9:$A$364,$B121,Estado!$O$9:$O$364)</f>
        <v>10423291.25</v>
      </c>
      <c r="L121" s="51">
        <f t="shared" si="8"/>
        <v>0.99439012585779596</v>
      </c>
      <c r="M121" s="51">
        <f t="shared" ca="1" si="9"/>
        <v>5.6098741422040826E-3</v>
      </c>
    </row>
    <row r="122" spans="1:13" s="23" customFormat="1" ht="16.5" x14ac:dyDescent="0.25">
      <c r="A122" s="120"/>
      <c r="B122" s="119" t="str">
        <f>+Estado!A156</f>
        <v>E-50201</v>
      </c>
      <c r="C122" s="113" t="str">
        <f>IFERROR(VLOOKUP(B122,Estado!$A$9:$B$501,2,FALSE),0)</f>
        <v>EDIFICIOS</v>
      </c>
      <c r="D122" s="16">
        <f>SUMIF(Estado!$A$9:$A$364,$B122,Estado!$C$9:$C$364)</f>
        <v>1823040163</v>
      </c>
      <c r="E122" s="16">
        <f ca="1">SUMIF(Estado!$A$9:$A$364,$B122,Estado!$D$9:$D$364)</f>
        <v>1823040163</v>
      </c>
      <c r="F122" s="16">
        <f>SUMIF(Estado!$A$9:$A$364,$B122,Estado!$E$9:$E$364)</f>
        <v>0</v>
      </c>
      <c r="G122" s="16">
        <f>SUMIF(Estado!$A$9:$A$364,$B122,Estado!$G$9:$G$364)</f>
        <v>340550166.73000002</v>
      </c>
      <c r="H122" s="16">
        <f>SUMIF(Estado!$A$9:$A$364,$B122,Estado!$I$9:$I$364)</f>
        <v>0</v>
      </c>
      <c r="I122" s="16">
        <f>SUMIF(Estado!$A$9:$A$364,$B122,Estado!$K$9:$K$364)</f>
        <v>1473747234.77</v>
      </c>
      <c r="J122" s="16">
        <f t="shared" si="10"/>
        <v>1814297401.5</v>
      </c>
      <c r="K122" s="16">
        <f ca="1">SUMIF(Estado!$A$9:$A$364,$B122,Estado!$O$9:$O$364)</f>
        <v>8742761.5</v>
      </c>
      <c r="L122" s="51">
        <f t="shared" si="8"/>
        <v>0.99520429572675295</v>
      </c>
      <c r="M122" s="51">
        <f t="shared" ca="1" si="9"/>
        <v>4.7957042732469958E-3</v>
      </c>
    </row>
    <row r="123" spans="1:13" s="24" customFormat="1" ht="16.5" x14ac:dyDescent="0.25">
      <c r="A123" s="122"/>
      <c r="B123" s="119" t="str">
        <f>+Estado!A157</f>
        <v>E-50207</v>
      </c>
      <c r="C123" s="113" t="str">
        <f>IFERROR(VLOOKUP(B123,Estado!$A$9:$B$501,2,FALSE),0)</f>
        <v>INSTALACIONES</v>
      </c>
      <c r="D123" s="16">
        <f>SUMIF(Estado!$A$9:$A$364,$B123,Estado!$C$9:$C$364)</f>
        <v>34985701</v>
      </c>
      <c r="E123" s="16">
        <f ca="1">SUMIF(Estado!$A$9:$A$364,$B123,Estado!$D$9:$D$364)</f>
        <v>34985701</v>
      </c>
      <c r="F123" s="16">
        <f>SUMIF(Estado!$A$9:$A$364,$B123,Estado!$E$9:$E$364)</f>
        <v>0</v>
      </c>
      <c r="G123" s="16">
        <f>SUMIF(Estado!$A$9:$A$364,$B123,Estado!$G$9:$G$364)</f>
        <v>4440725.25</v>
      </c>
      <c r="H123" s="16">
        <f>SUMIF(Estado!$A$9:$A$364,$B123,Estado!$I$9:$I$364)</f>
        <v>0</v>
      </c>
      <c r="I123" s="16">
        <f>SUMIF(Estado!$A$9:$A$364,$B123,Estado!$K$9:$K$364)</f>
        <v>28864446</v>
      </c>
      <c r="J123" s="16">
        <f t="shared" si="10"/>
        <v>33305171.25</v>
      </c>
      <c r="K123" s="16">
        <f ca="1">SUMIF(Estado!$A$9:$A$364,$B123,Estado!$O$9:$O$364)</f>
        <v>1680529.75</v>
      </c>
      <c r="L123" s="51">
        <f t="shared" si="8"/>
        <v>0.95196524002763305</v>
      </c>
      <c r="M123" s="51">
        <f t="shared" ca="1" si="9"/>
        <v>4.8034759972366996E-2</v>
      </c>
    </row>
    <row r="124" spans="1:13" s="24" customFormat="1" ht="16.5" x14ac:dyDescent="0.25">
      <c r="A124" s="122"/>
      <c r="B124" s="119" t="str">
        <f>+Estado!A158</f>
        <v>E-599</v>
      </c>
      <c r="C124" s="113" t="str">
        <f>IFERROR(VLOOKUP(B124,Estado!$A$9:$B$501,2,FALSE),0)</f>
        <v>BIENES DURADEROS DIV</v>
      </c>
      <c r="D124" s="16">
        <f>SUMIF(Estado!$A$9:$A$364,$B124,Estado!$C$9:$C$364)</f>
        <v>200095963</v>
      </c>
      <c r="E124" s="16">
        <f ca="1">SUMIF(Estado!$A$9:$A$364,$B124,Estado!$D$9:$D$364)</f>
        <v>200095962.28</v>
      </c>
      <c r="F124" s="16">
        <f>SUMIF(Estado!$A$9:$A$364,$B124,Estado!$E$9:$E$364)</f>
        <v>0</v>
      </c>
      <c r="G124" s="16">
        <f>SUMIF(Estado!$A$9:$A$364,$B124,Estado!$G$9:$G$364)</f>
        <v>0</v>
      </c>
      <c r="H124" s="16">
        <f>SUMIF(Estado!$A$9:$A$364,$B124,Estado!$I$9:$I$364)</f>
        <v>0</v>
      </c>
      <c r="I124" s="16">
        <f>SUMIF(Estado!$A$9:$A$364,$B124,Estado!$K$9:$K$364)</f>
        <v>174356789.76999998</v>
      </c>
      <c r="J124" s="16">
        <f t="shared" si="10"/>
        <v>174356789.76999998</v>
      </c>
      <c r="K124" s="16">
        <f ca="1">SUMIF(Estado!$A$9:$A$364,$B124,Estado!$O$9:$O$364)</f>
        <v>25739173.23</v>
      </c>
      <c r="L124" s="51">
        <f t="shared" si="8"/>
        <v>0.87136585444255055</v>
      </c>
      <c r="M124" s="51">
        <f t="shared" ca="1" si="9"/>
        <v>0.12863414555744934</v>
      </c>
    </row>
    <row r="125" spans="1:13" s="24" customFormat="1" ht="16.5" x14ac:dyDescent="0.25">
      <c r="A125" s="122"/>
      <c r="B125" s="119" t="str">
        <f>+Estado!A159</f>
        <v>E-59903</v>
      </c>
      <c r="C125" s="113" t="str">
        <f>IFERROR(VLOOKUP(B125,Estado!$A$9:$B$501,2,FALSE),0)</f>
        <v>BIENES INTANGIBLES</v>
      </c>
      <c r="D125" s="16">
        <f>SUMIF(Estado!$A$9:$A$364,$B125,Estado!$C$9:$C$364)</f>
        <v>200095963</v>
      </c>
      <c r="E125" s="16">
        <f ca="1">SUMIF(Estado!$A$9:$A$364,$B125,Estado!$D$9:$D$364)</f>
        <v>200095962.28</v>
      </c>
      <c r="F125" s="16">
        <f>SUMIF(Estado!$A$9:$A$364,$B125,Estado!$E$9:$E$364)</f>
        <v>0</v>
      </c>
      <c r="G125" s="16">
        <f>SUMIF(Estado!$A$9:$A$364,$B125,Estado!$G$9:$G$364)</f>
        <v>0</v>
      </c>
      <c r="H125" s="16">
        <f>SUMIF(Estado!$A$9:$A$364,$B125,Estado!$I$9:$I$364)</f>
        <v>0</v>
      </c>
      <c r="I125" s="16">
        <f>SUMIF(Estado!$A$9:$A$364,$B125,Estado!$K$9:$K$364)</f>
        <v>174356789.77000001</v>
      </c>
      <c r="J125" s="16">
        <f t="shared" si="10"/>
        <v>174356789.77000001</v>
      </c>
      <c r="K125" s="16">
        <f ca="1">SUMIF(Estado!$A$9:$A$364,$B125,Estado!$O$9:$O$364)</f>
        <v>25739173.23</v>
      </c>
      <c r="L125" s="51">
        <f t="shared" si="8"/>
        <v>0.87136585444255066</v>
      </c>
      <c r="M125" s="51">
        <f t="shared" ca="1" si="9"/>
        <v>0.12863414555744934</v>
      </c>
    </row>
    <row r="126" spans="1:13" s="23" customFormat="1" ht="17.25" x14ac:dyDescent="0.25">
      <c r="A126" s="120"/>
      <c r="B126" s="121" t="str">
        <f>+Estado!A160</f>
        <v>E-6</v>
      </c>
      <c r="C126" s="114" t="str">
        <f>IFERROR(VLOOKUP(B126,Estado!$A$9:$B$501,2,FALSE),0)</f>
        <v>TRANSF. CORRIENTES</v>
      </c>
      <c r="D126" s="22">
        <f>+D127+D130+D132+D135+D138</f>
        <v>3656120600</v>
      </c>
      <c r="E126" s="22">
        <f t="shared" ref="E126:K126" ca="1" si="22">+E127+E130+E132+E135+E138</f>
        <v>3656120598.4099998</v>
      </c>
      <c r="F126" s="22">
        <f t="shared" si="22"/>
        <v>0</v>
      </c>
      <c r="G126" s="22">
        <f t="shared" si="22"/>
        <v>292678526.91000003</v>
      </c>
      <c r="H126" s="22">
        <f t="shared" si="22"/>
        <v>0</v>
      </c>
      <c r="I126" s="22">
        <f t="shared" si="22"/>
        <v>2772222334.6399999</v>
      </c>
      <c r="J126" s="22">
        <f t="shared" si="22"/>
        <v>3064900861.5499997</v>
      </c>
      <c r="K126" s="22">
        <f t="shared" ca="1" si="22"/>
        <v>591219738.44999993</v>
      </c>
      <c r="L126" s="69">
        <f t="shared" si="8"/>
        <v>0.8382931519135336</v>
      </c>
      <c r="M126" s="69">
        <f t="shared" ca="1" si="9"/>
        <v>0.16170684808646626</v>
      </c>
    </row>
    <row r="127" spans="1:13" s="24" customFormat="1" ht="16.5" x14ac:dyDescent="0.25">
      <c r="A127" s="122"/>
      <c r="B127" s="119" t="str">
        <f>+Estado!A161</f>
        <v>E-601</v>
      </c>
      <c r="C127" s="113" t="str">
        <f>IFERROR(VLOOKUP(B127,Estado!$A$9:$B$501,2,FALSE),0)</f>
        <v>TRANSF CTES S. PUB</v>
      </c>
      <c r="D127" s="16">
        <f>SUMIF(Estado!$A$9:$A$364,$B127,Estado!$C$9:$C$364)</f>
        <v>1289145630</v>
      </c>
      <c r="E127" s="16">
        <f ca="1">SUMIF(Estado!$A$9:$A$364,$B127,Estado!$D$9:$D$364)</f>
        <v>1289145629.97</v>
      </c>
      <c r="F127" s="16">
        <f>SUMIF(Estado!$A$9:$A$364,$B127,Estado!$E$9:$E$364)</f>
        <v>0</v>
      </c>
      <c r="G127" s="16">
        <f>SUMIF(Estado!$A$9:$A$364,$B127,Estado!$G$9:$G$364)</f>
        <v>0</v>
      </c>
      <c r="H127" s="16">
        <f>SUMIF(Estado!$A$9:$A$364,$B127,Estado!$I$9:$I$364)</f>
        <v>0</v>
      </c>
      <c r="I127" s="16">
        <f>SUMIF(Estado!$A$9:$A$364,$B127,Estado!$K$9:$K$364)</f>
        <v>921000470.25999999</v>
      </c>
      <c r="J127" s="16">
        <f t="shared" si="10"/>
        <v>921000470.25999999</v>
      </c>
      <c r="K127" s="16">
        <f ca="1">SUMIF(Estado!$A$9:$A$364,$B127,Estado!$O$9:$O$364)</f>
        <v>368145159.74000001</v>
      </c>
      <c r="L127" s="51">
        <f t="shared" si="8"/>
        <v>0.7144270195912622</v>
      </c>
      <c r="M127" s="51">
        <f t="shared" ca="1" si="9"/>
        <v>0.28557298040873785</v>
      </c>
    </row>
    <row r="128" spans="1:13" s="24" customFormat="1" ht="16.5" x14ac:dyDescent="0.25">
      <c r="A128" s="122"/>
      <c r="B128" s="119" t="str">
        <f>+Estado!A162</f>
        <v>E-60102</v>
      </c>
      <c r="C128" s="113" t="str">
        <f>IFERROR(VLOOKUP(B128,Estado!$A$9:$B$501,2,FALSE),0)</f>
        <v>TRANSF.CTE ORG.DESC</v>
      </c>
      <c r="D128" s="16">
        <f>SUMIF(Estado!$A$9:$A$364,$B128,Estado!$C$9:$C$364)</f>
        <v>772816497</v>
      </c>
      <c r="E128" s="16">
        <f ca="1">SUMIF(Estado!$A$9:$A$364,$B128,Estado!$D$9:$D$364)</f>
        <v>772816496.97000003</v>
      </c>
      <c r="F128" s="16">
        <f>SUMIF(Estado!$A$9:$A$364,$B128,Estado!$E$9:$E$364)</f>
        <v>0</v>
      </c>
      <c r="G128" s="16">
        <f>SUMIF(Estado!$A$9:$A$364,$B128,Estado!$G$9:$G$364)</f>
        <v>0</v>
      </c>
      <c r="H128" s="16">
        <f>SUMIF(Estado!$A$9:$A$364,$B128,Estado!$I$9:$I$364)</f>
        <v>0</v>
      </c>
      <c r="I128" s="16">
        <f>SUMIF(Estado!$A$9:$A$364,$B128,Estado!$K$9:$K$364)</f>
        <v>423638876.53999996</v>
      </c>
      <c r="J128" s="16">
        <f>SUM(G128:I128)</f>
        <v>423638876.53999996</v>
      </c>
      <c r="K128" s="16">
        <f ca="1">SUMIF(Estado!$A$9:$A$364,$B128,Estado!$O$9:$O$364)</f>
        <v>349177620.46000004</v>
      </c>
      <c r="L128" s="51">
        <f t="shared" si="8"/>
        <v>0.54817525012021062</v>
      </c>
      <c r="M128" s="51">
        <f t="shared" ca="1" si="9"/>
        <v>0.45182474987978943</v>
      </c>
    </row>
    <row r="129" spans="1:13" s="24" customFormat="1" ht="16.5" x14ac:dyDescent="0.25">
      <c r="A129" s="122"/>
      <c r="B129" s="119" t="str">
        <f>+Estado!A167</f>
        <v>E-60103</v>
      </c>
      <c r="C129" s="113" t="str">
        <f>IFERROR(VLOOKUP(B129,Estado!$A$9:$B$501,2,FALSE),0)</f>
        <v>TRANSF.CTE I.D.NOE</v>
      </c>
      <c r="D129" s="16">
        <f>SUMIF(Estado!$A$9:$A$364,$B129,Estado!$C$9:$C$364)</f>
        <v>516329133</v>
      </c>
      <c r="E129" s="16">
        <f ca="1">SUMIF(Estado!$A$9:$A$364,$B129,Estado!$D$9:$D$364)</f>
        <v>516329133</v>
      </c>
      <c r="F129" s="16">
        <f>SUMIF(Estado!$A$9:$A$364,$B129,Estado!$E$9:$E$364)</f>
        <v>0</v>
      </c>
      <c r="G129" s="16">
        <f>SUMIF(Estado!$A$9:$A$364,$B129,Estado!$G$9:$G$364)</f>
        <v>0</v>
      </c>
      <c r="H129" s="16">
        <f>SUMIF(Estado!$A$9:$A$364,$B129,Estado!$I$9:$I$364)</f>
        <v>0</v>
      </c>
      <c r="I129" s="16">
        <f>SUMIF(Estado!$A$9:$A$364,$B129,Estado!$K$9:$K$364)</f>
        <v>497361593.72000003</v>
      </c>
      <c r="J129" s="16">
        <f t="shared" si="10"/>
        <v>497361593.72000003</v>
      </c>
      <c r="K129" s="16">
        <f ca="1">SUMIF(Estado!$A$9:$A$364,$B129,Estado!$O$9:$O$364)</f>
        <v>18967539.280000001</v>
      </c>
      <c r="L129" s="51">
        <f t="shared" si="8"/>
        <v>0.96326463476931101</v>
      </c>
      <c r="M129" s="51">
        <f t="shared" ca="1" si="9"/>
        <v>3.6735365230689009E-2</v>
      </c>
    </row>
    <row r="130" spans="1:13" s="24" customFormat="1" ht="16.5" x14ac:dyDescent="0.25">
      <c r="A130" s="122"/>
      <c r="B130" s="119" t="str">
        <f>+Estado!A178</f>
        <v>E-602</v>
      </c>
      <c r="C130" s="113" t="str">
        <f>IFERROR(VLOOKUP(B130,Estado!$A$9:$B$501,2,FALSE),0)</f>
        <v>TRANSF CTES A PERS</v>
      </c>
      <c r="D130" s="16">
        <f>SUMIF(Estado!$A$9:$A$364,$B130,Estado!$C$9:$C$364)</f>
        <v>450000000</v>
      </c>
      <c r="E130" s="16">
        <f ca="1">SUMIF(Estado!$A$9:$A$364,$B130,Estado!$D$9:$D$364)</f>
        <v>450000000</v>
      </c>
      <c r="F130" s="16">
        <f>SUMIF(Estado!$A$9:$A$364,$B130,Estado!$E$9:$E$364)</f>
        <v>0</v>
      </c>
      <c r="G130" s="16">
        <f>SUMIF(Estado!$A$9:$A$364,$B130,Estado!$G$9:$G$364)</f>
        <v>40000000</v>
      </c>
      <c r="H130" s="16">
        <f>SUMIF(Estado!$A$9:$A$364,$B130,Estado!$I$9:$I$364)</f>
        <v>0</v>
      </c>
      <c r="I130" s="16">
        <f>SUMIF(Estado!$A$9:$A$364,$B130,Estado!$K$9:$K$364)</f>
        <v>333000000</v>
      </c>
      <c r="J130" s="16">
        <f t="shared" si="10"/>
        <v>373000000</v>
      </c>
      <c r="K130" s="16">
        <f ca="1">SUMIF(Estado!$A$9:$A$364,$B130,Estado!$O$9:$O$364)</f>
        <v>77000000</v>
      </c>
      <c r="L130" s="51">
        <f t="shared" si="8"/>
        <v>0.8288888888888889</v>
      </c>
      <c r="M130" s="51">
        <f t="shared" ca="1" si="9"/>
        <v>0.1711111111111111</v>
      </c>
    </row>
    <row r="131" spans="1:13" s="24" customFormat="1" ht="16.5" x14ac:dyDescent="0.25">
      <c r="A131" s="122"/>
      <c r="B131" s="119" t="str">
        <f>+Estado!A179</f>
        <v>E-60299</v>
      </c>
      <c r="C131" s="113" t="str">
        <f>IFERROR(VLOOKUP(B131,Estado!$A$9:$B$501,2,FALSE),0)</f>
        <v>OTRAS TRANSF. A PERS</v>
      </c>
      <c r="D131" s="16">
        <f>SUMIF(Estado!$A$9:$A$364,$B131,Estado!$C$9:$C$364)</f>
        <v>450000000</v>
      </c>
      <c r="E131" s="16">
        <f ca="1">SUMIF(Estado!$A$9:$A$364,$B131,Estado!$D$9:$D$364)</f>
        <v>450000000</v>
      </c>
      <c r="F131" s="16">
        <f>SUMIF(Estado!$A$9:$A$364,$B131,Estado!$E$9:$E$364)</f>
        <v>0</v>
      </c>
      <c r="G131" s="16">
        <f>SUMIF(Estado!$A$9:$A$364,$B131,Estado!$G$9:$G$364)</f>
        <v>40000000</v>
      </c>
      <c r="H131" s="16">
        <f>SUMIF(Estado!$A$9:$A$364,$B131,Estado!$I$9:$I$364)</f>
        <v>0</v>
      </c>
      <c r="I131" s="16">
        <f>SUMIF(Estado!$A$9:$A$364,$B131,Estado!$K$9:$K$364)</f>
        <v>333000000</v>
      </c>
      <c r="J131" s="16">
        <f t="shared" si="10"/>
        <v>373000000</v>
      </c>
      <c r="K131" s="16">
        <f ca="1">SUMIF(Estado!$A$9:$A$364,$B131,Estado!$O$9:$O$364)</f>
        <v>77000000</v>
      </c>
      <c r="L131" s="51">
        <f t="shared" si="8"/>
        <v>0.8288888888888889</v>
      </c>
      <c r="M131" s="51">
        <f t="shared" ca="1" si="9"/>
        <v>0.1711111111111111</v>
      </c>
    </row>
    <row r="132" spans="1:13" s="24" customFormat="1" ht="16.5" x14ac:dyDescent="0.25">
      <c r="A132" s="122"/>
      <c r="B132" s="119" t="str">
        <f>+Estado!A180</f>
        <v>E-603</v>
      </c>
      <c r="C132" s="113" t="str">
        <f>IFERROR(VLOOKUP(B132,Estado!$A$9:$B$501,2,FALSE),0)</f>
        <v>PRESTACIONES</v>
      </c>
      <c r="D132" s="16">
        <f>SUMIF(Estado!$A$9:$A$364,$B132,Estado!$C$9:$C$364)</f>
        <v>1322409852</v>
      </c>
      <c r="E132" s="16">
        <f ca="1">SUMIF(Estado!$A$9:$A$364,$B132,Estado!$D$9:$D$364)</f>
        <v>1322409851.26</v>
      </c>
      <c r="F132" s="16">
        <f>SUMIF(Estado!$A$9:$A$364,$B132,Estado!$E$9:$E$364)</f>
        <v>0</v>
      </c>
      <c r="G132" s="16">
        <f>SUMIF(Estado!$A$9:$A$364,$B132,Estado!$G$9:$G$364)</f>
        <v>86877270.700000003</v>
      </c>
      <c r="H132" s="16">
        <f>SUMIF(Estado!$A$9:$A$364,$B132,Estado!$I$9:$I$364)</f>
        <v>0</v>
      </c>
      <c r="I132" s="16">
        <f>SUMIF(Estado!$A$9:$A$364,$B132,Estado!$K$9:$K$364)</f>
        <v>1099796096.24</v>
      </c>
      <c r="J132" s="16">
        <f t="shared" si="10"/>
        <v>1186673366.9400001</v>
      </c>
      <c r="K132" s="16">
        <f ca="1">SUMIF(Estado!$A$9:$A$364,$B132,Estado!$O$9:$O$364)</f>
        <v>135736485.06</v>
      </c>
      <c r="L132" s="51">
        <f t="shared" ref="L132:L142" si="23">+IFERROR(SUM(G132:I132)/D132,0)</f>
        <v>0.89735671973804987</v>
      </c>
      <c r="M132" s="51">
        <f t="shared" ref="M132:M142" ca="1" si="24">+IFERROR(+K132/D132,0)</f>
        <v>0.10264328026195013</v>
      </c>
    </row>
    <row r="133" spans="1:13" s="24" customFormat="1" ht="16.5" x14ac:dyDescent="0.25">
      <c r="A133" s="122"/>
      <c r="B133" s="119" t="str">
        <f>+Estado!A181</f>
        <v>E-60301</v>
      </c>
      <c r="C133" s="113" t="str">
        <f>IFERROR(VLOOKUP(B133,Estado!$A$9:$B$501,2,FALSE),0)</f>
        <v>PRESTACIONES LEGALES</v>
      </c>
      <c r="D133" s="16">
        <f>SUMIF(Estado!$A$9:$A$364,$B133,Estado!$C$9:$C$364)</f>
        <v>904577352</v>
      </c>
      <c r="E133" s="16">
        <f ca="1">SUMIF(Estado!$A$9:$A$364,$B133,Estado!$D$9:$D$364)</f>
        <v>904577351.25999999</v>
      </c>
      <c r="F133" s="16">
        <f>SUMIF(Estado!$A$9:$A$364,$B133,Estado!$E$9:$E$364)</f>
        <v>0</v>
      </c>
      <c r="G133" s="16">
        <f>SUMIF(Estado!$A$9:$A$364,$B133,Estado!$G$9:$G$364)</f>
        <v>86877270.700000003</v>
      </c>
      <c r="H133" s="16">
        <f>SUMIF(Estado!$A$9:$A$364,$B133,Estado!$I$9:$I$364)</f>
        <v>0</v>
      </c>
      <c r="I133" s="16">
        <f>SUMIF(Estado!$A$9:$A$364,$B133,Estado!$K$9:$K$364)</f>
        <v>761103399.85000002</v>
      </c>
      <c r="J133" s="16">
        <f t="shared" ref="J133:J142" si="25">SUM(G133:I133)</f>
        <v>847980670.55000007</v>
      </c>
      <c r="K133" s="16">
        <f ca="1">SUMIF(Estado!$A$9:$A$364,$B133,Estado!$O$9:$O$364)</f>
        <v>56596681.450000003</v>
      </c>
      <c r="L133" s="51">
        <f t="shared" si="23"/>
        <v>0.93743301075926122</v>
      </c>
      <c r="M133" s="51">
        <f t="shared" ca="1" si="24"/>
        <v>6.2566989240738807E-2</v>
      </c>
    </row>
    <row r="134" spans="1:13" s="24" customFormat="1" ht="16.5" x14ac:dyDescent="0.25">
      <c r="A134" s="122"/>
      <c r="B134" s="119" t="str">
        <f>+Estado!A182</f>
        <v>E-60399</v>
      </c>
      <c r="C134" s="113" t="str">
        <f>IFERROR(VLOOKUP(B134,Estado!$A$9:$B$501,2,FALSE),0)</f>
        <v>OTRAS PRESTACIONES</v>
      </c>
      <c r="D134" s="16">
        <f>SUMIF(Estado!$A$9:$A$364,$B134,Estado!$C$9:$C$364)</f>
        <v>417832500</v>
      </c>
      <c r="E134" s="16">
        <f ca="1">SUMIF(Estado!$A$9:$A$364,$B134,Estado!$D$9:$D$364)</f>
        <v>417832500</v>
      </c>
      <c r="F134" s="16">
        <f>SUMIF(Estado!$A$9:$A$364,$B134,Estado!$E$9:$E$364)</f>
        <v>0</v>
      </c>
      <c r="G134" s="16">
        <f>SUMIF(Estado!$A$9:$A$364,$B134,Estado!$G$9:$G$364)</f>
        <v>0</v>
      </c>
      <c r="H134" s="16">
        <f>SUMIF(Estado!$A$9:$A$364,$B134,Estado!$I$9:$I$364)</f>
        <v>0</v>
      </c>
      <c r="I134" s="16">
        <f>SUMIF(Estado!$A$9:$A$364,$B134,Estado!$K$9:$K$364)</f>
        <v>338692696.38999999</v>
      </c>
      <c r="J134" s="16">
        <f t="shared" si="25"/>
        <v>338692696.38999999</v>
      </c>
      <c r="K134" s="16">
        <f ca="1">SUMIF(Estado!$A$9:$A$364,$B134,Estado!$O$9:$O$364)</f>
        <v>79139803.609999999</v>
      </c>
      <c r="L134" s="51">
        <f t="shared" si="23"/>
        <v>0.81059442812610316</v>
      </c>
      <c r="M134" s="51">
        <f t="shared" ca="1" si="24"/>
        <v>0.18940557187389684</v>
      </c>
    </row>
    <row r="135" spans="1:13" s="24" customFormat="1" ht="16.5" x14ac:dyDescent="0.25">
      <c r="A135" s="122"/>
      <c r="B135" s="119" t="str">
        <f>+Estado!A183</f>
        <v>E-606</v>
      </c>
      <c r="C135" s="113" t="str">
        <f>IFERROR(VLOOKUP(B135,Estado!$A$9:$B$501,2,FALSE),0)</f>
        <v>OTR.TRANSF.CTE SPRIV</v>
      </c>
      <c r="D135" s="16">
        <f>SUMIF(Estado!$A$9:$A$364,$B135,Estado!$C$9:$C$364)</f>
        <v>271401000</v>
      </c>
      <c r="E135" s="16">
        <f ca="1">SUMIF(Estado!$A$9:$A$364,$B135,Estado!$D$9:$D$364)</f>
        <v>271400999.18000001</v>
      </c>
      <c r="F135" s="16">
        <f>SUMIF(Estado!$A$9:$A$364,$B135,Estado!$E$9:$E$364)</f>
        <v>0</v>
      </c>
      <c r="G135" s="16">
        <f>SUMIF(Estado!$A$9:$A$364,$B135,Estado!$G$9:$G$364)</f>
        <v>165801256.21000001</v>
      </c>
      <c r="H135" s="16">
        <f>SUMIF(Estado!$A$9:$A$364,$B135,Estado!$I$9:$I$364)</f>
        <v>0</v>
      </c>
      <c r="I135" s="16">
        <f>SUMIF(Estado!$A$9:$A$364,$B135,Estado!$K$9:$K$364)</f>
        <v>95345247.180000007</v>
      </c>
      <c r="J135" s="16">
        <f t="shared" si="25"/>
        <v>261146503.39000002</v>
      </c>
      <c r="K135" s="16">
        <f ca="1">SUMIF(Estado!$A$9:$A$364,$B135,Estado!$O$9:$O$364)</f>
        <v>10254496.609999999</v>
      </c>
      <c r="L135" s="51">
        <f t="shared" si="23"/>
        <v>0.96221643763287534</v>
      </c>
      <c r="M135" s="51">
        <f t="shared" ca="1" si="24"/>
        <v>3.7783562367124657E-2</v>
      </c>
    </row>
    <row r="136" spans="1:13" s="24" customFormat="1" ht="16.5" x14ac:dyDescent="0.25">
      <c r="A136" s="122"/>
      <c r="B136" s="119" t="str">
        <f>+Estado!A184</f>
        <v>E-60601</v>
      </c>
      <c r="C136" s="113" t="str">
        <f>IFERROR(VLOOKUP(B136,Estado!$A$9:$B$501,2,FALSE),0)</f>
        <v>INDEMNIZACIONES</v>
      </c>
      <c r="D136" s="16">
        <f>SUMIF(Estado!$A$9:$A$364,$B136,Estado!$C$9:$C$364)</f>
        <v>212501000</v>
      </c>
      <c r="E136" s="16">
        <f ca="1">SUMIF(Estado!$A$9:$A$364,$B136,Estado!$D$9:$D$364)</f>
        <v>212500999.18000001</v>
      </c>
      <c r="F136" s="16">
        <f>SUMIF(Estado!$A$9:$A$364,$B136,Estado!$E$9:$E$364)</f>
        <v>0</v>
      </c>
      <c r="G136" s="16">
        <f>SUMIF(Estado!$A$9:$A$364,$B136,Estado!$G$9:$G$364)</f>
        <v>143553213.45000002</v>
      </c>
      <c r="H136" s="16">
        <f>SUMIF(Estado!$A$9:$A$364,$B136,Estado!$I$9:$I$364)</f>
        <v>0</v>
      </c>
      <c r="I136" s="16">
        <f>SUMIF(Estado!$A$9:$A$364,$B136,Estado!$K$9:$K$364)</f>
        <v>60498153.200000003</v>
      </c>
      <c r="J136" s="16">
        <f t="shared" si="25"/>
        <v>204051366.65000004</v>
      </c>
      <c r="K136" s="16">
        <f ca="1">SUMIF(Estado!$A$9:$A$364,$B136,Estado!$O$9:$O$364)</f>
        <v>8449633.3499999996</v>
      </c>
      <c r="L136" s="51">
        <f t="shared" si="23"/>
        <v>0.96023720664843948</v>
      </c>
      <c r="M136" s="51">
        <f t="shared" ca="1" si="24"/>
        <v>3.9762793351560695E-2</v>
      </c>
    </row>
    <row r="137" spans="1:13" s="24" customFormat="1" ht="16.5" x14ac:dyDescent="0.25">
      <c r="A137" s="122"/>
      <c r="B137" s="119" t="str">
        <f>+Estado!A185</f>
        <v>E-60602</v>
      </c>
      <c r="C137" s="113" t="str">
        <f>IFERROR(VLOOKUP(B137,Estado!$A$9:$B$501,2,FALSE),0)</f>
        <v>REINTEGROS O DEVOL.</v>
      </c>
      <c r="D137" s="16">
        <f>SUMIF(Estado!$A$9:$A$364,$B137,Estado!$C$9:$C$364)</f>
        <v>58900000</v>
      </c>
      <c r="E137" s="16">
        <f ca="1">SUMIF(Estado!$A$9:$A$364,$B137,Estado!$D$9:$D$364)</f>
        <v>58900000</v>
      </c>
      <c r="F137" s="16">
        <f>SUMIF(Estado!$A$9:$A$364,$B137,Estado!$E$9:$E$364)</f>
        <v>0</v>
      </c>
      <c r="G137" s="16">
        <f>SUMIF(Estado!$A$9:$A$364,$B137,Estado!$G$9:$G$364)</f>
        <v>22248042.760000002</v>
      </c>
      <c r="H137" s="16">
        <f>SUMIF(Estado!$A$9:$A$364,$B137,Estado!$I$9:$I$364)</f>
        <v>0</v>
      </c>
      <c r="I137" s="16">
        <f>SUMIF(Estado!$A$9:$A$364,$B137,Estado!$K$9:$K$364)</f>
        <v>34847093.979999997</v>
      </c>
      <c r="J137" s="16">
        <f t="shared" si="25"/>
        <v>57095136.739999995</v>
      </c>
      <c r="K137" s="16">
        <f ca="1">SUMIF(Estado!$A$9:$A$364,$B137,Estado!$O$9:$O$364)</f>
        <v>1804863.26</v>
      </c>
      <c r="L137" s="51">
        <f t="shared" si="23"/>
        <v>0.96935716027164676</v>
      </c>
      <c r="M137" s="51">
        <f t="shared" ca="1" si="24"/>
        <v>3.064283972835314E-2</v>
      </c>
    </row>
    <row r="138" spans="1:13" s="24" customFormat="1" ht="16.5" x14ac:dyDescent="0.25">
      <c r="A138" s="122"/>
      <c r="B138" s="119" t="str">
        <f>+Estado!A186</f>
        <v>E-607</v>
      </c>
      <c r="C138" s="113" t="str">
        <f>IFERROR(VLOOKUP(B138,Estado!$A$9:$B$501,2,FALSE),0)</f>
        <v>TRANSF CTES AL S.EXT</v>
      </c>
      <c r="D138" s="16">
        <f>SUMIF(Estado!$A$9:$A$364,$B138,Estado!$C$9:$C$364)</f>
        <v>323164118</v>
      </c>
      <c r="E138" s="16">
        <f ca="1">SUMIF(Estado!$A$9:$A$364,$B138,Estado!$D$9:$D$364)</f>
        <v>323164118</v>
      </c>
      <c r="F138" s="16">
        <f>SUMIF(Estado!$A$9:$A$364,$B138,Estado!$E$9:$E$364)</f>
        <v>0</v>
      </c>
      <c r="G138" s="16">
        <f>SUMIF(Estado!$A$9:$A$364,$B138,Estado!$G$9:$G$364)</f>
        <v>0</v>
      </c>
      <c r="H138" s="16">
        <f>SUMIF(Estado!$A$9:$A$364,$B138,Estado!$I$9:$I$364)</f>
        <v>0</v>
      </c>
      <c r="I138" s="16">
        <f>SUMIF(Estado!$A$9:$A$364,$B138,Estado!$K$9:$K$364)</f>
        <v>323080520.95999998</v>
      </c>
      <c r="J138" s="16">
        <f t="shared" si="25"/>
        <v>323080520.95999998</v>
      </c>
      <c r="K138" s="16">
        <f ca="1">SUMIF(Estado!$A$9:$A$364,$B138,Estado!$O$9:$O$364)</f>
        <v>83597.039999999994</v>
      </c>
      <c r="L138" s="51">
        <f t="shared" si="23"/>
        <v>0.99974131707283165</v>
      </c>
      <c r="M138" s="51">
        <f t="shared" ca="1" si="24"/>
        <v>2.5868292716829406E-4</v>
      </c>
    </row>
    <row r="139" spans="1:13" s="24" customFormat="1" ht="16.5" x14ac:dyDescent="0.25">
      <c r="A139" s="122"/>
      <c r="B139" s="119" t="str">
        <f>+Estado!A187</f>
        <v>E-60701</v>
      </c>
      <c r="C139" s="113" t="str">
        <f>IFERROR(VLOOKUP(B139,Estado!$A$9:$B$501,2,FALSE),0)</f>
        <v>TRANSF.C.TE ORG.INT.</v>
      </c>
      <c r="D139" s="16">
        <f>SUMIF(Estado!$A$9:$A$364,$B139,Estado!$C$9:$C$364)</f>
        <v>323164118</v>
      </c>
      <c r="E139" s="16">
        <f ca="1">SUMIF(Estado!$A$9:$A$364,$B139,Estado!$D$9:$D$364)</f>
        <v>323164118</v>
      </c>
      <c r="F139" s="16">
        <f>SUMIF(Estado!$A$9:$A$364,$B139,Estado!$E$9:$E$364)</f>
        <v>0</v>
      </c>
      <c r="G139" s="16">
        <f>SUMIF(Estado!$A$9:$A$364,$B139,Estado!$G$9:$G$364)</f>
        <v>0</v>
      </c>
      <c r="H139" s="16">
        <f>SUMIF(Estado!$A$9:$A$364,$B139,Estado!$I$9:$I$364)</f>
        <v>0</v>
      </c>
      <c r="I139" s="16">
        <f>SUMIF(Estado!$A$9:$A$364,$B139,Estado!$K$9:$K$364)</f>
        <v>323080520.96000004</v>
      </c>
      <c r="J139" s="16">
        <f t="shared" si="25"/>
        <v>323080520.96000004</v>
      </c>
      <c r="K139" s="16">
        <f ca="1">SUMIF(Estado!$A$9:$A$364,$B139,Estado!$O$9:$O$364)</f>
        <v>83597.039999999994</v>
      </c>
      <c r="L139" s="51">
        <f t="shared" si="23"/>
        <v>0.99974131707283187</v>
      </c>
      <c r="M139" s="51">
        <f t="shared" ca="1" si="24"/>
        <v>2.5868292716829406E-4</v>
      </c>
    </row>
    <row r="140" spans="1:13" s="23" customFormat="1" ht="17.25" x14ac:dyDescent="0.25">
      <c r="A140" s="120"/>
      <c r="B140" s="121" t="str">
        <f>+Estado!A191</f>
        <v>E-7</v>
      </c>
      <c r="C140" s="114" t="str">
        <f>IFERROR(VLOOKUP(B140,Estado!$A$9:$B$501,2,FALSE),0)</f>
        <v>TRANSF. DE CAPITAL</v>
      </c>
      <c r="D140" s="22">
        <f>SUM(D141)</f>
        <v>9226263836</v>
      </c>
      <c r="E140" s="22">
        <f t="shared" ref="E140:K140" ca="1" si="26">SUM(E141)</f>
        <v>9226263835</v>
      </c>
      <c r="F140" s="22">
        <f t="shared" si="26"/>
        <v>0</v>
      </c>
      <c r="G140" s="22">
        <f t="shared" si="26"/>
        <v>0</v>
      </c>
      <c r="H140" s="22">
        <f t="shared" si="26"/>
        <v>0</v>
      </c>
      <c r="I140" s="22">
        <f t="shared" si="26"/>
        <v>9226263835</v>
      </c>
      <c r="J140" s="22">
        <f t="shared" si="26"/>
        <v>9226263835</v>
      </c>
      <c r="K140" s="22">
        <f t="shared" ca="1" si="26"/>
        <v>1</v>
      </c>
      <c r="L140" s="69">
        <f t="shared" si="23"/>
        <v>0.99999999989161381</v>
      </c>
      <c r="M140" s="69">
        <f t="shared" ca="1" si="24"/>
        <v>1.0838623496740853E-10</v>
      </c>
    </row>
    <row r="141" spans="1:13" s="24" customFormat="1" ht="16.5" x14ac:dyDescent="0.25">
      <c r="A141" s="122"/>
      <c r="B141" s="119" t="str">
        <f>+Estado!A192</f>
        <v>E-701</v>
      </c>
      <c r="C141" s="113" t="str">
        <f>IFERROR(VLOOKUP(B141,Estado!$A$9:$B$501,2,FALSE),0)</f>
        <v>TRANSF DE CTAL S PUB</v>
      </c>
      <c r="D141" s="16">
        <f>SUMIF(Estado!$A$9:$A$364,$B141,Estado!$C$9:$C$364)</f>
        <v>9226263836</v>
      </c>
      <c r="E141" s="16">
        <f ca="1">SUMIF(Estado!$A$9:$A$364,$B141,Estado!$D$9:$D$364)</f>
        <v>9226263835</v>
      </c>
      <c r="F141" s="16">
        <f>SUMIF(Estado!$A$9:$A$364,$B141,Estado!$E$9:$E$364)</f>
        <v>0</v>
      </c>
      <c r="G141" s="16">
        <f>SUMIF(Estado!$A$9:$A$364,$B141,Estado!$G$9:$G$364)</f>
        <v>0</v>
      </c>
      <c r="H141" s="16">
        <f>SUMIF(Estado!$A$9:$A$364,$B141,Estado!$I$9:$I$364)</f>
        <v>0</v>
      </c>
      <c r="I141" s="16">
        <f>SUMIF(Estado!$A$9:$A$364,$B141,Estado!$K$9:$K$364)</f>
        <v>9226263835</v>
      </c>
      <c r="J141" s="16">
        <f t="shared" si="25"/>
        <v>9226263835</v>
      </c>
      <c r="K141" s="16">
        <f ca="1">SUMIF(Estado!$A$9:$A$364,$B141,Estado!$O$9:$O$364)</f>
        <v>1</v>
      </c>
      <c r="L141" s="51">
        <f t="shared" si="23"/>
        <v>0.99999999989161381</v>
      </c>
      <c r="M141" s="51">
        <f t="shared" ca="1" si="24"/>
        <v>1.0838623496740853E-10</v>
      </c>
    </row>
    <row r="142" spans="1:13" s="24" customFormat="1" ht="16.5" x14ac:dyDescent="0.25">
      <c r="A142" s="122"/>
      <c r="B142" s="119" t="str">
        <f>+Estado!A193</f>
        <v>E-70102</v>
      </c>
      <c r="C142" s="113" t="str">
        <f>IFERROR(VLOOKUP(B142,Estado!$A$9:$B$501,2,FALSE),0)</f>
        <v>TRANSF.CTAL ORG.DESC</v>
      </c>
      <c r="D142" s="16">
        <f>SUMIF(Estado!$A$9:$A$364,$B142,Estado!$C$9:$C$364)</f>
        <v>9226263836</v>
      </c>
      <c r="E142" s="16">
        <f ca="1">SUMIF(Estado!$A$9:$A$364,$B142,Estado!$D$9:$D$364)</f>
        <v>9226263835</v>
      </c>
      <c r="F142" s="16">
        <f>SUMIF(Estado!$A$9:$A$364,$B142,Estado!$E$9:$E$364)</f>
        <v>0</v>
      </c>
      <c r="G142" s="16">
        <f>SUMIF(Estado!$A$9:$A$364,$B142,Estado!$G$9:$G$364)</f>
        <v>0</v>
      </c>
      <c r="H142" s="16">
        <f>SUMIF(Estado!$A$9:$A$364,$B142,Estado!$I$9:$I$364)</f>
        <v>0</v>
      </c>
      <c r="I142" s="16">
        <f>SUMIF(Estado!$A$9:$A$364,$B142,Estado!$K$9:$K$364)</f>
        <v>9226263835</v>
      </c>
      <c r="J142" s="16">
        <f t="shared" si="25"/>
        <v>9226263835</v>
      </c>
      <c r="K142" s="16">
        <f ca="1">SUMIF(Estado!$A$9:$A$364,$B142,Estado!$O$9:$O$364)</f>
        <v>1</v>
      </c>
      <c r="L142" s="51">
        <f t="shared" si="23"/>
        <v>0.99999999989161381</v>
      </c>
      <c r="M142" s="51">
        <f t="shared" ca="1" si="24"/>
        <v>1.0838623496740853E-10</v>
      </c>
    </row>
    <row r="143" spans="1:13" ht="18" thickBot="1" x14ac:dyDescent="0.3">
      <c r="A143" s="123"/>
      <c r="B143" s="124"/>
      <c r="C143" s="9" t="s">
        <v>15</v>
      </c>
      <c r="D143" s="15">
        <f>+D3+D28+D81+D111+D126+D140</f>
        <v>117089523837</v>
      </c>
      <c r="E143" s="15">
        <f t="shared" ref="E143:K143" ca="1" si="27">+E3+E28+E81+E111+E126+E140</f>
        <v>117086609403.25</v>
      </c>
      <c r="F143" s="15">
        <f t="shared" si="27"/>
        <v>4362972</v>
      </c>
      <c r="G143" s="15">
        <f t="shared" si="27"/>
        <v>2898400347.6699996</v>
      </c>
      <c r="H143" s="15">
        <f t="shared" si="27"/>
        <v>0</v>
      </c>
      <c r="I143" s="15">
        <f t="shared" si="27"/>
        <v>109931381274.08002</v>
      </c>
      <c r="J143" s="15">
        <f t="shared" si="27"/>
        <v>112829781621.75</v>
      </c>
      <c r="K143" s="15">
        <f t="shared" ca="1" si="27"/>
        <v>4255379243.25</v>
      </c>
      <c r="L143" s="70">
        <f t="shared" ref="L143" si="28">SUM(G143:I143)/D143</f>
        <v>0.96361978360096534</v>
      </c>
      <c r="M143" s="70">
        <f t="shared" ref="M143" ca="1" si="29">+K143/D143</f>
        <v>3.6342954551373027E-2</v>
      </c>
    </row>
    <row r="144" spans="1:13" x14ac:dyDescent="0.25">
      <c r="A144" s="123"/>
      <c r="B144" s="123"/>
      <c r="D144" s="34">
        <f>+D143-Estado!C10</f>
        <v>0</v>
      </c>
      <c r="E144" s="34">
        <f ca="1">+E143-Estado!D10</f>
        <v>0</v>
      </c>
      <c r="F144" s="34">
        <f>+F143-Estado!E10</f>
        <v>0</v>
      </c>
      <c r="G144" s="34">
        <f>+G143-Estado!G10</f>
        <v>0</v>
      </c>
      <c r="H144" s="34"/>
      <c r="I144" s="34">
        <f>+I143-Estado!K10</f>
        <v>0</v>
      </c>
      <c r="J144" s="34"/>
      <c r="K144" s="34">
        <f ca="1">+K143-Estado!O10</f>
        <v>0</v>
      </c>
      <c r="L144" s="34"/>
    </row>
  </sheetData>
  <mergeCells count="9">
    <mergeCell ref="L1:L2"/>
    <mergeCell ref="M1:M2"/>
    <mergeCell ref="C1:C2"/>
    <mergeCell ref="D1:D2"/>
    <mergeCell ref="E1:E2"/>
    <mergeCell ref="F1:F2"/>
    <mergeCell ref="G1:I1"/>
    <mergeCell ref="K1:K2"/>
    <mergeCell ref="J1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zoomScale="86" zoomScaleNormal="86" workbookViewId="0">
      <selection activeCell="H11" sqref="H11"/>
    </sheetView>
  </sheetViews>
  <sheetFormatPr baseColWidth="10" defaultRowHeight="15" x14ac:dyDescent="0.25"/>
  <cols>
    <col min="1" max="1" width="8.5703125" style="24" bestFit="1" customWidth="1"/>
    <col min="2" max="2" width="24" style="24" bestFit="1" customWidth="1"/>
    <col min="3" max="4" width="20.28515625" style="24" bestFit="1" customWidth="1"/>
    <col min="5" max="5" width="19.7109375" style="24" bestFit="1" customWidth="1"/>
    <col min="6" max="6" width="20.28515625" style="24" bestFit="1" customWidth="1"/>
    <col min="7" max="7" width="20.7109375" style="95" customWidth="1"/>
    <col min="8" max="8" width="12.85546875" style="24" customWidth="1"/>
    <col min="9" max="9" width="14.28515625" style="24" customWidth="1"/>
    <col min="10" max="10" width="17.140625" style="25" bestFit="1" customWidth="1"/>
    <col min="11" max="11" width="13.7109375" style="25" bestFit="1" customWidth="1"/>
    <col min="12" max="16384" width="11.42578125" style="24"/>
  </cols>
  <sheetData>
    <row r="1" spans="1:11" ht="15.75" x14ac:dyDescent="0.25">
      <c r="A1" s="184" t="s">
        <v>58</v>
      </c>
      <c r="B1" s="185"/>
      <c r="C1" s="185"/>
      <c r="D1" s="185"/>
      <c r="E1" s="185"/>
      <c r="F1" s="185"/>
      <c r="G1" s="185"/>
      <c r="H1" s="185"/>
      <c r="I1" s="185"/>
    </row>
    <row r="2" spans="1:11" ht="15.75" x14ac:dyDescent="0.25">
      <c r="A2" s="184" t="str">
        <f>+'Resumen partida'!B2</f>
        <v xml:space="preserve">AL 31 DE DICEMBRE 2016        </v>
      </c>
      <c r="B2" s="185"/>
      <c r="C2" s="185"/>
      <c r="D2" s="185"/>
      <c r="E2" s="185"/>
      <c r="F2" s="185"/>
      <c r="G2" s="185"/>
      <c r="H2" s="185"/>
      <c r="I2" s="185"/>
    </row>
    <row r="3" spans="1:11" ht="15.75" x14ac:dyDescent="0.25">
      <c r="A3" s="184" t="s">
        <v>55</v>
      </c>
      <c r="B3" s="185"/>
      <c r="C3" s="185"/>
      <c r="D3" s="185"/>
      <c r="E3" s="185"/>
      <c r="F3" s="185"/>
      <c r="G3" s="185"/>
      <c r="H3" s="185"/>
      <c r="I3" s="185"/>
    </row>
    <row r="4" spans="1:11" ht="15.75" thickBot="1" x14ac:dyDescent="0.3"/>
    <row r="5" spans="1:11" x14ac:dyDescent="0.25">
      <c r="A5" s="196" t="s">
        <v>0</v>
      </c>
      <c r="B5" s="215" t="s">
        <v>559</v>
      </c>
      <c r="C5" s="198" t="s">
        <v>560</v>
      </c>
      <c r="D5" s="198" t="s">
        <v>2</v>
      </c>
      <c r="E5" s="198" t="s">
        <v>3</v>
      </c>
      <c r="F5" s="71" t="s">
        <v>4</v>
      </c>
      <c r="G5" s="213" t="s">
        <v>6</v>
      </c>
      <c r="H5" s="198" t="s">
        <v>7</v>
      </c>
      <c r="I5" s="200" t="s">
        <v>8</v>
      </c>
    </row>
    <row r="6" spans="1:11" x14ac:dyDescent="0.25">
      <c r="A6" s="197"/>
      <c r="B6" s="216"/>
      <c r="C6" s="199"/>
      <c r="D6" s="199"/>
      <c r="E6" s="199"/>
      <c r="F6" s="72" t="s">
        <v>5</v>
      </c>
      <c r="G6" s="214"/>
      <c r="H6" s="199"/>
      <c r="I6" s="201"/>
    </row>
    <row r="7" spans="1:11" s="23" customFormat="1" x14ac:dyDescent="0.25">
      <c r="A7" s="115" t="str">
        <f>+Hoja4!B3</f>
        <v>E-0</v>
      </c>
      <c r="B7" s="116" t="str">
        <f>+Hoja4!C3</f>
        <v>REMUNERACIONES</v>
      </c>
      <c r="C7" s="117">
        <f>+C8+C12+C16+C22+C25+C30</f>
        <v>79101866424</v>
      </c>
      <c r="D7" s="117">
        <f t="shared" ref="D7:G7" ca="1" si="0">+D8+D12+D16+D22+D25+D30</f>
        <v>79098952023</v>
      </c>
      <c r="E7" s="117">
        <f t="shared" si="0"/>
        <v>0</v>
      </c>
      <c r="F7" s="117">
        <f t="shared" si="0"/>
        <v>76919460564.51001</v>
      </c>
      <c r="G7" s="117">
        <f t="shared" ca="1" si="0"/>
        <v>2182405859.4900002</v>
      </c>
      <c r="H7" s="178">
        <f>+IFERROR(Hoja4!L3,0)</f>
        <v>0.97241018501647092</v>
      </c>
      <c r="I7" s="178">
        <f ca="1">+IFERROR(Hoja4!M3,0)</f>
        <v>2.7589814983529196E-2</v>
      </c>
      <c r="J7" s="154">
        <f>+F7-Hoja4!J3</f>
        <v>0</v>
      </c>
      <c r="K7" s="154">
        <f>+C7-Estado!C11</f>
        <v>0</v>
      </c>
    </row>
    <row r="8" spans="1:11" x14ac:dyDescent="0.25">
      <c r="A8" s="73" t="str">
        <f>+Hoja4!B4</f>
        <v>E-001</v>
      </c>
      <c r="B8" s="110" t="str">
        <f>+Hoja4!C4</f>
        <v>REMUNERACIONES BASIC</v>
      </c>
      <c r="C8" s="74">
        <f>SUM(C9:C11)</f>
        <v>27983331488</v>
      </c>
      <c r="D8" s="74">
        <f t="shared" ref="D8:G8" ca="1" si="1">SUM(D9:D11)</f>
        <v>27980417087</v>
      </c>
      <c r="E8" s="74">
        <f t="shared" si="1"/>
        <v>0</v>
      </c>
      <c r="F8" s="74">
        <f t="shared" si="1"/>
        <v>27140121738.529999</v>
      </c>
      <c r="G8" s="74">
        <f t="shared" ca="1" si="1"/>
        <v>843209749.47000003</v>
      </c>
      <c r="H8" s="179">
        <f>+IFERROR(Hoja4!L4,0)</f>
        <v>0.9698674280497448</v>
      </c>
      <c r="I8" s="179">
        <f ca="1">+IFERROR(Hoja4!M4,0)</f>
        <v>3.0132571950255132E-2</v>
      </c>
    </row>
    <row r="9" spans="1:11" x14ac:dyDescent="0.25">
      <c r="A9" s="75" t="str">
        <f>+Hoja4!B5</f>
        <v>E-00101</v>
      </c>
      <c r="B9" s="111" t="str">
        <f>+Hoja4!C5</f>
        <v>SUELDOS P/ C. FIJOS</v>
      </c>
      <c r="C9" s="108">
        <f>+SUMIF(Hoja4!$B$3:$B$160,$A9,Hoja4!$D$3:$D$160)</f>
        <v>27708909488</v>
      </c>
      <c r="D9" s="108">
        <f ca="1">+SUMIF(Hoja4!$B$3:$B$160,$A9,Hoja4!$E$3:$E$160)</f>
        <v>27705995087</v>
      </c>
      <c r="E9" s="108">
        <f>+SUMIF(Hoja4!$B$3:$B$160,$A9,Hoja4!$F$3:$F$160)</f>
        <v>0</v>
      </c>
      <c r="F9" s="108">
        <f>+SUMIF(Hoja4!$B$3:$B$160,$A9,Hoja4!$J$3:$J$160)</f>
        <v>26908024466.59</v>
      </c>
      <c r="G9" s="108">
        <f ca="1">+SUMIF(Hoja4!$B$3:$B$160,$A9,Hoja4!$K$3:$K$160)</f>
        <v>800885021.41000009</v>
      </c>
      <c r="H9" s="169">
        <f>+IFERROR(Hoja4!L5,0)</f>
        <v>0.97109647993340042</v>
      </c>
      <c r="I9" s="169">
        <f ca="1">+IFERROR(Hoja4!M5,0)</f>
        <v>2.8903520066599603E-2</v>
      </c>
    </row>
    <row r="10" spans="1:11" x14ac:dyDescent="0.25">
      <c r="A10" s="75" t="str">
        <f>+Hoja4!B6</f>
        <v>E-00103</v>
      </c>
      <c r="B10" s="111" t="str">
        <f>+Hoja4!C6</f>
        <v>SERVICIOS ESPECIALES</v>
      </c>
      <c r="C10" s="108">
        <f>+SUMIF(Hoja4!$B$3:$B$160,$A10,Hoja4!$D$3:$D$160)</f>
        <v>264422000</v>
      </c>
      <c r="D10" s="108">
        <f ca="1">+SUMIF(Hoja4!$B$3:$B$160,$A10,Hoja4!$E$3:$E$160)</f>
        <v>264422000</v>
      </c>
      <c r="E10" s="108">
        <f>+SUMIF(Hoja4!$B$3:$B$160,$A10,Hoja4!$F$3:$F$160)</f>
        <v>0</v>
      </c>
      <c r="F10" s="108">
        <f>+SUMIF(Hoja4!$B$3:$B$160,$A10,Hoja4!$J$3:$J$160)</f>
        <v>225245181.94</v>
      </c>
      <c r="G10" s="108">
        <f ca="1">+SUMIF(Hoja4!$B$3:$B$160,$A10,Hoja4!$K$3:$K$160)</f>
        <v>39176818.060000002</v>
      </c>
      <c r="H10" s="169">
        <f>+IFERROR(Hoja4!L6,0)</f>
        <v>0.85183979373879626</v>
      </c>
      <c r="I10" s="169">
        <f ca="1">+IFERROR(Hoja4!M6,0)</f>
        <v>0.14816020626120369</v>
      </c>
    </row>
    <row r="11" spans="1:11" x14ac:dyDescent="0.25">
      <c r="A11" s="75" t="str">
        <f>+Hoja4!B7</f>
        <v>E-00105</v>
      </c>
      <c r="B11" s="111" t="str">
        <f>+Hoja4!C7</f>
        <v>SUPLENCIAS</v>
      </c>
      <c r="C11" s="108">
        <f>+SUMIF(Hoja4!$B$3:$B$160,$A11,Hoja4!$D$3:$D$160)</f>
        <v>10000000</v>
      </c>
      <c r="D11" s="108">
        <f ca="1">+SUMIF(Hoja4!$B$3:$B$160,$A11,Hoja4!$E$3:$E$160)</f>
        <v>10000000</v>
      </c>
      <c r="E11" s="108">
        <f>+SUMIF(Hoja4!$B$3:$B$160,$A11,Hoja4!$F$3:$F$160)</f>
        <v>0</v>
      </c>
      <c r="F11" s="108">
        <f>+SUMIF(Hoja4!$B$3:$B$160,$A11,Hoja4!$J$3:$J$160)</f>
        <v>6852090</v>
      </c>
      <c r="G11" s="108">
        <f ca="1">+SUMIF(Hoja4!$B$3:$B$160,$A11,Hoja4!$K$3:$K$160)</f>
        <v>3147910</v>
      </c>
      <c r="H11" s="169">
        <f>+IFERROR(Hoja4!L7,0)</f>
        <v>0.68520899999999996</v>
      </c>
      <c r="I11" s="169">
        <f ca="1">+IFERROR(Hoja4!M7,0)</f>
        <v>0.31479099999999999</v>
      </c>
    </row>
    <row r="12" spans="1:11" x14ac:dyDescent="0.25">
      <c r="A12" s="73" t="str">
        <f>+Hoja4!B8</f>
        <v>E-002</v>
      </c>
      <c r="B12" s="110" t="str">
        <f>+Hoja4!C8</f>
        <v>REMUNERACIONES EVENT</v>
      </c>
      <c r="C12" s="74">
        <f>SUM(C13:C15)</f>
        <v>3075863466</v>
      </c>
      <c r="D12" s="74">
        <f t="shared" ref="D12:G12" ca="1" si="2">SUM(D13:D15)</f>
        <v>3075863466</v>
      </c>
      <c r="E12" s="74">
        <f t="shared" si="2"/>
        <v>0</v>
      </c>
      <c r="F12" s="74">
        <f t="shared" si="2"/>
        <v>3036567306.6099997</v>
      </c>
      <c r="G12" s="74">
        <f t="shared" ca="1" si="2"/>
        <v>39296159.390000001</v>
      </c>
      <c r="H12" s="179">
        <f>+IFERROR(Hoja4!L8,0)</f>
        <v>0.98722434860182429</v>
      </c>
      <c r="I12" s="179">
        <f ca="1">+IFERROR(Hoja4!M8,0)</f>
        <v>1.2775651398175552E-2</v>
      </c>
    </row>
    <row r="13" spans="1:11" x14ac:dyDescent="0.25">
      <c r="A13" s="75" t="str">
        <f>+Hoja4!B9</f>
        <v>E-00201</v>
      </c>
      <c r="B13" s="111" t="str">
        <f>+Hoja4!C9</f>
        <v>TIEMPO EXTRAORD.</v>
      </c>
      <c r="C13" s="108">
        <f>+SUMIF(Hoja4!$B$3:$B$160,$A13,Hoja4!$D$3:$D$160)</f>
        <v>30127466</v>
      </c>
      <c r="D13" s="108">
        <f ca="1">+SUMIF(Hoja4!$B$3:$B$160,$A13,Hoja4!$E$3:$E$160)</f>
        <v>30127466</v>
      </c>
      <c r="E13" s="108">
        <f>+SUMIF(Hoja4!$B$3:$B$160,$A13,Hoja4!$F$3:$F$160)</f>
        <v>0</v>
      </c>
      <c r="F13" s="108">
        <f>+SUMIF(Hoja4!$B$3:$B$160,$A13,Hoja4!$J$3:$J$160)</f>
        <v>22955911.330000002</v>
      </c>
      <c r="G13" s="108">
        <f ca="1">+SUMIF(Hoja4!$B$3:$B$160,$A13,Hoja4!$K$3:$K$160)</f>
        <v>7171554.6699999999</v>
      </c>
      <c r="H13" s="169">
        <f>+IFERROR(Hoja4!L9,0)</f>
        <v>0.76195957967390959</v>
      </c>
      <c r="I13" s="169">
        <f ca="1">+IFERROR(Hoja4!M9,0)</f>
        <v>0.23804042032609049</v>
      </c>
    </row>
    <row r="14" spans="1:11" x14ac:dyDescent="0.25">
      <c r="A14" s="75" t="str">
        <f>+Hoja4!B10</f>
        <v>E-00202</v>
      </c>
      <c r="B14" s="111" t="str">
        <f>+Hoja4!C10</f>
        <v>RECARGO DE FUNCIONES</v>
      </c>
      <c r="C14" s="108">
        <f>+SUMIF(Hoja4!$B$3:$B$160,$A14,Hoja4!$D$3:$D$160)</f>
        <v>9000000</v>
      </c>
      <c r="D14" s="108">
        <f ca="1">+SUMIF(Hoja4!$B$3:$B$160,$A14,Hoja4!$E$3:$E$160)</f>
        <v>9000000</v>
      </c>
      <c r="E14" s="108">
        <f>+SUMIF(Hoja4!$B$3:$B$160,$A14,Hoja4!$F$3:$F$160)</f>
        <v>0</v>
      </c>
      <c r="F14" s="108">
        <f>+SUMIF(Hoja4!$B$3:$B$160,$A14,Hoja4!$J$3:$J$160)</f>
        <v>7843142.5999999996</v>
      </c>
      <c r="G14" s="108">
        <f ca="1">+SUMIF(Hoja4!$B$3:$B$160,$A14,Hoja4!$K$3:$K$160)</f>
        <v>1156857.3999999999</v>
      </c>
      <c r="H14" s="169">
        <f>+IFERROR(Hoja4!L10,0)</f>
        <v>0.87146028888888882</v>
      </c>
      <c r="I14" s="169">
        <f ca="1">+IFERROR(Hoja4!M10,0)</f>
        <v>0.12853971111111109</v>
      </c>
    </row>
    <row r="15" spans="1:11" x14ac:dyDescent="0.25">
      <c r="A15" s="75" t="str">
        <f>+Hoja4!B11</f>
        <v>E-00203</v>
      </c>
      <c r="B15" s="111" t="str">
        <f>+Hoja4!C11</f>
        <v>DISPONIBILIDAD LAB.</v>
      </c>
      <c r="C15" s="108">
        <f>+SUMIF(Hoja4!$B$3:$B$160,$A15,Hoja4!$D$3:$D$160)</f>
        <v>3036736000</v>
      </c>
      <c r="D15" s="108">
        <f ca="1">+SUMIF(Hoja4!$B$3:$B$160,$A15,Hoja4!$E$3:$E$160)</f>
        <v>3036736000</v>
      </c>
      <c r="E15" s="108">
        <f>+SUMIF(Hoja4!$B$3:$B$160,$A15,Hoja4!$F$3:$F$160)</f>
        <v>0</v>
      </c>
      <c r="F15" s="108">
        <f>+SUMIF(Hoja4!$B$3:$B$160,$A15,Hoja4!$J$3:$J$160)</f>
        <v>3005768252.6799998</v>
      </c>
      <c r="G15" s="108">
        <f ca="1">+SUMIF(Hoja4!$B$3:$B$160,$A15,Hoja4!$K$3:$K$160)</f>
        <v>30967747.32</v>
      </c>
      <c r="H15" s="169">
        <f>+IFERROR(Hoja4!L11,0)</f>
        <v>0.98980229189498192</v>
      </c>
      <c r="I15" s="169">
        <f ca="1">+IFERROR(Hoja4!M11,0)</f>
        <v>1.019770810501802E-2</v>
      </c>
    </row>
    <row r="16" spans="1:11" x14ac:dyDescent="0.25">
      <c r="A16" s="73" t="str">
        <f>+Hoja4!B12</f>
        <v>E-003</v>
      </c>
      <c r="B16" s="110" t="str">
        <f>+Hoja4!C12</f>
        <v>INCENTIVOS SALARIAL</v>
      </c>
      <c r="C16" s="74">
        <f>SUM(C17:C21)</f>
        <v>36008546965</v>
      </c>
      <c r="D16" s="74">
        <f t="shared" ref="D16:G16" ca="1" si="3">SUM(D17:D21)</f>
        <v>36008546965</v>
      </c>
      <c r="E16" s="74">
        <f t="shared" si="3"/>
        <v>0</v>
      </c>
      <c r="F16" s="74">
        <f t="shared" si="3"/>
        <v>35146593983.560005</v>
      </c>
      <c r="G16" s="74">
        <f t="shared" ca="1" si="3"/>
        <v>861952981.44000006</v>
      </c>
      <c r="H16" s="179">
        <f>+IFERROR(Hoja4!L12,0)</f>
        <v>0.97606254475422705</v>
      </c>
      <c r="I16" s="179">
        <f ca="1">+IFERROR(Hoja4!M12,0)</f>
        <v>2.3937455245772926E-2</v>
      </c>
    </row>
    <row r="17" spans="1:11" x14ac:dyDescent="0.25">
      <c r="A17" s="75" t="str">
        <f>+Hoja4!B13</f>
        <v>E-00301</v>
      </c>
      <c r="B17" s="111" t="str">
        <f>+Hoja4!C13</f>
        <v>RETRIB AÑOS SERVIDOS</v>
      </c>
      <c r="C17" s="108">
        <f>+SUMIF(Hoja4!$B$3:$B$160,$A17,Hoja4!$D$3:$D$160)</f>
        <v>10368897175</v>
      </c>
      <c r="D17" s="108">
        <f ca="1">+SUMIF(Hoja4!$B$3:$B$160,$A17,Hoja4!$E$3:$E$160)</f>
        <v>10368897175</v>
      </c>
      <c r="E17" s="108">
        <f>+SUMIF(Hoja4!$B$3:$B$160,$A17,Hoja4!$F$3:$F$160)</f>
        <v>0</v>
      </c>
      <c r="F17" s="108">
        <f>+SUMIF(Hoja4!$B$3:$B$160,$A17,Hoja4!$J$3:$J$160)</f>
        <v>10176035302.76</v>
      </c>
      <c r="G17" s="108">
        <f ca="1">+SUMIF(Hoja4!$B$3:$B$160,$A17,Hoja4!$K$3:$K$160)</f>
        <v>192861872.24000001</v>
      </c>
      <c r="H17" s="169">
        <f>+IFERROR(Hoja4!L13,0)</f>
        <v>0.9813999628904605</v>
      </c>
      <c r="I17" s="169">
        <f ca="1">+IFERROR(Hoja4!M13,0)</f>
        <v>1.8600037109539568E-2</v>
      </c>
    </row>
    <row r="18" spans="1:11" x14ac:dyDescent="0.25">
      <c r="A18" s="75" t="str">
        <f>+Hoja4!B14</f>
        <v>E-00302</v>
      </c>
      <c r="B18" s="111" t="str">
        <f>+Hoja4!C14</f>
        <v>REST. EJERC LIB PROF</v>
      </c>
      <c r="C18" s="108">
        <f>+SUMIF(Hoja4!$B$3:$B$160,$A18,Hoja4!$D$3:$D$160)</f>
        <v>7321516016</v>
      </c>
      <c r="D18" s="108">
        <f ca="1">+SUMIF(Hoja4!$B$3:$B$160,$A18,Hoja4!$E$3:$E$160)</f>
        <v>7321516016</v>
      </c>
      <c r="E18" s="108">
        <f>+SUMIF(Hoja4!$B$3:$B$160,$A18,Hoja4!$F$3:$F$160)</f>
        <v>0</v>
      </c>
      <c r="F18" s="108">
        <f>+SUMIF(Hoja4!$B$3:$B$160,$A18,Hoja4!$J$3:$J$160)</f>
        <v>7188598739.000001</v>
      </c>
      <c r="G18" s="108">
        <f ca="1">+SUMIF(Hoja4!$B$3:$B$160,$A18,Hoja4!$K$3:$K$160)</f>
        <v>132917277.00000001</v>
      </c>
      <c r="H18" s="169">
        <f>+IFERROR(Hoja4!L14,0)</f>
        <v>0.98184566192172096</v>
      </c>
      <c r="I18" s="169">
        <f ca="1">+IFERROR(Hoja4!M14,0)</f>
        <v>1.8154338078279226E-2</v>
      </c>
    </row>
    <row r="19" spans="1:11" x14ac:dyDescent="0.25">
      <c r="A19" s="75" t="str">
        <f>+Hoja4!B15</f>
        <v>E-00303</v>
      </c>
      <c r="B19" s="111" t="str">
        <f>+Hoja4!C15</f>
        <v>DECIMOTERCER MES</v>
      </c>
      <c r="C19" s="108">
        <f>+SUMIF(Hoja4!$B$3:$B$160,$A19,Hoja4!$D$3:$D$160)</f>
        <v>5312901000</v>
      </c>
      <c r="D19" s="108">
        <f ca="1">+SUMIF(Hoja4!$B$3:$B$160,$A19,Hoja4!$E$3:$E$160)</f>
        <v>5312901000</v>
      </c>
      <c r="E19" s="108">
        <f>+SUMIF(Hoja4!$B$3:$B$160,$A19,Hoja4!$F$3:$F$160)</f>
        <v>0</v>
      </c>
      <c r="F19" s="108">
        <f>+SUMIF(Hoja4!$B$3:$B$160,$A19,Hoja4!$J$3:$J$160)</f>
        <v>5032159342.4099998</v>
      </c>
      <c r="G19" s="108">
        <f ca="1">+SUMIF(Hoja4!$B$3:$B$160,$A19,Hoja4!$K$3:$K$160)</f>
        <v>280741657.59000003</v>
      </c>
      <c r="H19" s="169">
        <f>+IFERROR(Hoja4!L15,0)</f>
        <v>0.94715850011321501</v>
      </c>
      <c r="I19" s="169">
        <f ca="1">+IFERROR(Hoja4!M15,0)</f>
        <v>5.2841499886785021E-2</v>
      </c>
    </row>
    <row r="20" spans="1:11" x14ac:dyDescent="0.25">
      <c r="A20" s="75" t="str">
        <f>+Hoja4!B16</f>
        <v>E-00304</v>
      </c>
      <c r="B20" s="111" t="str">
        <f>+Hoja4!C16</f>
        <v>SALARIO ESCOLAR</v>
      </c>
      <c r="C20" s="108">
        <f>+SUMIF(Hoja4!$B$3:$B$160,$A20,Hoja4!$D$3:$D$160)</f>
        <v>4607300000</v>
      </c>
      <c r="D20" s="108">
        <f ca="1">+SUMIF(Hoja4!$B$3:$B$160,$A20,Hoja4!$E$3:$E$160)</f>
        <v>4607300000</v>
      </c>
      <c r="E20" s="108">
        <f>+SUMIF(Hoja4!$B$3:$B$160,$A20,Hoja4!$F$3:$F$160)</f>
        <v>0</v>
      </c>
      <c r="F20" s="108">
        <f>+SUMIF(Hoja4!$B$3:$B$160,$A20,Hoja4!$J$3:$J$160)</f>
        <v>4547740549.1500006</v>
      </c>
      <c r="G20" s="108">
        <f ca="1">+SUMIF(Hoja4!$B$3:$B$160,$A20,Hoja4!$K$3:$K$160)</f>
        <v>59559450.849999994</v>
      </c>
      <c r="H20" s="169">
        <f>+IFERROR(Hoja4!L16,0)</f>
        <v>0.98707280818483722</v>
      </c>
      <c r="I20" s="169">
        <f ca="1">+IFERROR(Hoja4!M16,0)</f>
        <v>1.2927191815162893E-2</v>
      </c>
    </row>
    <row r="21" spans="1:11" x14ac:dyDescent="0.25">
      <c r="A21" s="75" t="str">
        <f>+Hoja4!B17</f>
        <v>E-00399</v>
      </c>
      <c r="B21" s="111" t="str">
        <f>+Hoja4!C17</f>
        <v>OTROS INCENT SALAR.</v>
      </c>
      <c r="C21" s="108">
        <f>+SUMIF(Hoja4!$B$3:$B$160,$A21,Hoja4!$D$3:$D$160)</f>
        <v>8397932774</v>
      </c>
      <c r="D21" s="108">
        <f ca="1">+SUMIF(Hoja4!$B$3:$B$160,$A21,Hoja4!$E$3:$E$160)</f>
        <v>8397932774</v>
      </c>
      <c r="E21" s="108">
        <f>+SUMIF(Hoja4!$B$3:$B$160,$A21,Hoja4!$F$3:$F$160)</f>
        <v>0</v>
      </c>
      <c r="F21" s="108">
        <f>+SUMIF(Hoja4!$B$3:$B$160,$A21,Hoja4!$J$3:$J$160)</f>
        <v>8202060050.2399998</v>
      </c>
      <c r="G21" s="108">
        <f ca="1">+SUMIF(Hoja4!$B$3:$B$160,$A21,Hoja4!$K$3:$K$160)</f>
        <v>195872723.75999999</v>
      </c>
      <c r="H21" s="169">
        <f>+IFERROR(Hoja4!L17,0)</f>
        <v>0.97667607862182204</v>
      </c>
      <c r="I21" s="169">
        <f ca="1">+IFERROR(Hoja4!M17,0)</f>
        <v>2.3323921378177966E-2</v>
      </c>
    </row>
    <row r="22" spans="1:11" x14ac:dyDescent="0.25">
      <c r="A22" s="73" t="str">
        <f>+Hoja4!B18</f>
        <v>E-004</v>
      </c>
      <c r="B22" s="110" t="str">
        <f>+Hoja4!C18</f>
        <v>CONT PATR DESA S.SOC</v>
      </c>
      <c r="C22" s="74">
        <f>SUM(C23:C24)</f>
        <v>5970848670</v>
      </c>
      <c r="D22" s="74">
        <f t="shared" ref="D22:G22" ca="1" si="4">SUM(D23:D24)</f>
        <v>5970848670</v>
      </c>
      <c r="E22" s="74">
        <f t="shared" si="4"/>
        <v>0</v>
      </c>
      <c r="F22" s="74">
        <f t="shared" si="4"/>
        <v>5852756657.04</v>
      </c>
      <c r="G22" s="74">
        <f t="shared" ca="1" si="4"/>
        <v>118092012.95999999</v>
      </c>
      <c r="H22" s="179">
        <f>+IFERROR(Hoja4!L18,0)</f>
        <v>0.98022190487704985</v>
      </c>
      <c r="I22" s="179">
        <f ca="1">+IFERROR(Hoja4!M18,0)</f>
        <v>1.9778095122950087E-2</v>
      </c>
    </row>
    <row r="23" spans="1:11" x14ac:dyDescent="0.25">
      <c r="A23" s="75" t="str">
        <f>+Hoja4!B19</f>
        <v>E-00401</v>
      </c>
      <c r="B23" s="111" t="str">
        <f>+Hoja4!C19</f>
        <v>CONT P.SEG.S C.C.S.S</v>
      </c>
      <c r="C23" s="108">
        <f>+SUMIF(Hoja4!$B$3:$B$160,$A23,Hoja4!$D$3:$D$160)</f>
        <v>5659181686</v>
      </c>
      <c r="D23" s="108">
        <f ca="1">+SUMIF(Hoja4!$B$3:$B$160,$A23,Hoja4!$E$3:$E$160)</f>
        <v>5659181686</v>
      </c>
      <c r="E23" s="108">
        <f>+SUMIF(Hoja4!$B$3:$B$160,$A23,Hoja4!$F$3:$F$160)</f>
        <v>0</v>
      </c>
      <c r="F23" s="108">
        <f>+SUMIF(Hoja4!$B$3:$B$160,$A23,Hoja4!$J$3:$J$160)</f>
        <v>5551338910.5299997</v>
      </c>
      <c r="G23" s="108">
        <f ca="1">+SUMIF(Hoja4!$B$3:$B$160,$A23,Hoja4!$K$3:$K$160)</f>
        <v>107842775.47</v>
      </c>
      <c r="H23" s="169">
        <f>+IFERROR(Hoja4!L19,0)</f>
        <v>0.98094375097785114</v>
      </c>
      <c r="I23" s="169">
        <f ca="1">+IFERROR(Hoja4!M19,0)</f>
        <v>1.9056249022148818E-2</v>
      </c>
    </row>
    <row r="24" spans="1:11" x14ac:dyDescent="0.25">
      <c r="A24" s="75" t="str">
        <f>+Hoja4!B20</f>
        <v>E-00405</v>
      </c>
      <c r="B24" s="111" t="str">
        <f>+Hoja4!C20</f>
        <v>CONTRIB PAT B.P.D.C.</v>
      </c>
      <c r="C24" s="108">
        <f>+SUMIF(Hoja4!$B$3:$B$160,$A24,Hoja4!$D$3:$D$160)</f>
        <v>311666984</v>
      </c>
      <c r="D24" s="108">
        <f ca="1">+SUMIF(Hoja4!$B$3:$B$160,$A24,Hoja4!$E$3:$E$160)</f>
        <v>311666984</v>
      </c>
      <c r="E24" s="108">
        <f>+SUMIF(Hoja4!$B$3:$B$160,$A24,Hoja4!$F$3:$F$160)</f>
        <v>0</v>
      </c>
      <c r="F24" s="108">
        <f>+SUMIF(Hoja4!$B$3:$B$160,$A24,Hoja4!$J$3:$J$160)</f>
        <v>301417746.50999999</v>
      </c>
      <c r="G24" s="108">
        <f ca="1">+SUMIF(Hoja4!$B$3:$B$160,$A24,Hoja4!$K$3:$K$160)</f>
        <v>10249237.49</v>
      </c>
      <c r="H24" s="169">
        <f>+IFERROR(Hoja4!L20,0)</f>
        <v>0.96711477950452396</v>
      </c>
      <c r="I24" s="169">
        <f ca="1">+IFERROR(Hoja4!M20,0)</f>
        <v>3.2885220495476028E-2</v>
      </c>
    </row>
    <row r="25" spans="1:11" x14ac:dyDescent="0.25">
      <c r="A25" s="73" t="str">
        <f>+Hoja4!B21</f>
        <v>E-005</v>
      </c>
      <c r="B25" s="110" t="str">
        <f>+Hoja4!C21</f>
        <v>CONT PATR F.PENS OTR</v>
      </c>
      <c r="C25" s="74">
        <f>SUM(C26:C29)</f>
        <v>6062975835</v>
      </c>
      <c r="D25" s="74">
        <f t="shared" ref="D25:G25" ca="1" si="5">SUM(D26:D29)</f>
        <v>6062975835</v>
      </c>
      <c r="E25" s="74">
        <f t="shared" si="5"/>
        <v>0</v>
      </c>
      <c r="F25" s="74">
        <f t="shared" si="5"/>
        <v>5743120878.7699995</v>
      </c>
      <c r="G25" s="74">
        <f t="shared" ca="1" si="5"/>
        <v>319854956.23000002</v>
      </c>
      <c r="H25" s="179">
        <f>+IFERROR(Hoja4!L21,0)</f>
        <v>0.94724456027293413</v>
      </c>
      <c r="I25" s="179">
        <f ca="1">+IFERROR(Hoja4!M21,0)</f>
        <v>5.2755439727065978E-2</v>
      </c>
    </row>
    <row r="26" spans="1:11" s="23" customFormat="1" x14ac:dyDescent="0.25">
      <c r="A26" s="75" t="str">
        <f>+Hoja4!B22</f>
        <v>E-00501</v>
      </c>
      <c r="B26" s="111" t="str">
        <f>+Hoja4!C22</f>
        <v>CONT P.SPENS.C.C.S.S</v>
      </c>
      <c r="C26" s="108">
        <f>+SUMIF(Hoja4!$B$3:$B$160,$A26,Hoja4!$D$3:$D$160)</f>
        <v>3137474986</v>
      </c>
      <c r="D26" s="108">
        <f ca="1">+SUMIF(Hoja4!$B$3:$B$160,$A26,Hoja4!$E$3:$E$160)</f>
        <v>3137474986</v>
      </c>
      <c r="E26" s="108">
        <f>+SUMIF(Hoja4!$B$3:$B$160,$A26,Hoja4!$F$3:$F$160)</f>
        <v>0</v>
      </c>
      <c r="F26" s="108">
        <f>+SUMIF(Hoja4!$B$3:$B$160,$A26,Hoja4!$J$3:$J$160)</f>
        <v>2930655635.4299998</v>
      </c>
      <c r="G26" s="108">
        <f ca="1">+SUMIF(Hoja4!$B$3:$B$160,$A26,Hoja4!$K$3:$K$160)</f>
        <v>206819350.56999999</v>
      </c>
      <c r="H26" s="179">
        <f>+IFERROR(Hoja4!L22,0)</f>
        <v>0.93408095634455512</v>
      </c>
      <c r="I26" s="179">
        <f ca="1">+IFERROR(Hoja4!M22,0)</f>
        <v>6.5919043655444778E-2</v>
      </c>
      <c r="J26" s="154"/>
      <c r="K26" s="154"/>
    </row>
    <row r="27" spans="1:11" x14ac:dyDescent="0.25">
      <c r="A27" s="75" t="str">
        <f>+Hoja4!B23</f>
        <v>E-00502</v>
      </c>
      <c r="B27" s="111" t="str">
        <f>+Hoja4!C23</f>
        <v>APORT P.RÉG.OBLI.P.C</v>
      </c>
      <c r="C27" s="108">
        <f>+SUMIF(Hoja4!$B$3:$B$160,$A27,Hoja4!$D$3:$D$160)</f>
        <v>932995950</v>
      </c>
      <c r="D27" s="108">
        <f ca="1">+SUMIF(Hoja4!$B$3:$B$160,$A27,Hoja4!$E$3:$E$160)</f>
        <v>932995950</v>
      </c>
      <c r="E27" s="108">
        <f>+SUMIF(Hoja4!$B$3:$B$160,$A27,Hoja4!$F$3:$F$160)</f>
        <v>0</v>
      </c>
      <c r="F27" s="108">
        <f>+SUMIF(Hoja4!$B$3:$B$160,$A27,Hoja4!$J$3:$J$160)</f>
        <v>904192878.53999996</v>
      </c>
      <c r="G27" s="108">
        <f ca="1">+SUMIF(Hoja4!$B$3:$B$160,$A27,Hoja4!$K$3:$K$160)</f>
        <v>28803071.460000001</v>
      </c>
      <c r="H27" s="169">
        <f>+IFERROR(Hoja4!L23,0)</f>
        <v>0.96912840676318046</v>
      </c>
      <c r="I27" s="169">
        <f ca="1">+IFERROR(Hoja4!M23,0)</f>
        <v>3.0871593236819518E-2</v>
      </c>
    </row>
    <row r="28" spans="1:11" x14ac:dyDescent="0.25">
      <c r="A28" s="75" t="str">
        <f>+Hoja4!B24</f>
        <v>E-00503</v>
      </c>
      <c r="B28" s="111" t="str">
        <f>+Hoja4!C24</f>
        <v>APORT P.FOND.CAP.LAB</v>
      </c>
      <c r="C28" s="108">
        <f>+SUMIF(Hoja4!$B$3:$B$160,$A28,Hoja4!$D$3:$D$160)</f>
        <v>1865989899</v>
      </c>
      <c r="D28" s="108">
        <f ca="1">+SUMIF(Hoja4!$B$3:$B$160,$A28,Hoja4!$E$3:$E$160)</f>
        <v>1865989899</v>
      </c>
      <c r="E28" s="108">
        <f>+SUMIF(Hoja4!$B$3:$B$160,$A28,Hoja4!$F$3:$F$160)</f>
        <v>0</v>
      </c>
      <c r="F28" s="108">
        <f>+SUMIF(Hoja4!$B$3:$B$160,$A28,Hoja4!$J$3:$J$160)</f>
        <v>1808495986.0899999</v>
      </c>
      <c r="G28" s="108">
        <f ca="1">+SUMIF(Hoja4!$B$3:$B$160,$A28,Hoja4!$K$3:$K$160)</f>
        <v>57493912.909999996</v>
      </c>
      <c r="H28" s="169">
        <f>+IFERROR(Hoja4!L24,0)</f>
        <v>0.9691885186834015</v>
      </c>
      <c r="I28" s="169">
        <f ca="1">+IFERROR(Hoja4!M24,0)</f>
        <v>3.0811481316598485E-2</v>
      </c>
    </row>
    <row r="29" spans="1:11" x14ac:dyDescent="0.25">
      <c r="A29" s="75" t="str">
        <f>+Hoja4!B25</f>
        <v>E-00505</v>
      </c>
      <c r="B29" s="111" t="str">
        <f>+Hoja4!C25</f>
        <v>CONT.PAT.A.F.A.EPRIV</v>
      </c>
      <c r="C29" s="108">
        <f>+SUMIF(Hoja4!$B$3:$B$160,$A29,Hoja4!$D$3:$D$160)</f>
        <v>126515000</v>
      </c>
      <c r="D29" s="108">
        <f ca="1">+SUMIF(Hoja4!$B$3:$B$160,$A29,Hoja4!$E$3:$E$160)</f>
        <v>126515000</v>
      </c>
      <c r="E29" s="108">
        <f>+SUMIF(Hoja4!$B$3:$B$160,$A29,Hoja4!$F$3:$F$160)</f>
        <v>0</v>
      </c>
      <c r="F29" s="108">
        <f>+SUMIF(Hoja4!$B$3:$B$160,$A29,Hoja4!$J$3:$J$160)</f>
        <v>99776378.709999993</v>
      </c>
      <c r="G29" s="108">
        <f ca="1">+SUMIF(Hoja4!$B$3:$B$160,$A29,Hoja4!$K$3:$K$160)</f>
        <v>26738621.289999999</v>
      </c>
      <c r="H29" s="169">
        <f>+IFERROR(Hoja4!L25,0)</f>
        <v>0.78865256064498279</v>
      </c>
      <c r="I29" s="169">
        <f ca="1">+IFERROR(Hoja4!M25,0)</f>
        <v>0.21134743935501718</v>
      </c>
    </row>
    <row r="30" spans="1:11" x14ac:dyDescent="0.25">
      <c r="A30" s="73" t="str">
        <f>+Hoja4!B26</f>
        <v>E-099</v>
      </c>
      <c r="B30" s="110" t="str">
        <f>+Hoja4!C26</f>
        <v>REMUNERACIONES DIVER</v>
      </c>
      <c r="C30" s="74">
        <f>+C31</f>
        <v>300000</v>
      </c>
      <c r="D30" s="74">
        <f t="shared" ref="D30:G30" ca="1" si="6">+D31</f>
        <v>300000</v>
      </c>
      <c r="E30" s="74">
        <f t="shared" si="6"/>
        <v>0</v>
      </c>
      <c r="F30" s="74">
        <f t="shared" si="6"/>
        <v>300000</v>
      </c>
      <c r="G30" s="74">
        <f t="shared" ca="1" si="6"/>
        <v>0</v>
      </c>
      <c r="H30" s="179">
        <f>+IFERROR(Hoja4!L26,0)</f>
        <v>1</v>
      </c>
      <c r="I30" s="179">
        <f ca="1">+IFERROR(Hoja4!M26,0)</f>
        <v>0</v>
      </c>
    </row>
    <row r="31" spans="1:11" x14ac:dyDescent="0.25">
      <c r="A31" s="75" t="str">
        <f>+Hoja4!B27</f>
        <v>E-09901</v>
      </c>
      <c r="B31" s="111" t="str">
        <f>+Hoja4!C27</f>
        <v>GASTOS REPRES.PERS.</v>
      </c>
      <c r="C31" s="108">
        <f>+SUMIF(Hoja4!$B$3:$B$160,$A31,Hoja4!$D$3:$D$160)</f>
        <v>300000</v>
      </c>
      <c r="D31" s="108">
        <f ca="1">+SUMIF(Hoja4!$B$3:$B$160,$A31,Hoja4!$E$3:$E$160)</f>
        <v>300000</v>
      </c>
      <c r="E31" s="108">
        <f>+SUMIF(Hoja4!$B$3:$B$160,$A31,Hoja4!$F$3:$F$160)</f>
        <v>0</v>
      </c>
      <c r="F31" s="108">
        <f>+SUMIF(Hoja4!$B$3:$B$160,$A31,Hoja4!$J$3:$J$160)</f>
        <v>300000</v>
      </c>
      <c r="G31" s="108">
        <f ca="1">+SUMIF(Hoja4!$B$3:$B$160,$A31,Hoja4!$K$3:$K$160)</f>
        <v>0</v>
      </c>
      <c r="H31" s="169">
        <f>+IFERROR(Hoja4!L27,0)</f>
        <v>1</v>
      </c>
      <c r="I31" s="169">
        <f ca="1">+IFERROR(Hoja4!M27,0)</f>
        <v>0</v>
      </c>
    </row>
    <row r="32" spans="1:11" x14ac:dyDescent="0.25">
      <c r="A32" s="115" t="str">
        <f>+Hoja4!B28</f>
        <v>E-1</v>
      </c>
      <c r="B32" s="116" t="str">
        <f>+Hoja4!C28</f>
        <v>SERVICIOS</v>
      </c>
      <c r="C32" s="125">
        <f>+C33+C39+C45+C52+C60+C65+C67+C71+C79+C81</f>
        <v>9118490598</v>
      </c>
      <c r="D32" s="125">
        <f t="shared" ref="D32:G32" ca="1" si="7">+D33+D39+D45+D52+D60+D65+D67+D71+D79+D81</f>
        <v>9118490575.4300003</v>
      </c>
      <c r="E32" s="125">
        <f t="shared" si="7"/>
        <v>4362972</v>
      </c>
      <c r="F32" s="125">
        <f t="shared" si="7"/>
        <v>8743342519.4899998</v>
      </c>
      <c r="G32" s="125">
        <f t="shared" ca="1" si="7"/>
        <v>370785106.50999999</v>
      </c>
      <c r="H32" s="178">
        <f>+IFERROR(Hoja4!L28,0)</f>
        <v>0.95885853316641212</v>
      </c>
      <c r="I32" s="178">
        <f ca="1">+IFERROR(Hoja4!M28,0)</f>
        <v>4.0662991591100171E-2</v>
      </c>
      <c r="K32" s="25">
        <f>+C32-Estado!C62</f>
        <v>0</v>
      </c>
    </row>
    <row r="33" spans="1:11" x14ac:dyDescent="0.25">
      <c r="A33" s="73" t="str">
        <f>+Hoja4!B29</f>
        <v>E-101</v>
      </c>
      <c r="B33" s="110" t="str">
        <f>+Hoja4!C29</f>
        <v>ALQUILERES</v>
      </c>
      <c r="C33" s="74">
        <f>SUM(C34:C38)</f>
        <v>1593552462.5</v>
      </c>
      <c r="D33" s="74">
        <f t="shared" ref="D33:G33" ca="1" si="8">SUM(D34:D38)</f>
        <v>1593552462.1700001</v>
      </c>
      <c r="E33" s="74">
        <f t="shared" si="8"/>
        <v>0</v>
      </c>
      <c r="F33" s="74">
        <f t="shared" si="8"/>
        <v>1470046900.8599999</v>
      </c>
      <c r="G33" s="74">
        <f t="shared" ca="1" si="8"/>
        <v>123505561.64</v>
      </c>
      <c r="H33" s="179">
        <f>+IFERROR(Hoja4!L29,0)</f>
        <v>0.9224967081119867</v>
      </c>
      <c r="I33" s="179">
        <f ca="1">+IFERROR(Hoja4!M29,0)</f>
        <v>7.7503291888013387E-2</v>
      </c>
    </row>
    <row r="34" spans="1:11" x14ac:dyDescent="0.25">
      <c r="A34" s="75" t="str">
        <f>+Hoja4!B30</f>
        <v>E-10101</v>
      </c>
      <c r="B34" s="111" t="str">
        <f>+Hoja4!C30</f>
        <v>ALQ EDIF, LOC.Y TERR</v>
      </c>
      <c r="C34" s="108">
        <f>+SUMIF(Hoja4!$B$3:$B$160,$A34,Hoja4!$D$3:$D$160)</f>
        <v>602362154</v>
      </c>
      <c r="D34" s="108">
        <f ca="1">+SUMIF(Hoja4!$B$3:$B$160,$A34,Hoja4!$E$3:$E$160)</f>
        <v>602362154</v>
      </c>
      <c r="E34" s="108">
        <f>+SUMIF(Hoja4!$B$3:$B$160,$A34,Hoja4!$F$3:$F$160)</f>
        <v>0</v>
      </c>
      <c r="F34" s="108">
        <f>+SUMIF(Hoja4!$B$3:$B$160,$A34,Hoja4!$J$3:$J$160)</f>
        <v>594455752.81999993</v>
      </c>
      <c r="G34" s="108">
        <f ca="1">+SUMIF(Hoja4!$B$3:$B$160,$A34,Hoja4!$K$3:$K$160)</f>
        <v>7906401.1800000006</v>
      </c>
      <c r="H34" s="169">
        <f>+IFERROR(Hoja4!L30,0)</f>
        <v>0.98687433941940506</v>
      </c>
      <c r="I34" s="169">
        <f ca="1">+IFERROR(Hoja4!M30,0)</f>
        <v>1.3125660580594844E-2</v>
      </c>
    </row>
    <row r="35" spans="1:11" x14ac:dyDescent="0.25">
      <c r="A35" s="75" t="str">
        <f>+Hoja4!B31</f>
        <v>E-10102</v>
      </c>
      <c r="B35" s="111" t="str">
        <f>+Hoja4!C31</f>
        <v>ALQ DE MAQ, EQ Y MOB</v>
      </c>
      <c r="C35" s="108">
        <f>+SUMIF(Hoja4!$B$3:$B$160,$A35,Hoja4!$D$3:$D$160)</f>
        <v>8776000</v>
      </c>
      <c r="D35" s="108">
        <f ca="1">+SUMIF(Hoja4!$B$3:$B$160,$A35,Hoja4!$E$3:$E$160)</f>
        <v>8776000</v>
      </c>
      <c r="E35" s="108">
        <f>+SUMIF(Hoja4!$B$3:$B$160,$A35,Hoja4!$F$3:$F$160)</f>
        <v>0</v>
      </c>
      <c r="F35" s="108">
        <f>+SUMIF(Hoja4!$B$3:$B$160,$A35,Hoja4!$J$3:$J$160)</f>
        <v>6690239.1799999997</v>
      </c>
      <c r="G35" s="108">
        <f ca="1">+SUMIF(Hoja4!$B$3:$B$160,$A35,Hoja4!$K$3:$K$160)</f>
        <v>2085760.82</v>
      </c>
      <c r="H35" s="169">
        <f>+IFERROR(Hoja4!L31,0)</f>
        <v>0.76233354375569728</v>
      </c>
      <c r="I35" s="169">
        <f ca="1">+IFERROR(Hoja4!M31,0)</f>
        <v>0.23766645624430266</v>
      </c>
    </row>
    <row r="36" spans="1:11" x14ac:dyDescent="0.25">
      <c r="A36" s="75" t="str">
        <f>+Hoja4!B32</f>
        <v>E-10103</v>
      </c>
      <c r="B36" s="111" t="str">
        <f>+Hoja4!C32</f>
        <v>ALQ. EQ. DE COMPUTO</v>
      </c>
      <c r="C36" s="108">
        <f>+SUMIF(Hoja4!$B$3:$B$160,$A36,Hoja4!$D$3:$D$160)</f>
        <v>947688283.5</v>
      </c>
      <c r="D36" s="108">
        <f ca="1">+SUMIF(Hoja4!$B$3:$B$160,$A36,Hoja4!$E$3:$E$160)</f>
        <v>947688283.16999996</v>
      </c>
      <c r="E36" s="108">
        <f>+SUMIF(Hoja4!$B$3:$B$160,$A36,Hoja4!$F$3:$F$160)</f>
        <v>0</v>
      </c>
      <c r="F36" s="108">
        <f>+SUMIF(Hoja4!$B$3:$B$160,$A36,Hoja4!$J$3:$J$160)</f>
        <v>835789014.61000001</v>
      </c>
      <c r="G36" s="108">
        <f ca="1">+SUMIF(Hoja4!$B$3:$B$160,$A36,Hoja4!$K$3:$K$160)</f>
        <v>111899268.89</v>
      </c>
      <c r="H36" s="169">
        <f>+IFERROR(Hoja4!L32,0)</f>
        <v>0.8819239713751299</v>
      </c>
      <c r="I36" s="169">
        <f ca="1">+IFERROR(Hoja4!M32,0)</f>
        <v>0.11807602862487009</v>
      </c>
    </row>
    <row r="37" spans="1:11" x14ac:dyDescent="0.25">
      <c r="A37" s="75" t="str">
        <f>+Hoja4!B33</f>
        <v>E-10104</v>
      </c>
      <c r="B37" s="111" t="str">
        <f>+Hoja4!C33</f>
        <v>ALQ Y DERECH P.TELEC</v>
      </c>
      <c r="C37" s="108">
        <f>+SUMIF(Hoja4!$B$3:$B$160,$A37,Hoja4!$D$3:$D$160)</f>
        <v>9422000</v>
      </c>
      <c r="D37" s="108">
        <f ca="1">+SUMIF(Hoja4!$B$3:$B$160,$A37,Hoja4!$E$3:$E$160)</f>
        <v>9422000</v>
      </c>
      <c r="E37" s="108">
        <f>+SUMIF(Hoja4!$B$3:$B$160,$A37,Hoja4!$F$3:$F$160)</f>
        <v>0</v>
      </c>
      <c r="F37" s="108">
        <f>+SUMIF(Hoja4!$B$3:$B$160,$A37,Hoja4!$J$3:$J$160)</f>
        <v>9199163</v>
      </c>
      <c r="G37" s="108">
        <f ca="1">+SUMIF(Hoja4!$B$3:$B$160,$A37,Hoja4!$K$3:$K$160)</f>
        <v>222837</v>
      </c>
      <c r="H37" s="169">
        <f>+IFERROR(Hoja4!L33,0)</f>
        <v>0.97634928889832306</v>
      </c>
      <c r="I37" s="169">
        <f ca="1">+IFERROR(Hoja4!M33,0)</f>
        <v>2.3650711101676925E-2</v>
      </c>
    </row>
    <row r="38" spans="1:11" x14ac:dyDescent="0.25">
      <c r="A38" s="75" t="str">
        <f>+Hoja4!B34</f>
        <v>E-10199</v>
      </c>
      <c r="B38" s="111" t="str">
        <f>+Hoja4!C34</f>
        <v>OTROS ALQUILERES</v>
      </c>
      <c r="C38" s="108">
        <f>+SUMIF(Hoja4!$B$3:$B$160,$A38,Hoja4!$D$3:$D$160)</f>
        <v>25304025</v>
      </c>
      <c r="D38" s="108">
        <f ca="1">+SUMIF(Hoja4!$B$3:$B$160,$A38,Hoja4!$E$3:$E$160)</f>
        <v>25304025</v>
      </c>
      <c r="E38" s="108">
        <f>+SUMIF(Hoja4!$B$3:$B$160,$A38,Hoja4!$F$3:$F$160)</f>
        <v>0</v>
      </c>
      <c r="F38" s="108">
        <f>+SUMIF(Hoja4!$B$3:$B$160,$A38,Hoja4!$J$3:$J$160)</f>
        <v>23912731.25</v>
      </c>
      <c r="G38" s="108">
        <f ca="1">+SUMIF(Hoja4!$B$3:$B$160,$A38,Hoja4!$K$3:$K$160)</f>
        <v>1391293.75</v>
      </c>
      <c r="H38" s="169">
        <f>+IFERROR(Hoja4!L34,0)</f>
        <v>0.94501689948535861</v>
      </c>
      <c r="I38" s="169">
        <f ca="1">+IFERROR(Hoja4!M34,0)</f>
        <v>5.4983100514641448E-2</v>
      </c>
    </row>
    <row r="39" spans="1:11" s="23" customFormat="1" x14ac:dyDescent="0.25">
      <c r="A39" s="73" t="str">
        <f>+Hoja4!B35</f>
        <v>E-102</v>
      </c>
      <c r="B39" s="110" t="str">
        <f>+Hoja4!C35</f>
        <v>SERVICIOS BÁSICOS</v>
      </c>
      <c r="C39" s="74">
        <f>SUM(C40:C44)</f>
        <v>4724854060</v>
      </c>
      <c r="D39" s="74">
        <f t="shared" ref="D39:G39" ca="1" si="9">SUM(D40:D44)</f>
        <v>4724854059.3400002</v>
      </c>
      <c r="E39" s="74">
        <f t="shared" si="9"/>
        <v>0</v>
      </c>
      <c r="F39" s="74">
        <f t="shared" si="9"/>
        <v>4705700932.3600006</v>
      </c>
      <c r="G39" s="74">
        <f t="shared" ca="1" si="9"/>
        <v>19153127.640000001</v>
      </c>
      <c r="H39" s="179">
        <f>+IFERROR(Hoja4!L35,0)</f>
        <v>0.99594630280707563</v>
      </c>
      <c r="I39" s="179">
        <f ca="1">+IFERROR(Hoja4!M35,0)</f>
        <v>4.053697192924516E-3</v>
      </c>
      <c r="J39" s="154"/>
      <c r="K39" s="154"/>
    </row>
    <row r="40" spans="1:11" x14ac:dyDescent="0.25">
      <c r="A40" s="75" t="str">
        <f>+Hoja4!B36</f>
        <v>E-10201</v>
      </c>
      <c r="B40" s="111" t="str">
        <f>+Hoja4!C36</f>
        <v>SERV.AGUA Y ALCANT.</v>
      </c>
      <c r="C40" s="108">
        <f>+SUMIF(Hoja4!$B$3:$B$160,$A40,Hoja4!$D$3:$D$160)</f>
        <v>2588184331</v>
      </c>
      <c r="D40" s="108">
        <f ca="1">+SUMIF(Hoja4!$B$3:$B$160,$A40,Hoja4!$E$3:$E$160)</f>
        <v>2588184330.6700001</v>
      </c>
      <c r="E40" s="108">
        <f>+SUMIF(Hoja4!$B$3:$B$160,$A40,Hoja4!$F$3:$F$160)</f>
        <v>0</v>
      </c>
      <c r="F40" s="108">
        <f>+SUMIF(Hoja4!$B$3:$B$160,$A40,Hoja4!$J$3:$J$160)</f>
        <v>2587038383.6700001</v>
      </c>
      <c r="G40" s="108">
        <f ca="1">+SUMIF(Hoja4!$B$3:$B$160,$A40,Hoja4!$K$3:$K$160)</f>
        <v>1145947.33</v>
      </c>
      <c r="H40" s="169">
        <f>+IFERROR(Hoja4!L36,0)</f>
        <v>0.99955723890440329</v>
      </c>
      <c r="I40" s="169">
        <f ca="1">+IFERROR(Hoja4!M36,0)</f>
        <v>4.4276109559678809E-4</v>
      </c>
    </row>
    <row r="41" spans="1:11" x14ac:dyDescent="0.25">
      <c r="A41" s="75" t="str">
        <f>+Hoja4!B37</f>
        <v>E-10202</v>
      </c>
      <c r="B41" s="111" t="str">
        <f>+Hoja4!C37</f>
        <v>SERV ENERGÍA ELÉCT</v>
      </c>
      <c r="C41" s="108">
        <f>+SUMIF(Hoja4!$B$3:$B$160,$A41,Hoja4!$D$3:$D$160)</f>
        <v>1360518097</v>
      </c>
      <c r="D41" s="108">
        <f ca="1">+SUMIF(Hoja4!$B$3:$B$160,$A41,Hoja4!$E$3:$E$160)</f>
        <v>1360518097</v>
      </c>
      <c r="E41" s="108">
        <f>+SUMIF(Hoja4!$B$3:$B$160,$A41,Hoja4!$F$3:$F$160)</f>
        <v>0</v>
      </c>
      <c r="F41" s="108">
        <f>+SUMIF(Hoja4!$B$3:$B$160,$A41,Hoja4!$J$3:$J$160)</f>
        <v>1359809597</v>
      </c>
      <c r="G41" s="108">
        <f ca="1">+SUMIF(Hoja4!$B$3:$B$160,$A41,Hoja4!$K$3:$K$160)</f>
        <v>708500</v>
      </c>
      <c r="H41" s="169">
        <f>+IFERROR(Hoja4!L37,0)</f>
        <v>0.99947924250213038</v>
      </c>
      <c r="I41" s="169">
        <f ca="1">+IFERROR(Hoja4!M37,0)</f>
        <v>5.2075749786957809E-4</v>
      </c>
    </row>
    <row r="42" spans="1:11" x14ac:dyDescent="0.25">
      <c r="A42" s="75" t="str">
        <f>+Hoja4!B38</f>
        <v>E-10203</v>
      </c>
      <c r="B42" s="111" t="str">
        <f>+Hoja4!C38</f>
        <v>SERVICIO DE CORREO</v>
      </c>
      <c r="C42" s="108">
        <f>+SUMIF(Hoja4!$B$3:$B$160,$A42,Hoja4!$D$3:$D$160)</f>
        <v>16865000</v>
      </c>
      <c r="D42" s="108">
        <f ca="1">+SUMIF(Hoja4!$B$3:$B$160,$A42,Hoja4!$E$3:$E$160)</f>
        <v>16865000</v>
      </c>
      <c r="E42" s="108">
        <f>+SUMIF(Hoja4!$B$3:$B$160,$A42,Hoja4!$F$3:$F$160)</f>
        <v>0</v>
      </c>
      <c r="F42" s="108">
        <f>+SUMIF(Hoja4!$B$3:$B$160,$A42,Hoja4!$J$3:$J$160)</f>
        <v>16837200</v>
      </c>
      <c r="G42" s="108">
        <f ca="1">+SUMIF(Hoja4!$B$3:$B$160,$A42,Hoja4!$K$3:$K$160)</f>
        <v>27800</v>
      </c>
      <c r="H42" s="169">
        <f>+IFERROR(Hoja4!L38,0)</f>
        <v>0.99835161577230946</v>
      </c>
      <c r="I42" s="169">
        <f ca="1">+IFERROR(Hoja4!M38,0)</f>
        <v>1.6483842276904834E-3</v>
      </c>
    </row>
    <row r="43" spans="1:11" x14ac:dyDescent="0.25">
      <c r="A43" s="75" t="str">
        <f>+Hoja4!B39</f>
        <v>E-10204</v>
      </c>
      <c r="B43" s="111" t="str">
        <f>+Hoja4!C39</f>
        <v>SERV.TELECOMUNIC.</v>
      </c>
      <c r="C43" s="108">
        <f>+SUMIF(Hoja4!$B$3:$B$160,$A43,Hoja4!$D$3:$D$160)</f>
        <v>610623660</v>
      </c>
      <c r="D43" s="108">
        <f ca="1">+SUMIF(Hoja4!$B$3:$B$160,$A43,Hoja4!$E$3:$E$160)</f>
        <v>610623660</v>
      </c>
      <c r="E43" s="108">
        <f>+SUMIF(Hoja4!$B$3:$B$160,$A43,Hoja4!$F$3:$F$160)</f>
        <v>0</v>
      </c>
      <c r="F43" s="108">
        <f>+SUMIF(Hoja4!$B$3:$B$160,$A43,Hoja4!$J$3:$J$160)</f>
        <v>609517157.43000007</v>
      </c>
      <c r="G43" s="108">
        <f ca="1">+SUMIF(Hoja4!$B$3:$B$160,$A43,Hoja4!$K$3:$K$160)</f>
        <v>1106502.57</v>
      </c>
      <c r="H43" s="169">
        <f>+IFERROR(Hoja4!L39,0)</f>
        <v>0.99818791402547369</v>
      </c>
      <c r="I43" s="169">
        <f ca="1">+IFERROR(Hoja4!M39,0)</f>
        <v>1.8120859745264376E-3</v>
      </c>
    </row>
    <row r="44" spans="1:11" x14ac:dyDescent="0.25">
      <c r="A44" s="75" t="str">
        <f>+Hoja4!B40</f>
        <v>E-10299</v>
      </c>
      <c r="B44" s="111" t="str">
        <f>+Hoja4!C40</f>
        <v>OTROS SERV.BÁSICOS</v>
      </c>
      <c r="C44" s="108">
        <f>+SUMIF(Hoja4!$B$3:$B$160,$A44,Hoja4!$D$3:$D$160)</f>
        <v>148662972</v>
      </c>
      <c r="D44" s="108">
        <f ca="1">+SUMIF(Hoja4!$B$3:$B$160,$A44,Hoja4!$E$3:$E$160)</f>
        <v>148662971.66999999</v>
      </c>
      <c r="E44" s="108">
        <f>+SUMIF(Hoja4!$B$3:$B$160,$A44,Hoja4!$F$3:$F$160)</f>
        <v>0</v>
      </c>
      <c r="F44" s="108">
        <f>+SUMIF(Hoja4!$B$3:$B$160,$A44,Hoja4!$J$3:$J$160)</f>
        <v>132498594.26000002</v>
      </c>
      <c r="G44" s="108">
        <f ca="1">+SUMIF(Hoja4!$B$3:$B$160,$A44,Hoja4!$K$3:$K$160)</f>
        <v>16164377.739999998</v>
      </c>
      <c r="H44" s="169">
        <f>+IFERROR(Hoja4!L40,0)</f>
        <v>0.89126829954670905</v>
      </c>
      <c r="I44" s="169">
        <f ca="1">+IFERROR(Hoja4!M40,0)</f>
        <v>0.10873170045329107</v>
      </c>
    </row>
    <row r="45" spans="1:11" s="23" customFormat="1" x14ac:dyDescent="0.25">
      <c r="A45" s="73" t="str">
        <f>+Hoja4!B41</f>
        <v>E-103</v>
      </c>
      <c r="B45" s="110" t="str">
        <f>+Hoja4!C41</f>
        <v>SERV COMERC Y FINANC</v>
      </c>
      <c r="C45" s="74">
        <f>SUM(C46:C51)</f>
        <v>33414456</v>
      </c>
      <c r="D45" s="74">
        <f t="shared" ref="D45:G45" ca="1" si="10">SUM(D46:D51)</f>
        <v>33414456</v>
      </c>
      <c r="E45" s="74">
        <f t="shared" si="10"/>
        <v>0</v>
      </c>
      <c r="F45" s="74">
        <f t="shared" si="10"/>
        <v>25957650.229999997</v>
      </c>
      <c r="G45" s="74">
        <f t="shared" ca="1" si="10"/>
        <v>7456805.7699999996</v>
      </c>
      <c r="H45" s="179">
        <f>+IFERROR(Hoja4!L41,0)</f>
        <v>0.77683892953397182</v>
      </c>
      <c r="I45" s="179">
        <f ca="1">+IFERROR(Hoja4!M41,0)</f>
        <v>0.22316107046602823</v>
      </c>
      <c r="J45" s="154"/>
      <c r="K45" s="154"/>
    </row>
    <row r="46" spans="1:11" x14ac:dyDescent="0.25">
      <c r="A46" s="75" t="str">
        <f>+Hoja4!B42</f>
        <v>E-10301</v>
      </c>
      <c r="B46" s="111" t="str">
        <f>+Hoja4!C42</f>
        <v>INFORMACIÓN</v>
      </c>
      <c r="C46" s="108">
        <f>+SUMIF(Hoja4!$B$3:$B$160,$A46,Hoja4!$D$3:$D$160)</f>
        <v>16080450</v>
      </c>
      <c r="D46" s="108">
        <f ca="1">+SUMIF(Hoja4!$B$3:$B$160,$A46,Hoja4!$E$3:$E$160)</f>
        <v>16080450</v>
      </c>
      <c r="E46" s="108">
        <f>+SUMIF(Hoja4!$B$3:$B$160,$A46,Hoja4!$F$3:$F$160)</f>
        <v>0</v>
      </c>
      <c r="F46" s="108">
        <f>+SUMIF(Hoja4!$B$3:$B$160,$A46,Hoja4!$J$3:$J$160)</f>
        <v>15013785</v>
      </c>
      <c r="G46" s="108">
        <f ca="1">+SUMIF(Hoja4!$B$3:$B$160,$A46,Hoja4!$K$3:$K$160)</f>
        <v>1066665</v>
      </c>
      <c r="H46" s="169">
        <f>+IFERROR(Hoja4!L42,0)</f>
        <v>0.93366696827514151</v>
      </c>
      <c r="I46" s="169">
        <f ca="1">+IFERROR(Hoja4!M42,0)</f>
        <v>6.6333031724858452E-2</v>
      </c>
    </row>
    <row r="47" spans="1:11" x14ac:dyDescent="0.25">
      <c r="A47" s="75" t="str">
        <f>+Hoja4!B43</f>
        <v>E-10302</v>
      </c>
      <c r="B47" s="111" t="str">
        <f>+Hoja4!C43</f>
        <v>PUBLICIDAD Y PROPAG.</v>
      </c>
      <c r="C47" s="108">
        <f>+SUMIF(Hoja4!$B$3:$B$160,$A47,Hoja4!$D$3:$D$160)</f>
        <v>225000</v>
      </c>
      <c r="D47" s="108">
        <f ca="1">+SUMIF(Hoja4!$B$3:$B$160,$A47,Hoja4!$E$3:$E$160)</f>
        <v>225000</v>
      </c>
      <c r="E47" s="108">
        <f>+SUMIF(Hoja4!$B$3:$B$160,$A47,Hoja4!$F$3:$F$160)</f>
        <v>0</v>
      </c>
      <c r="F47" s="108">
        <f>+SUMIF(Hoja4!$B$3:$B$160,$A47,Hoja4!$J$3:$J$160)</f>
        <v>150000</v>
      </c>
      <c r="G47" s="108">
        <f ca="1">+SUMIF(Hoja4!$B$3:$B$160,$A47,Hoja4!$K$3:$K$160)</f>
        <v>75000</v>
      </c>
      <c r="H47" s="169">
        <f>+IFERROR(Hoja4!L43,0)</f>
        <v>0.66666666666666663</v>
      </c>
      <c r="I47" s="169">
        <f ca="1">+IFERROR(Hoja4!M43,0)</f>
        <v>0.33333333333333331</v>
      </c>
    </row>
    <row r="48" spans="1:11" x14ac:dyDescent="0.25">
      <c r="A48" s="75" t="str">
        <f>+Hoja4!B44</f>
        <v>E-10303</v>
      </c>
      <c r="B48" s="111" t="str">
        <f>+Hoja4!C44</f>
        <v>IMP., ENCUAD Y OTROS</v>
      </c>
      <c r="C48" s="108">
        <f>+SUMIF(Hoja4!$B$3:$B$160,$A48,Hoja4!$D$3:$D$160)</f>
        <v>12770000</v>
      </c>
      <c r="D48" s="108">
        <f ca="1">+SUMIF(Hoja4!$B$3:$B$160,$A48,Hoja4!$E$3:$E$160)</f>
        <v>12770000</v>
      </c>
      <c r="E48" s="108">
        <f>+SUMIF(Hoja4!$B$3:$B$160,$A48,Hoja4!$F$3:$F$160)</f>
        <v>0</v>
      </c>
      <c r="F48" s="108">
        <f>+SUMIF(Hoja4!$B$3:$B$160,$A48,Hoja4!$J$3:$J$160)</f>
        <v>9712668</v>
      </c>
      <c r="G48" s="108">
        <f ca="1">+SUMIF(Hoja4!$B$3:$B$160,$A48,Hoja4!$K$3:$K$160)</f>
        <v>3057332</v>
      </c>
      <c r="H48" s="169">
        <f>+IFERROR(Hoja4!L44,0)</f>
        <v>0.76058480814408769</v>
      </c>
      <c r="I48" s="169">
        <f ca="1">+IFERROR(Hoja4!M44,0)</f>
        <v>0.23941519185591228</v>
      </c>
    </row>
    <row r="49" spans="1:11" x14ac:dyDescent="0.25">
      <c r="A49" s="75" t="str">
        <f>+Hoja4!B45</f>
        <v>E-10304</v>
      </c>
      <c r="B49" s="111" t="str">
        <f>+Hoja4!C45</f>
        <v>TRANSPORTE DE BIENES</v>
      </c>
      <c r="C49" s="108">
        <f>+SUMIF(Hoja4!$B$3:$B$160,$A49,Hoja4!$D$3:$D$160)</f>
        <v>1300000</v>
      </c>
      <c r="D49" s="108">
        <f ca="1">+SUMIF(Hoja4!$B$3:$B$160,$A49,Hoja4!$E$3:$E$160)</f>
        <v>1300000</v>
      </c>
      <c r="E49" s="108">
        <f>+SUMIF(Hoja4!$B$3:$B$160,$A49,Hoja4!$F$3:$F$160)</f>
        <v>0</v>
      </c>
      <c r="F49" s="108">
        <f>+SUMIF(Hoja4!$B$3:$B$160,$A49,Hoja4!$J$3:$J$160)</f>
        <v>0</v>
      </c>
      <c r="G49" s="108">
        <f ca="1">+SUMIF(Hoja4!$B$3:$B$160,$A49,Hoja4!$K$3:$K$160)</f>
        <v>1300000</v>
      </c>
      <c r="H49" s="169">
        <f>+IFERROR(Hoja4!L45,0)</f>
        <v>0</v>
      </c>
      <c r="I49" s="169">
        <f ca="1">+IFERROR(Hoja4!M45,0)</f>
        <v>1</v>
      </c>
    </row>
    <row r="50" spans="1:11" x14ac:dyDescent="0.25">
      <c r="A50" s="75" t="str">
        <f>+Hoja4!B46</f>
        <v>E-10306</v>
      </c>
      <c r="B50" s="111" t="str">
        <f>+Hoja4!C46</f>
        <v>COM G.P.S.FIN Y COM.</v>
      </c>
      <c r="C50" s="108">
        <f>+SUMIF(Hoja4!$B$3:$B$160,$A50,Hoja4!$D$3:$D$160)</f>
        <v>139006</v>
      </c>
      <c r="D50" s="108">
        <f ca="1">+SUMIF(Hoja4!$B$3:$B$160,$A50,Hoja4!$E$3:$E$160)</f>
        <v>139006</v>
      </c>
      <c r="E50" s="108">
        <f>+SUMIF(Hoja4!$B$3:$B$160,$A50,Hoja4!$F$3:$F$160)</f>
        <v>0</v>
      </c>
      <c r="F50" s="108">
        <f>+SUMIF(Hoja4!$B$3:$B$160,$A50,Hoja4!$J$3:$J$160)</f>
        <v>16005.15</v>
      </c>
      <c r="G50" s="108">
        <f ca="1">+SUMIF(Hoja4!$B$3:$B$160,$A50,Hoja4!$K$3:$K$160)</f>
        <v>123000.85</v>
      </c>
      <c r="H50" s="169">
        <f>+IFERROR(Hoja4!L46,0)</f>
        <v>0.11513999395709537</v>
      </c>
      <c r="I50" s="169">
        <f ca="1">+IFERROR(Hoja4!M46,0)</f>
        <v>0.88486000604290471</v>
      </c>
    </row>
    <row r="51" spans="1:11" x14ac:dyDescent="0.25">
      <c r="A51" s="75" t="str">
        <f>+Hoja4!B47</f>
        <v>E-10307</v>
      </c>
      <c r="B51" s="111" t="str">
        <f>+Hoja4!C47</f>
        <v>SERV TRANSF.ELEC.INF</v>
      </c>
      <c r="C51" s="108">
        <f>+SUMIF(Hoja4!$B$3:$B$160,$A51,Hoja4!$D$3:$D$160)</f>
        <v>2900000</v>
      </c>
      <c r="D51" s="108">
        <f ca="1">+SUMIF(Hoja4!$B$3:$B$160,$A51,Hoja4!$E$3:$E$160)</f>
        <v>2900000</v>
      </c>
      <c r="E51" s="108">
        <f>+SUMIF(Hoja4!$B$3:$B$160,$A51,Hoja4!$F$3:$F$160)</f>
        <v>0</v>
      </c>
      <c r="F51" s="108">
        <f>+SUMIF(Hoja4!$B$3:$B$160,$A51,Hoja4!$J$3:$J$160)</f>
        <v>1065192.08</v>
      </c>
      <c r="G51" s="108">
        <f ca="1">+SUMIF(Hoja4!$B$3:$B$160,$A51,Hoja4!$K$3:$K$160)</f>
        <v>1834807.92</v>
      </c>
      <c r="H51" s="169">
        <f>+IFERROR(Hoja4!L47,0)</f>
        <v>0.36730761379310345</v>
      </c>
      <c r="I51" s="169">
        <f ca="1">+IFERROR(Hoja4!M47,0)</f>
        <v>0.6326923862068965</v>
      </c>
    </row>
    <row r="52" spans="1:11" s="23" customFormat="1" x14ac:dyDescent="0.25">
      <c r="A52" s="73" t="str">
        <f>+Hoja4!B48</f>
        <v>E-104</v>
      </c>
      <c r="B52" s="110" t="str">
        <f>+Hoja4!C48</f>
        <v>SERV DE GEST Y APOYO</v>
      </c>
      <c r="C52" s="74">
        <f>SUM(C53:C59)</f>
        <v>592185205</v>
      </c>
      <c r="D52" s="74">
        <f t="shared" ref="D52:G52" ca="1" si="11">SUM(D53:D59)</f>
        <v>592185205</v>
      </c>
      <c r="E52" s="74">
        <f t="shared" si="11"/>
        <v>0</v>
      </c>
      <c r="F52" s="74">
        <f t="shared" si="11"/>
        <v>518827615.88</v>
      </c>
      <c r="G52" s="74">
        <f t="shared" ca="1" si="11"/>
        <v>73357589.120000005</v>
      </c>
      <c r="H52" s="179">
        <f>+IFERROR(Hoja4!L48,0)</f>
        <v>0.87612390768864279</v>
      </c>
      <c r="I52" s="179">
        <f ca="1">+IFERROR(Hoja4!M48,0)</f>
        <v>0.12387609231135722</v>
      </c>
      <c r="J52" s="154"/>
      <c r="K52" s="154"/>
    </row>
    <row r="53" spans="1:11" x14ac:dyDescent="0.25">
      <c r="A53" s="75" t="str">
        <f>+Hoja4!B49</f>
        <v>E-10401</v>
      </c>
      <c r="B53" s="111" t="str">
        <f>+Hoja4!C49</f>
        <v>SERV.MEDICOS YDE LAB</v>
      </c>
      <c r="C53" s="108">
        <f>+SUMIF(Hoja4!$B$3:$B$160,$A53,Hoja4!$D$3:$D$160)</f>
        <v>3900000</v>
      </c>
      <c r="D53" s="108">
        <f ca="1">+SUMIF(Hoja4!$B$3:$B$160,$A53,Hoja4!$E$3:$E$160)</f>
        <v>3900000</v>
      </c>
      <c r="E53" s="108">
        <f>+SUMIF(Hoja4!$B$3:$B$160,$A53,Hoja4!$F$3:$F$160)</f>
        <v>0</v>
      </c>
      <c r="F53" s="108">
        <f>+SUMIF(Hoja4!$B$3:$B$160,$A53,Hoja4!$J$3:$J$160)</f>
        <v>3899000</v>
      </c>
      <c r="G53" s="108">
        <f ca="1">+SUMIF(Hoja4!$B$3:$B$160,$A53,Hoja4!$K$3:$K$160)</f>
        <v>1000</v>
      </c>
      <c r="H53" s="169">
        <f>+IFERROR(Hoja4!L49,0)</f>
        <v>0.99974358974358979</v>
      </c>
      <c r="I53" s="169">
        <f ca="1">+IFERROR(Hoja4!M49,0)</f>
        <v>2.5641025641025641E-4</v>
      </c>
    </row>
    <row r="54" spans="1:11" x14ac:dyDescent="0.25">
      <c r="A54" s="75" t="str">
        <f>+Hoja4!B50</f>
        <v>E-10402</v>
      </c>
      <c r="B54" s="111" t="str">
        <f>+Hoja4!C50</f>
        <v>SERVICIOS JURÍDICOS</v>
      </c>
      <c r="C54" s="108">
        <f>+SUMIF(Hoja4!$B$3:$B$160,$A54,Hoja4!$D$3:$D$160)</f>
        <v>2000000</v>
      </c>
      <c r="D54" s="108">
        <f ca="1">+SUMIF(Hoja4!$B$3:$B$160,$A54,Hoja4!$E$3:$E$160)</f>
        <v>2000000</v>
      </c>
      <c r="E54" s="108">
        <f>+SUMIF(Hoja4!$B$3:$B$160,$A54,Hoja4!$F$3:$F$160)</f>
        <v>0</v>
      </c>
      <c r="F54" s="108">
        <f>+SUMIF(Hoja4!$B$3:$B$160,$A54,Hoja4!$J$3:$J$160)</f>
        <v>0</v>
      </c>
      <c r="G54" s="108">
        <f ca="1">+SUMIF(Hoja4!$B$3:$B$160,$A54,Hoja4!$K$3:$K$160)</f>
        <v>2000000</v>
      </c>
      <c r="H54" s="169">
        <f>+IFERROR(Hoja4!L50,0)</f>
        <v>0</v>
      </c>
      <c r="I54" s="169">
        <f ca="1">+IFERROR(Hoja4!M50,0)</f>
        <v>1</v>
      </c>
    </row>
    <row r="55" spans="1:11" x14ac:dyDescent="0.25">
      <c r="A55" s="75" t="str">
        <f>+Hoja4!B51</f>
        <v>E-10403</v>
      </c>
      <c r="B55" s="111" t="str">
        <f>+Hoja4!C51</f>
        <v>SERV. DE INGENIERÍA</v>
      </c>
      <c r="C55" s="108">
        <f>+SUMIF(Hoja4!$B$3:$B$160,$A55,Hoja4!$D$3:$D$160)</f>
        <v>69559145</v>
      </c>
      <c r="D55" s="108">
        <f ca="1">+SUMIF(Hoja4!$B$3:$B$160,$A55,Hoja4!$E$3:$E$160)</f>
        <v>69559145</v>
      </c>
      <c r="E55" s="108">
        <f>+SUMIF(Hoja4!$B$3:$B$160,$A55,Hoja4!$F$3:$F$160)</f>
        <v>0</v>
      </c>
      <c r="F55" s="108">
        <f>+SUMIF(Hoja4!$B$3:$B$160,$A55,Hoja4!$J$3:$J$160)</f>
        <v>55865573.899999991</v>
      </c>
      <c r="G55" s="108">
        <f ca="1">+SUMIF(Hoja4!$B$3:$B$160,$A55,Hoja4!$K$3:$K$160)</f>
        <v>13693571.100000001</v>
      </c>
      <c r="H55" s="169">
        <f>+IFERROR(Hoja4!L51,0)</f>
        <v>0.80313773120701804</v>
      </c>
      <c r="I55" s="169">
        <f ca="1">+IFERROR(Hoja4!M51,0)</f>
        <v>0.19686226879298188</v>
      </c>
    </row>
    <row r="56" spans="1:11" x14ac:dyDescent="0.25">
      <c r="A56" s="75" t="str">
        <f>+Hoja4!B52</f>
        <v>E-10404</v>
      </c>
      <c r="B56" s="111" t="str">
        <f>+Hoja4!C52</f>
        <v>SERV.CIEN.ECON.Y SOC</v>
      </c>
      <c r="C56" s="108">
        <f>+SUMIF(Hoja4!$B$3:$B$160,$A56,Hoja4!$D$3:$D$160)</f>
        <v>20200000</v>
      </c>
      <c r="D56" s="108">
        <f ca="1">+SUMIF(Hoja4!$B$3:$B$160,$A56,Hoja4!$E$3:$E$160)</f>
        <v>20200000</v>
      </c>
      <c r="E56" s="108">
        <f>+SUMIF(Hoja4!$B$3:$B$160,$A56,Hoja4!$F$3:$F$160)</f>
        <v>0</v>
      </c>
      <c r="F56" s="108">
        <f>+SUMIF(Hoja4!$B$3:$B$160,$A56,Hoja4!$J$3:$J$160)</f>
        <v>20200000</v>
      </c>
      <c r="G56" s="108">
        <f ca="1">+SUMIF(Hoja4!$B$3:$B$160,$A56,Hoja4!$K$3:$K$160)</f>
        <v>0</v>
      </c>
      <c r="H56" s="169">
        <f>+IFERROR(Hoja4!L52,0)</f>
        <v>1</v>
      </c>
      <c r="I56" s="169">
        <f ca="1">+IFERROR(Hoja4!M52,0)</f>
        <v>0</v>
      </c>
    </row>
    <row r="57" spans="1:11" x14ac:dyDescent="0.25">
      <c r="A57" s="75" t="str">
        <f>+Hoja4!B53</f>
        <v>E-10405</v>
      </c>
      <c r="B57" s="111" t="str">
        <f>+Hoja4!C53</f>
        <v>SERV.DES.SIST.INFORM</v>
      </c>
      <c r="C57" s="108">
        <f>+SUMIF(Hoja4!$B$3:$B$160,$A57,Hoja4!$D$3:$D$160)</f>
        <v>40624000</v>
      </c>
      <c r="D57" s="108">
        <f ca="1">+SUMIF(Hoja4!$B$3:$B$160,$A57,Hoja4!$E$3:$E$160)</f>
        <v>40624000</v>
      </c>
      <c r="E57" s="108">
        <f>+SUMIF(Hoja4!$B$3:$B$160,$A57,Hoja4!$F$3:$F$160)</f>
        <v>0</v>
      </c>
      <c r="F57" s="108">
        <f>+SUMIF(Hoja4!$B$3:$B$160,$A57,Hoja4!$J$3:$J$160)</f>
        <v>19432447</v>
      </c>
      <c r="G57" s="108">
        <f ca="1">+SUMIF(Hoja4!$B$3:$B$160,$A57,Hoja4!$K$3:$K$160)</f>
        <v>21191553</v>
      </c>
      <c r="H57" s="169">
        <f>+IFERROR(Hoja4!L53,0)</f>
        <v>0.47834893166601022</v>
      </c>
      <c r="I57" s="169">
        <f ca="1">+IFERROR(Hoja4!M53,0)</f>
        <v>0.52165106833398978</v>
      </c>
    </row>
    <row r="58" spans="1:11" x14ac:dyDescent="0.25">
      <c r="A58" s="75" t="str">
        <f>+Hoja4!B54</f>
        <v>E-10406</v>
      </c>
      <c r="B58" s="111" t="str">
        <f>+Hoja4!C54</f>
        <v>SERVICIOS GENERALES</v>
      </c>
      <c r="C58" s="108">
        <f>+SUMIF(Hoja4!$B$3:$B$160,$A58,Hoja4!$D$3:$D$160)</f>
        <v>402625880</v>
      </c>
      <c r="D58" s="108">
        <f ca="1">+SUMIF(Hoja4!$B$3:$B$160,$A58,Hoja4!$E$3:$E$160)</f>
        <v>402625880</v>
      </c>
      <c r="E58" s="108">
        <f>+SUMIF(Hoja4!$B$3:$B$160,$A58,Hoja4!$F$3:$F$160)</f>
        <v>0</v>
      </c>
      <c r="F58" s="108">
        <f>+SUMIF(Hoja4!$B$3:$B$160,$A58,Hoja4!$J$3:$J$160)</f>
        <v>377674234.37</v>
      </c>
      <c r="G58" s="108">
        <f ca="1">+SUMIF(Hoja4!$B$3:$B$160,$A58,Hoja4!$K$3:$K$160)</f>
        <v>24951645.630000003</v>
      </c>
      <c r="H58" s="169">
        <f>+IFERROR(Hoja4!L54,0)</f>
        <v>0.93802771538183294</v>
      </c>
      <c r="I58" s="169">
        <f ca="1">+IFERROR(Hoja4!M54,0)</f>
        <v>6.1972284618167124E-2</v>
      </c>
    </row>
    <row r="59" spans="1:11" x14ac:dyDescent="0.25">
      <c r="A59" s="75" t="str">
        <f>+Hoja4!B55</f>
        <v>E-10499</v>
      </c>
      <c r="B59" s="111" t="str">
        <f>+Hoja4!C55</f>
        <v>OTROS SERV.GEST.APOY</v>
      </c>
      <c r="C59" s="108">
        <f>+SUMIF(Hoja4!$B$3:$B$160,$A59,Hoja4!$D$3:$D$160)</f>
        <v>53276180</v>
      </c>
      <c r="D59" s="108">
        <f ca="1">+SUMIF(Hoja4!$B$3:$B$160,$A59,Hoja4!$E$3:$E$160)</f>
        <v>53276180</v>
      </c>
      <c r="E59" s="108">
        <f>+SUMIF(Hoja4!$B$3:$B$160,$A59,Hoja4!$F$3:$F$160)</f>
        <v>0</v>
      </c>
      <c r="F59" s="108">
        <f>+SUMIF(Hoja4!$B$3:$B$160,$A59,Hoja4!$J$3:$J$160)</f>
        <v>41756360.609999999</v>
      </c>
      <c r="G59" s="108">
        <f ca="1">+SUMIF(Hoja4!$B$3:$B$160,$A59,Hoja4!$K$3:$K$160)</f>
        <v>11519819.390000001</v>
      </c>
      <c r="H59" s="169">
        <f>+IFERROR(Hoja4!L55,0)</f>
        <v>0.78377167075417198</v>
      </c>
      <c r="I59" s="169">
        <f ca="1">+IFERROR(Hoja4!M55,0)</f>
        <v>0.21622832924582808</v>
      </c>
    </row>
    <row r="60" spans="1:11" s="23" customFormat="1" x14ac:dyDescent="0.25">
      <c r="A60" s="73" t="str">
        <f>+Hoja4!B56</f>
        <v>E-105</v>
      </c>
      <c r="B60" s="110" t="str">
        <f>+Hoja4!C56</f>
        <v>GAST. VIAJE Y TRANSP</v>
      </c>
      <c r="C60" s="74">
        <f>SUM(C61:C64)</f>
        <v>230031914.63999999</v>
      </c>
      <c r="D60" s="74">
        <f t="shared" ref="D60:G60" ca="1" si="12">SUM(D61:D64)</f>
        <v>230031893.74000001</v>
      </c>
      <c r="E60" s="74">
        <f t="shared" si="12"/>
        <v>32550</v>
      </c>
      <c r="F60" s="74">
        <f t="shared" si="12"/>
        <v>197703929</v>
      </c>
      <c r="G60" s="74">
        <f t="shared" ca="1" si="12"/>
        <v>32295435.640000001</v>
      </c>
      <c r="H60" s="179">
        <f>+IFERROR(Hoja4!L56,0)</f>
        <v>0.85946304150624797</v>
      </c>
      <c r="I60" s="179">
        <f ca="1">+IFERROR(Hoja4!M56,0)</f>
        <v>0.14039545638935522</v>
      </c>
      <c r="J60" s="154"/>
      <c r="K60" s="154"/>
    </row>
    <row r="61" spans="1:11" x14ac:dyDescent="0.25">
      <c r="A61" s="75" t="str">
        <f>+Hoja4!B57</f>
        <v>E-10501</v>
      </c>
      <c r="B61" s="111" t="str">
        <f>+Hoja4!C57</f>
        <v>TRANSP.DENT.DEL PAÍS</v>
      </c>
      <c r="C61" s="108">
        <f>+SUMIF(Hoja4!$B$3:$B$160,$A61,Hoja4!$D$3:$D$160)</f>
        <v>10627500</v>
      </c>
      <c r="D61" s="108">
        <f ca="1">+SUMIF(Hoja4!$B$3:$B$160,$A61,Hoja4!$E$3:$E$160)</f>
        <v>10627499.199999999</v>
      </c>
      <c r="E61" s="108">
        <f>+SUMIF(Hoja4!$B$3:$B$160,$A61,Hoja4!$F$3:$F$160)</f>
        <v>0</v>
      </c>
      <c r="F61" s="108">
        <f>+SUMIF(Hoja4!$B$3:$B$160,$A61,Hoja4!$J$3:$J$160)</f>
        <v>10186469.199999999</v>
      </c>
      <c r="G61" s="108">
        <f ca="1">+SUMIF(Hoja4!$B$3:$B$160,$A61,Hoja4!$K$3:$K$160)</f>
        <v>441030.8</v>
      </c>
      <c r="H61" s="169">
        <f>+IFERROR(Hoja4!L57,0)</f>
        <v>0.95850098329804745</v>
      </c>
      <c r="I61" s="169">
        <f ca="1">+IFERROR(Hoja4!M57,0)</f>
        <v>4.1499016701952482E-2</v>
      </c>
    </row>
    <row r="62" spans="1:11" x14ac:dyDescent="0.25">
      <c r="A62" s="75" t="str">
        <f>+Hoja4!B58</f>
        <v>E-10502</v>
      </c>
      <c r="B62" s="111" t="str">
        <f>+Hoja4!C58</f>
        <v>VIÁTICOS DENTRO PAÍS</v>
      </c>
      <c r="C62" s="108">
        <f>+SUMIF(Hoja4!$B$3:$B$160,$A62,Hoja4!$D$3:$D$160)</f>
        <v>190400398</v>
      </c>
      <c r="D62" s="108">
        <f ca="1">+SUMIF(Hoja4!$B$3:$B$160,$A62,Hoja4!$E$3:$E$160)</f>
        <v>190400377.90000001</v>
      </c>
      <c r="E62" s="108">
        <f>+SUMIF(Hoja4!$B$3:$B$160,$A62,Hoja4!$F$3:$F$160)</f>
        <v>32550</v>
      </c>
      <c r="F62" s="108">
        <f>+SUMIF(Hoja4!$B$3:$B$160,$A62,Hoja4!$J$3:$J$160)</f>
        <v>166381442.05000001</v>
      </c>
      <c r="G62" s="108">
        <f ca="1">+SUMIF(Hoja4!$B$3:$B$160,$A62,Hoja4!$K$3:$K$160)</f>
        <v>23986405.949999999</v>
      </c>
      <c r="H62" s="169">
        <f>+IFERROR(Hoja4!L58,0)</f>
        <v>0.87385028496631612</v>
      </c>
      <c r="I62" s="169">
        <f ca="1">+IFERROR(Hoja4!M58,0)</f>
        <v>0.12597875950868548</v>
      </c>
    </row>
    <row r="63" spans="1:11" x14ac:dyDescent="0.25">
      <c r="A63" s="75" t="str">
        <f>+Hoja4!B59</f>
        <v>E-10503</v>
      </c>
      <c r="B63" s="111" t="str">
        <f>+Hoja4!C59</f>
        <v>TRANSPORTE EN EL EXT</v>
      </c>
      <c r="C63" s="108">
        <f>+SUMIF(Hoja4!$B$3:$B$160,$A63,Hoja4!$D$3:$D$160)</f>
        <v>12591174</v>
      </c>
      <c r="D63" s="108">
        <f ca="1">+SUMIF(Hoja4!$B$3:$B$160,$A63,Hoja4!$E$3:$E$160)</f>
        <v>12591174</v>
      </c>
      <c r="E63" s="108">
        <f>+SUMIF(Hoja4!$B$3:$B$160,$A63,Hoja4!$F$3:$F$160)</f>
        <v>0</v>
      </c>
      <c r="F63" s="108">
        <f>+SUMIF(Hoja4!$B$3:$B$160,$A63,Hoja4!$J$3:$J$160)</f>
        <v>9619671.8900000006</v>
      </c>
      <c r="G63" s="108">
        <f ca="1">+SUMIF(Hoja4!$B$3:$B$160,$A63,Hoja4!$K$3:$K$160)</f>
        <v>2971502.11</v>
      </c>
      <c r="H63" s="169">
        <f>+IFERROR(Hoja4!L59,0)</f>
        <v>0.7640011876573225</v>
      </c>
      <c r="I63" s="169">
        <f ca="1">+IFERROR(Hoja4!M59,0)</f>
        <v>0.2359988123426775</v>
      </c>
    </row>
    <row r="64" spans="1:11" x14ac:dyDescent="0.25">
      <c r="A64" s="75" t="str">
        <f>+Hoja4!B60</f>
        <v>E-10504</v>
      </c>
      <c r="B64" s="111" t="str">
        <f>+Hoja4!C60</f>
        <v>VIÁTICOS EN EXTERIOR</v>
      </c>
      <c r="C64" s="108">
        <f>+SUMIF(Hoja4!$B$3:$B$160,$A64,Hoja4!$D$3:$D$160)</f>
        <v>16412842.640000001</v>
      </c>
      <c r="D64" s="108">
        <f ca="1">+SUMIF(Hoja4!$B$3:$B$160,$A64,Hoja4!$E$3:$E$160)</f>
        <v>16412842.640000001</v>
      </c>
      <c r="E64" s="108">
        <f>+SUMIF(Hoja4!$B$3:$B$160,$A64,Hoja4!$F$3:$F$160)</f>
        <v>0</v>
      </c>
      <c r="F64" s="108">
        <f>+SUMIF(Hoja4!$B$3:$B$160,$A64,Hoja4!$J$3:$J$160)</f>
        <v>11516345.859999999</v>
      </c>
      <c r="G64" s="108">
        <f ca="1">+SUMIF(Hoja4!$B$3:$B$160,$A64,Hoja4!$K$3:$K$160)</f>
        <v>4896496.78</v>
      </c>
      <c r="H64" s="169">
        <f>+IFERROR(Hoja4!L60,0)</f>
        <v>0.70166674430505593</v>
      </c>
      <c r="I64" s="169">
        <f ca="1">+IFERROR(Hoja4!M60,0)</f>
        <v>0.29833325569494401</v>
      </c>
    </row>
    <row r="65" spans="1:11" s="23" customFormat="1" x14ac:dyDescent="0.25">
      <c r="A65" s="73" t="str">
        <f>+Hoja4!B61</f>
        <v>E-106</v>
      </c>
      <c r="B65" s="110" t="str">
        <f>+Hoja4!C61</f>
        <v>SEGUROS REASEG Y OTR</v>
      </c>
      <c r="C65" s="74">
        <f>+C66</f>
        <v>1357675236</v>
      </c>
      <c r="D65" s="74">
        <f t="shared" ref="D65:G65" ca="1" si="13">+D66</f>
        <v>1357675236</v>
      </c>
      <c r="E65" s="74">
        <f t="shared" si="13"/>
        <v>0</v>
      </c>
      <c r="F65" s="74">
        <f t="shared" si="13"/>
        <v>1320933259.99</v>
      </c>
      <c r="G65" s="74">
        <f t="shared" ca="1" si="13"/>
        <v>36741976.009999998</v>
      </c>
      <c r="H65" s="179">
        <f>+IFERROR(Hoja4!L61,0)</f>
        <v>0.9729375810681723</v>
      </c>
      <c r="I65" s="179">
        <f ca="1">+IFERROR(Hoja4!M61,0)</f>
        <v>2.7062418931827668E-2</v>
      </c>
      <c r="J65" s="154"/>
      <c r="K65" s="154"/>
    </row>
    <row r="66" spans="1:11" x14ac:dyDescent="0.25">
      <c r="A66" s="75" t="str">
        <f>+Hoja4!B62</f>
        <v>E-10601</v>
      </c>
      <c r="B66" s="111" t="str">
        <f>+Hoja4!C62</f>
        <v>SEGUROS</v>
      </c>
      <c r="C66" s="108">
        <f>+SUMIF(Hoja4!$B$3:$B$160,$A66,Hoja4!$D$3:$D$160)</f>
        <v>1357675236</v>
      </c>
      <c r="D66" s="108">
        <f ca="1">+SUMIF(Hoja4!$B$3:$B$160,$A66,Hoja4!$E$3:$E$160)</f>
        <v>1357675236</v>
      </c>
      <c r="E66" s="108">
        <f>+SUMIF(Hoja4!$B$3:$B$160,$A66,Hoja4!$F$3:$F$160)</f>
        <v>0</v>
      </c>
      <c r="F66" s="108">
        <f>+SUMIF(Hoja4!$B$3:$B$160,$A66,Hoja4!$J$3:$J$160)</f>
        <v>1320933259.99</v>
      </c>
      <c r="G66" s="108">
        <f ca="1">+SUMIF(Hoja4!$B$3:$B$160,$A66,Hoja4!$K$3:$K$160)</f>
        <v>36741976.009999998</v>
      </c>
      <c r="H66" s="169">
        <f>+IFERROR(Hoja4!L62,0)</f>
        <v>0.9729375810681723</v>
      </c>
      <c r="I66" s="169">
        <f ca="1">+IFERROR(Hoja4!M62,0)</f>
        <v>2.7062418931827668E-2</v>
      </c>
    </row>
    <row r="67" spans="1:11" s="23" customFormat="1" x14ac:dyDescent="0.25">
      <c r="A67" s="73" t="str">
        <f>+Hoja4!B63</f>
        <v>E-107</v>
      </c>
      <c r="B67" s="110" t="str">
        <f>+Hoja4!C63</f>
        <v>CAPACIT. Y PROTOCOLO</v>
      </c>
      <c r="C67" s="74">
        <f>SUM(C68:C70)</f>
        <v>16990373</v>
      </c>
      <c r="D67" s="74">
        <f t="shared" ref="D67:G67" ca="1" si="14">SUM(D68:D70)</f>
        <v>16990373</v>
      </c>
      <c r="E67" s="74">
        <f t="shared" si="14"/>
        <v>0</v>
      </c>
      <c r="F67" s="74">
        <f t="shared" si="14"/>
        <v>15282192.84</v>
      </c>
      <c r="G67" s="74">
        <f t="shared" ca="1" si="14"/>
        <v>1708180.16</v>
      </c>
      <c r="H67" s="179">
        <f>+IFERROR(Hoja4!L63,0)</f>
        <v>0.8994618799716757</v>
      </c>
      <c r="I67" s="179">
        <f ca="1">+IFERROR(Hoja4!M63,0)</f>
        <v>0.10053812002832428</v>
      </c>
      <c r="J67" s="154"/>
      <c r="K67" s="154"/>
    </row>
    <row r="68" spans="1:11" x14ac:dyDescent="0.25">
      <c r="A68" s="75" t="str">
        <f>+Hoja4!B64</f>
        <v>E-10701</v>
      </c>
      <c r="B68" s="111" t="str">
        <f>+Hoja4!C64</f>
        <v>ACTIV. CAPACITACIÓN</v>
      </c>
      <c r="C68" s="108">
        <f>+SUMIF(Hoja4!$B$3:$B$160,$A68,Hoja4!$D$3:$D$160)</f>
        <v>13071740</v>
      </c>
      <c r="D68" s="108">
        <f ca="1">+SUMIF(Hoja4!$B$3:$B$160,$A68,Hoja4!$E$3:$E$160)</f>
        <v>13071740</v>
      </c>
      <c r="E68" s="108">
        <f>+SUMIF(Hoja4!$B$3:$B$160,$A68,Hoja4!$F$3:$F$160)</f>
        <v>0</v>
      </c>
      <c r="F68" s="108">
        <f>+SUMIF(Hoja4!$B$3:$B$160,$A68,Hoja4!$J$3:$J$160)</f>
        <v>12736349</v>
      </c>
      <c r="G68" s="108">
        <f ca="1">+SUMIF(Hoja4!$B$3:$B$160,$A68,Hoja4!$K$3:$K$160)</f>
        <v>335391</v>
      </c>
      <c r="H68" s="169">
        <f>+IFERROR(Hoja4!L64,0)</f>
        <v>0.97434228342974993</v>
      </c>
      <c r="I68" s="169">
        <f ca="1">+IFERROR(Hoja4!M64,0)</f>
        <v>2.5657716570250021E-2</v>
      </c>
    </row>
    <row r="69" spans="1:11" s="23" customFormat="1" x14ac:dyDescent="0.25">
      <c r="A69" s="75" t="str">
        <f>+Hoja4!B65</f>
        <v>E-10702</v>
      </c>
      <c r="B69" s="111" t="str">
        <f>+Hoja4!C65</f>
        <v>ACTIV.PROTOCOL Y SOC</v>
      </c>
      <c r="C69" s="108">
        <f>+SUMIF(Hoja4!$B$3:$B$160,$A69,Hoja4!$D$3:$D$160)</f>
        <v>2918633</v>
      </c>
      <c r="D69" s="108">
        <f ca="1">+SUMIF(Hoja4!$B$3:$B$160,$A69,Hoja4!$E$3:$E$160)</f>
        <v>2918633</v>
      </c>
      <c r="E69" s="108">
        <f>+SUMIF(Hoja4!$B$3:$B$160,$A69,Hoja4!$F$3:$F$160)</f>
        <v>0</v>
      </c>
      <c r="F69" s="108">
        <f>+SUMIF(Hoja4!$B$3:$B$160,$A69,Hoja4!$J$3:$J$160)</f>
        <v>2018632.64</v>
      </c>
      <c r="G69" s="108">
        <f ca="1">+SUMIF(Hoja4!$B$3:$B$160,$A69,Hoja4!$K$3:$K$160)</f>
        <v>900000.36</v>
      </c>
      <c r="H69" s="169">
        <f>+IFERROR(Hoja4!L65,0)</f>
        <v>0.69163633797054991</v>
      </c>
      <c r="I69" s="169">
        <f ca="1">+IFERROR(Hoja4!M65,0)</f>
        <v>0.30836366202945009</v>
      </c>
      <c r="J69" s="154"/>
      <c r="K69" s="154"/>
    </row>
    <row r="70" spans="1:11" x14ac:dyDescent="0.25">
      <c r="A70" s="75" t="str">
        <f>+Hoja4!B66</f>
        <v>E-10703</v>
      </c>
      <c r="B70" s="111" t="str">
        <f>+Hoja4!C66</f>
        <v>GASTOS REPRES.INSTIT</v>
      </c>
      <c r="C70" s="108">
        <f>+SUMIF(Hoja4!$B$3:$B$160,$A70,Hoja4!$D$3:$D$160)</f>
        <v>1000000</v>
      </c>
      <c r="D70" s="108">
        <f ca="1">+SUMIF(Hoja4!$B$3:$B$160,$A70,Hoja4!$E$3:$E$160)</f>
        <v>1000000</v>
      </c>
      <c r="E70" s="108">
        <f>+SUMIF(Hoja4!$B$3:$B$160,$A70,Hoja4!$F$3:$F$160)</f>
        <v>0</v>
      </c>
      <c r="F70" s="108">
        <f>+SUMIF(Hoja4!$B$3:$B$160,$A70,Hoja4!$J$3:$J$160)</f>
        <v>527211.19999999995</v>
      </c>
      <c r="G70" s="108">
        <f ca="1">+SUMIF(Hoja4!$B$3:$B$160,$A70,Hoja4!$K$3:$K$160)</f>
        <v>472788.8</v>
      </c>
      <c r="H70" s="169">
        <f>+IFERROR(Hoja4!L66,0)</f>
        <v>0.52721119999999999</v>
      </c>
      <c r="I70" s="169">
        <f ca="1">+IFERROR(Hoja4!M66,0)</f>
        <v>0.47278880000000001</v>
      </c>
    </row>
    <row r="71" spans="1:11" s="23" customFormat="1" x14ac:dyDescent="0.25">
      <c r="A71" s="73" t="str">
        <f>+Hoja4!B67</f>
        <v>E-108</v>
      </c>
      <c r="B71" s="110" t="str">
        <f>+Hoja4!C67</f>
        <v>MANTEN. Y REPARACIÓN</v>
      </c>
      <c r="C71" s="74">
        <f>SUM(C72:C78)</f>
        <v>523613241</v>
      </c>
      <c r="D71" s="74">
        <f t="shared" ref="D71:G71" ca="1" si="15">SUM(D72:D78)</f>
        <v>523613241</v>
      </c>
      <c r="E71" s="74">
        <f t="shared" si="15"/>
        <v>4330422</v>
      </c>
      <c r="F71" s="74">
        <f t="shared" si="15"/>
        <v>454289600.93000001</v>
      </c>
      <c r="G71" s="74">
        <f t="shared" ca="1" si="15"/>
        <v>64993218.069999993</v>
      </c>
      <c r="H71" s="179">
        <f>+IFERROR(Hoja4!L67,0)</f>
        <v>0.86760525777078268</v>
      </c>
      <c r="I71" s="179">
        <f ca="1">+IFERROR(Hoja4!M67,0)</f>
        <v>0.12412447390725935</v>
      </c>
      <c r="J71" s="154"/>
      <c r="K71" s="154"/>
    </row>
    <row r="72" spans="1:11" x14ac:dyDescent="0.25">
      <c r="A72" s="75" t="str">
        <f>+Hoja4!B68</f>
        <v>E-10801</v>
      </c>
      <c r="B72" s="111" t="str">
        <f>+Hoja4!C68</f>
        <v>MANT.EDIF.,LOC.YTERR</v>
      </c>
      <c r="C72" s="108">
        <f>+SUMIF(Hoja4!$B$3:$B$160,$A72,Hoja4!$D$3:$D$160)</f>
        <v>68677250</v>
      </c>
      <c r="D72" s="108">
        <f ca="1">+SUMIF(Hoja4!$B$3:$B$160,$A72,Hoja4!$E$3:$E$160)</f>
        <v>68677250</v>
      </c>
      <c r="E72" s="108">
        <f>+SUMIF(Hoja4!$B$3:$B$160,$A72,Hoja4!$F$3:$F$160)</f>
        <v>4330422</v>
      </c>
      <c r="F72" s="108">
        <f>+SUMIF(Hoja4!$B$3:$B$160,$A72,Hoja4!$J$3:$J$160)</f>
        <v>58800500</v>
      </c>
      <c r="G72" s="108">
        <f ca="1">+SUMIF(Hoja4!$B$3:$B$160,$A72,Hoja4!$K$3:$K$160)</f>
        <v>5546328</v>
      </c>
      <c r="H72" s="169">
        <f>+IFERROR(Hoja4!L68,0)</f>
        <v>0.85618600045866722</v>
      </c>
      <c r="I72" s="169">
        <f ca="1">+IFERROR(Hoja4!M68,0)</f>
        <v>8.0759319862108631E-2</v>
      </c>
    </row>
    <row r="73" spans="1:11" x14ac:dyDescent="0.25">
      <c r="A73" s="75" t="str">
        <f>+Hoja4!B69</f>
        <v>E-10804</v>
      </c>
      <c r="B73" s="111" t="str">
        <f>+Hoja4!C69</f>
        <v>MANT.Y REP.M.EQ.PROD</v>
      </c>
      <c r="C73" s="108">
        <f>+SUMIF(Hoja4!$B$3:$B$160,$A73,Hoja4!$D$3:$D$160)</f>
        <v>163073543</v>
      </c>
      <c r="D73" s="108">
        <f ca="1">+SUMIF(Hoja4!$B$3:$B$160,$A73,Hoja4!$E$3:$E$160)</f>
        <v>163073543</v>
      </c>
      <c r="E73" s="108">
        <f>+SUMIF(Hoja4!$B$3:$B$160,$A73,Hoja4!$F$3:$F$160)</f>
        <v>0</v>
      </c>
      <c r="F73" s="108">
        <f>+SUMIF(Hoja4!$B$3:$B$160,$A73,Hoja4!$J$3:$J$160)</f>
        <v>153223730.34</v>
      </c>
      <c r="G73" s="108">
        <f ca="1">+SUMIF(Hoja4!$B$3:$B$160,$A73,Hoja4!$K$3:$K$160)</f>
        <v>9849812.6600000001</v>
      </c>
      <c r="H73" s="169">
        <f>+IFERROR(Hoja4!L69,0)</f>
        <v>0.93959895346113875</v>
      </c>
      <c r="I73" s="169">
        <f ca="1">+IFERROR(Hoja4!M69,0)</f>
        <v>6.0401046538861303E-2</v>
      </c>
    </row>
    <row r="74" spans="1:11" x14ac:dyDescent="0.25">
      <c r="A74" s="75" t="str">
        <f>+Hoja4!B70</f>
        <v>E-10805</v>
      </c>
      <c r="B74" s="111" t="str">
        <f>+Hoja4!C70</f>
        <v>MANT.Y REP.EQ.TRANSP</v>
      </c>
      <c r="C74" s="108">
        <f>+SUMIF(Hoja4!$B$3:$B$160,$A74,Hoja4!$D$3:$D$160)</f>
        <v>81308530</v>
      </c>
      <c r="D74" s="108">
        <f ca="1">+SUMIF(Hoja4!$B$3:$B$160,$A74,Hoja4!$E$3:$E$160)</f>
        <v>81308530</v>
      </c>
      <c r="E74" s="108">
        <f>+SUMIF(Hoja4!$B$3:$B$160,$A74,Hoja4!$F$3:$F$160)</f>
        <v>0</v>
      </c>
      <c r="F74" s="108">
        <f>+SUMIF(Hoja4!$B$3:$B$160,$A74,Hoja4!$J$3:$J$160)</f>
        <v>77673289.019999996</v>
      </c>
      <c r="G74" s="108">
        <f ca="1">+SUMIF(Hoja4!$B$3:$B$160,$A74,Hoja4!$K$3:$K$160)</f>
        <v>3635240.98</v>
      </c>
      <c r="H74" s="169">
        <f>+IFERROR(Hoja4!L70,0)</f>
        <v>0.9552907797004816</v>
      </c>
      <c r="I74" s="169">
        <f ca="1">+IFERROR(Hoja4!M70,0)</f>
        <v>4.470922029951839E-2</v>
      </c>
    </row>
    <row r="75" spans="1:11" x14ac:dyDescent="0.25">
      <c r="A75" s="75" t="str">
        <f>+Hoja4!B71</f>
        <v>E-10806</v>
      </c>
      <c r="B75" s="111" t="str">
        <f>+Hoja4!C71</f>
        <v>MANT.Y REP.EQ.COMUNI</v>
      </c>
      <c r="C75" s="108">
        <f>+SUMIF(Hoja4!$B$3:$B$160,$A75,Hoja4!$D$3:$D$160)</f>
        <v>9250000</v>
      </c>
      <c r="D75" s="108">
        <f ca="1">+SUMIF(Hoja4!$B$3:$B$160,$A75,Hoja4!$E$3:$E$160)</f>
        <v>9250000</v>
      </c>
      <c r="E75" s="108">
        <f>+SUMIF(Hoja4!$B$3:$B$160,$A75,Hoja4!$F$3:$F$160)</f>
        <v>0</v>
      </c>
      <c r="F75" s="108">
        <f>+SUMIF(Hoja4!$B$3:$B$160,$A75,Hoja4!$J$3:$J$160)</f>
        <v>6409546</v>
      </c>
      <c r="G75" s="108">
        <f ca="1">+SUMIF(Hoja4!$B$3:$B$160,$A75,Hoja4!$K$3:$K$160)</f>
        <v>2840454</v>
      </c>
      <c r="H75" s="169">
        <f>+IFERROR(Hoja4!L71,0)</f>
        <v>0.69292389189189185</v>
      </c>
      <c r="I75" s="169">
        <f ca="1">+IFERROR(Hoja4!M71,0)</f>
        <v>0.30707610810810809</v>
      </c>
    </row>
    <row r="76" spans="1:11" x14ac:dyDescent="0.25">
      <c r="A76" s="75" t="str">
        <f>+Hoja4!B72</f>
        <v>E-10807</v>
      </c>
      <c r="B76" s="111" t="str">
        <f>+Hoja4!C72</f>
        <v>MANT.Y REP.EQ.MOB.OF</v>
      </c>
      <c r="C76" s="108">
        <f>+SUMIF(Hoja4!$B$3:$B$160,$A76,Hoja4!$D$3:$D$160)</f>
        <v>23623203</v>
      </c>
      <c r="D76" s="108">
        <f ca="1">+SUMIF(Hoja4!$B$3:$B$160,$A76,Hoja4!$E$3:$E$160)</f>
        <v>23623203</v>
      </c>
      <c r="E76" s="108">
        <f>+SUMIF(Hoja4!$B$3:$B$160,$A76,Hoja4!$F$3:$F$160)</f>
        <v>0</v>
      </c>
      <c r="F76" s="108">
        <f>+SUMIF(Hoja4!$B$3:$B$160,$A76,Hoja4!$J$3:$J$160)</f>
        <v>18457710.960000001</v>
      </c>
      <c r="G76" s="108">
        <f ca="1">+SUMIF(Hoja4!$B$3:$B$160,$A76,Hoja4!$K$3:$K$160)</f>
        <v>5165492.04</v>
      </c>
      <c r="H76" s="169">
        <f>+IFERROR(Hoja4!L72,0)</f>
        <v>0.78133820210578564</v>
      </c>
      <c r="I76" s="169">
        <f ca="1">+IFERROR(Hoja4!M72,0)</f>
        <v>0.21866179789421444</v>
      </c>
    </row>
    <row r="77" spans="1:11" x14ac:dyDescent="0.25">
      <c r="A77" s="75" t="str">
        <f>+Hoja4!B73</f>
        <v>E-10808</v>
      </c>
      <c r="B77" s="111" t="str">
        <f>+Hoja4!C73</f>
        <v>MANT.YREP.EQ.C.S.INF</v>
      </c>
      <c r="C77" s="108">
        <f>+SUMIF(Hoja4!$B$3:$B$160,$A77,Hoja4!$D$3:$D$160)</f>
        <v>95203143</v>
      </c>
      <c r="D77" s="108">
        <f ca="1">+SUMIF(Hoja4!$B$3:$B$160,$A77,Hoja4!$E$3:$E$160)</f>
        <v>95203143</v>
      </c>
      <c r="E77" s="108">
        <f>+SUMIF(Hoja4!$B$3:$B$160,$A77,Hoja4!$F$3:$F$160)</f>
        <v>0</v>
      </c>
      <c r="F77" s="108">
        <f>+SUMIF(Hoja4!$B$3:$B$160,$A77,Hoja4!$J$3:$J$160)</f>
        <v>84334775.050000012</v>
      </c>
      <c r="G77" s="108">
        <f ca="1">+SUMIF(Hoja4!$B$3:$B$160,$A77,Hoja4!$K$3:$K$160)</f>
        <v>10868367.949999999</v>
      </c>
      <c r="H77" s="169">
        <f>+IFERROR(Hoja4!L73,0)</f>
        <v>0.88584024006434336</v>
      </c>
      <c r="I77" s="169">
        <f ca="1">+IFERROR(Hoja4!M73,0)</f>
        <v>0.11415975993565673</v>
      </c>
    </row>
    <row r="78" spans="1:11" x14ac:dyDescent="0.25">
      <c r="A78" s="75" t="str">
        <f>+Hoja4!B74</f>
        <v>E-10899</v>
      </c>
      <c r="B78" s="111" t="str">
        <f>+Hoja4!C74</f>
        <v>MANT.Y REP.OTROS EQ.</v>
      </c>
      <c r="C78" s="108">
        <f>+SUMIF(Hoja4!$B$3:$B$160,$A78,Hoja4!$D$3:$D$160)</f>
        <v>82477572</v>
      </c>
      <c r="D78" s="108">
        <f ca="1">+SUMIF(Hoja4!$B$3:$B$160,$A78,Hoja4!$E$3:$E$160)</f>
        <v>82477572</v>
      </c>
      <c r="E78" s="108">
        <f>+SUMIF(Hoja4!$B$3:$B$160,$A78,Hoja4!$F$3:$F$160)</f>
        <v>0</v>
      </c>
      <c r="F78" s="108">
        <f>+SUMIF(Hoja4!$B$3:$B$160,$A78,Hoja4!$J$3:$J$160)</f>
        <v>55390049.560000002</v>
      </c>
      <c r="G78" s="108">
        <f ca="1">+SUMIF(Hoja4!$B$3:$B$160,$A78,Hoja4!$K$3:$K$160)</f>
        <v>27087522.440000001</v>
      </c>
      <c r="H78" s="169">
        <f>+IFERROR(Hoja4!L74,0)</f>
        <v>0.67157711141157261</v>
      </c>
      <c r="I78" s="169">
        <f ca="1">+IFERROR(Hoja4!M74,0)</f>
        <v>0.32842288858842744</v>
      </c>
    </row>
    <row r="79" spans="1:11" s="23" customFormat="1" x14ac:dyDescent="0.25">
      <c r="A79" s="73" t="str">
        <f>+Hoja4!B75</f>
        <v>E-109</v>
      </c>
      <c r="B79" s="110" t="str">
        <f>+Hoja4!C75</f>
        <v>IMPUESTOS</v>
      </c>
      <c r="C79" s="74">
        <f>+C80</f>
        <v>19690000</v>
      </c>
      <c r="D79" s="74">
        <f t="shared" ref="D79:G79" ca="1" si="16">+D80</f>
        <v>19690000</v>
      </c>
      <c r="E79" s="74">
        <f t="shared" si="16"/>
        <v>0</v>
      </c>
      <c r="F79" s="74">
        <f t="shared" si="16"/>
        <v>14777867</v>
      </c>
      <c r="G79" s="74">
        <f t="shared" ca="1" si="16"/>
        <v>4912133</v>
      </c>
      <c r="H79" s="179">
        <f>+IFERROR(Hoja4!L75,0)</f>
        <v>0.75052651091924838</v>
      </c>
      <c r="I79" s="179">
        <f ca="1">+IFERROR(Hoja4!M75,0)</f>
        <v>0.24947348908075165</v>
      </c>
      <c r="J79" s="154"/>
      <c r="K79" s="154"/>
    </row>
    <row r="80" spans="1:11" x14ac:dyDescent="0.25">
      <c r="A80" s="75" t="str">
        <f>+Hoja4!B76</f>
        <v>E-10999</v>
      </c>
      <c r="B80" s="111" t="str">
        <f>+Hoja4!C76</f>
        <v>TROS IMPUESTOS</v>
      </c>
      <c r="C80" s="108">
        <f>+SUMIF(Hoja4!$B$3:$B$160,$A80,Hoja4!$D$3:$D$160)</f>
        <v>19690000</v>
      </c>
      <c r="D80" s="108">
        <f ca="1">+SUMIF(Hoja4!$B$3:$B$160,$A80,Hoja4!$E$3:$E$160)</f>
        <v>19690000</v>
      </c>
      <c r="E80" s="108">
        <f>+SUMIF(Hoja4!$B$3:$B$160,$A80,Hoja4!$F$3:$F$160)</f>
        <v>0</v>
      </c>
      <c r="F80" s="108">
        <f>+SUMIF(Hoja4!$B$3:$B$160,$A80,Hoja4!$J$3:$J$160)</f>
        <v>14777867</v>
      </c>
      <c r="G80" s="108">
        <f ca="1">+SUMIF(Hoja4!$B$3:$B$160,$A80,Hoja4!$K$3:$K$160)</f>
        <v>4912133</v>
      </c>
      <c r="H80" s="169">
        <f>+IFERROR(Hoja4!L76,0)</f>
        <v>0.75052651091924838</v>
      </c>
      <c r="I80" s="169">
        <f ca="1">+IFERROR(Hoja4!M76,0)</f>
        <v>0.24947348908075165</v>
      </c>
    </row>
    <row r="81" spans="1:11" s="23" customFormat="1" x14ac:dyDescent="0.25">
      <c r="A81" s="73" t="str">
        <f>+Hoja4!B77</f>
        <v>E-199</v>
      </c>
      <c r="B81" s="110" t="str">
        <f>+Hoja4!C77</f>
        <v>SERVICIOS DIVERSOS</v>
      </c>
      <c r="C81" s="74">
        <f>SUM(C82:C84)</f>
        <v>26483649.859999999</v>
      </c>
      <c r="D81" s="74">
        <f t="shared" ref="D81:G81" ca="1" si="17">SUM(D82:D84)</f>
        <v>26483649.18</v>
      </c>
      <c r="E81" s="74">
        <f t="shared" si="17"/>
        <v>0</v>
      </c>
      <c r="F81" s="74">
        <f t="shared" si="17"/>
        <v>19822570.399999999</v>
      </c>
      <c r="G81" s="74">
        <f t="shared" ca="1" si="17"/>
        <v>6661079.46</v>
      </c>
      <c r="H81" s="179">
        <f>+IFERROR(Hoja4!L77,0)</f>
        <v>0.74848332857395661</v>
      </c>
      <c r="I81" s="179">
        <f ca="1">+IFERROR(Hoja4!M77,0)</f>
        <v>0.25151667142604339</v>
      </c>
      <c r="J81" s="154"/>
      <c r="K81" s="154"/>
    </row>
    <row r="82" spans="1:11" x14ac:dyDescent="0.25">
      <c r="A82" s="75" t="str">
        <f>+Hoja4!B78</f>
        <v>E-19901</v>
      </c>
      <c r="B82" s="111" t="str">
        <f>+Hoja4!C78</f>
        <v>SERV. DE REGULACIÓN</v>
      </c>
      <c r="C82" s="108">
        <f>+SUMIF(Hoja4!$B$3:$B$160,$A82,Hoja4!$D$3:$D$160)</f>
        <v>3000000</v>
      </c>
      <c r="D82" s="108">
        <f ca="1">+SUMIF(Hoja4!$B$3:$B$160,$A82,Hoja4!$E$3:$E$160)</f>
        <v>2999999.32</v>
      </c>
      <c r="E82" s="108">
        <f>+SUMIF(Hoja4!$B$3:$B$160,$A82,Hoja4!$F$3:$F$160)</f>
        <v>0</v>
      </c>
      <c r="F82" s="108">
        <f>+SUMIF(Hoja4!$B$3:$B$160,$A82,Hoja4!$J$3:$J$160)</f>
        <v>2713000.32</v>
      </c>
      <c r="G82" s="108">
        <f ca="1">+SUMIF(Hoja4!$B$3:$B$160,$A82,Hoja4!$K$3:$K$160)</f>
        <v>286999.67999999999</v>
      </c>
      <c r="H82" s="169">
        <f>+IFERROR(Hoja4!L78,0)</f>
        <v>0.90433343999999993</v>
      </c>
      <c r="I82" s="169">
        <f ca="1">+IFERROR(Hoja4!M78,0)</f>
        <v>9.5666559999999998E-2</v>
      </c>
    </row>
    <row r="83" spans="1:11" x14ac:dyDescent="0.25">
      <c r="A83" s="75" t="str">
        <f>+Hoja4!B79</f>
        <v>E-19902</v>
      </c>
      <c r="B83" s="111" t="str">
        <f>+Hoja4!C79</f>
        <v>INT. MORAT. Y MULTAS</v>
      </c>
      <c r="C83" s="108">
        <f>+SUMIF(Hoja4!$B$3:$B$160,$A83,Hoja4!$D$3:$D$160)</f>
        <v>6285649.8600000003</v>
      </c>
      <c r="D83" s="108">
        <f ca="1">+SUMIF(Hoja4!$B$3:$B$160,$A83,Hoja4!$E$3:$E$160)</f>
        <v>6285649.8600000003</v>
      </c>
      <c r="E83" s="108">
        <f>+SUMIF(Hoja4!$B$3:$B$160,$A83,Hoja4!$F$3:$F$160)</f>
        <v>0</v>
      </c>
      <c r="F83" s="108">
        <f>+SUMIF(Hoja4!$B$3:$B$160,$A83,Hoja4!$J$3:$J$160)</f>
        <v>1166758.08</v>
      </c>
      <c r="G83" s="108">
        <f ca="1">+SUMIF(Hoja4!$B$3:$B$160,$A83,Hoja4!$K$3:$K$160)</f>
        <v>5118891.78</v>
      </c>
      <c r="H83" s="169">
        <f>+IFERROR(Hoja4!L79,0)</f>
        <v>0.18562250618267814</v>
      </c>
      <c r="I83" s="169">
        <f ca="1">+IFERROR(Hoja4!M79,0)</f>
        <v>0.81437749381732183</v>
      </c>
    </row>
    <row r="84" spans="1:11" x14ac:dyDescent="0.25">
      <c r="A84" s="75" t="str">
        <f>+Hoja4!B80</f>
        <v>E-19905</v>
      </c>
      <c r="B84" s="111" t="str">
        <f>+Hoja4!C80</f>
        <v>DEDUCIBLES</v>
      </c>
      <c r="C84" s="108">
        <f>+SUMIF(Hoja4!$B$3:$B$160,$A84,Hoja4!$D$3:$D$160)</f>
        <v>17198000</v>
      </c>
      <c r="D84" s="108">
        <f ca="1">+SUMIF(Hoja4!$B$3:$B$160,$A84,Hoja4!$E$3:$E$160)</f>
        <v>17198000</v>
      </c>
      <c r="E84" s="108">
        <f>+SUMIF(Hoja4!$B$3:$B$160,$A84,Hoja4!$F$3:$F$160)</f>
        <v>0</v>
      </c>
      <c r="F84" s="108">
        <f>+SUMIF(Hoja4!$B$3:$B$160,$A84,Hoja4!$J$3:$J$160)</f>
        <v>15942812</v>
      </c>
      <c r="G84" s="108">
        <f ca="1">+SUMIF(Hoja4!$B$3:$B$160,$A84,Hoja4!$K$3:$K$160)</f>
        <v>1255188</v>
      </c>
      <c r="H84" s="169">
        <f>+IFERROR(Hoja4!L80,0)</f>
        <v>0.92701546691475756</v>
      </c>
      <c r="I84" s="169">
        <f ca="1">+IFERROR(Hoja4!M80,0)</f>
        <v>7.298453308524247E-2</v>
      </c>
    </row>
    <row r="85" spans="1:11" x14ac:dyDescent="0.25">
      <c r="A85" s="115" t="str">
        <f>+Hoja4!B81</f>
        <v>E-2</v>
      </c>
      <c r="B85" s="116" t="str">
        <f>+Hoja4!C81</f>
        <v>MATERIALES Y SUMINIS</v>
      </c>
      <c r="C85" s="117">
        <f>+C86+C92+C95+C103+C106</f>
        <v>12969269517</v>
      </c>
      <c r="D85" s="117">
        <f ca="1">+Hoja4!E81</f>
        <v>12969269510.41</v>
      </c>
      <c r="E85" s="117">
        <f>+Hoja4!F81</f>
        <v>0</v>
      </c>
      <c r="F85" s="117">
        <f>SUM(Hoja4!G81:I81)</f>
        <v>12003027140.16</v>
      </c>
      <c r="G85" s="118">
        <f ca="1">+Hoja4!K81</f>
        <v>966242376.83999991</v>
      </c>
      <c r="H85" s="178">
        <f>+IFERROR(Hoja4!L81,0)</f>
        <v>0.92549754821785002</v>
      </c>
      <c r="I85" s="178">
        <f ca="1">+IFERROR(Hoja4!M81,0)</f>
        <v>7.4502451782149967E-2</v>
      </c>
      <c r="K85" s="25">
        <f>+C85-Estado!C115</f>
        <v>0</v>
      </c>
    </row>
    <row r="86" spans="1:11" s="23" customFormat="1" x14ac:dyDescent="0.25">
      <c r="A86" s="73" t="str">
        <f>+Hoja4!B82</f>
        <v>E-201</v>
      </c>
      <c r="B86" s="110" t="str">
        <f>+Hoja4!C82</f>
        <v>PRODUC QUÍM Y CONEX</v>
      </c>
      <c r="C86" s="74">
        <f>SUM(C87:C91)</f>
        <v>656809530</v>
      </c>
      <c r="D86" s="74">
        <f t="shared" ref="D86:G86" ca="1" si="18">SUM(D87:D91)</f>
        <v>656809529.85000002</v>
      </c>
      <c r="E86" s="74">
        <f t="shared" si="18"/>
        <v>0</v>
      </c>
      <c r="F86" s="74">
        <f t="shared" si="18"/>
        <v>635109312.86000001</v>
      </c>
      <c r="G86" s="74">
        <f t="shared" ca="1" si="18"/>
        <v>21700217.139999997</v>
      </c>
      <c r="H86" s="179">
        <f>+IFERROR(Hoja4!L82,0)</f>
        <v>0.96696117192453046</v>
      </c>
      <c r="I86" s="179">
        <f ca="1">+IFERROR(Hoja4!M82,0)</f>
        <v>3.3038828075469609E-2</v>
      </c>
      <c r="J86" s="154"/>
      <c r="K86" s="154"/>
    </row>
    <row r="87" spans="1:11" x14ac:dyDescent="0.25">
      <c r="A87" s="75" t="str">
        <f>+Hoja4!B83</f>
        <v>E-20101</v>
      </c>
      <c r="B87" s="111" t="str">
        <f>+Hoja4!C83</f>
        <v>COMB Y LUBRICANTES</v>
      </c>
      <c r="C87" s="108">
        <f>+SUMIF(Hoja4!$B$3:$B$160,$A87,Hoja4!$D$3:$D$160)</f>
        <v>501418139</v>
      </c>
      <c r="D87" s="108">
        <f ca="1">+SUMIF(Hoja4!$B$3:$B$160,$A87,Hoja4!$E$3:$E$160)</f>
        <v>501418138.85000002</v>
      </c>
      <c r="E87" s="108">
        <f>+SUMIF(Hoja4!$B$3:$B$160,$A87,Hoja4!$F$3:$F$160)</f>
        <v>0</v>
      </c>
      <c r="F87" s="108">
        <f>+SUMIF(Hoja4!$B$3:$B$160,$A87,Hoja4!$J$3:$J$160)</f>
        <v>483161295.74000001</v>
      </c>
      <c r="G87" s="108">
        <f ca="1">+SUMIF(Hoja4!$B$3:$B$160,$A87,Hoja4!$K$3:$K$160)</f>
        <v>18256843.259999998</v>
      </c>
      <c r="H87" s="169">
        <f>+IFERROR(Hoja4!L83,0)</f>
        <v>0.96358958354316737</v>
      </c>
      <c r="I87" s="169">
        <f ca="1">+IFERROR(Hoja4!M83,0)</f>
        <v>3.6410416456832642E-2</v>
      </c>
    </row>
    <row r="88" spans="1:11" x14ac:dyDescent="0.25">
      <c r="A88" s="75" t="str">
        <f>+Hoja4!B84</f>
        <v>E-20102</v>
      </c>
      <c r="B88" s="111" t="str">
        <f>+Hoja4!C84</f>
        <v>PROD FARMAC Y MEDIC.</v>
      </c>
      <c r="C88" s="108">
        <f>+SUMIF(Hoja4!$B$3:$B$160,$A88,Hoja4!$D$3:$D$160)</f>
        <v>74120319</v>
      </c>
      <c r="D88" s="108">
        <f ca="1">+SUMIF(Hoja4!$B$3:$B$160,$A88,Hoja4!$E$3:$E$160)</f>
        <v>74120319</v>
      </c>
      <c r="E88" s="108">
        <f>+SUMIF(Hoja4!$B$3:$B$160,$A88,Hoja4!$F$3:$F$160)</f>
        <v>0</v>
      </c>
      <c r="F88" s="108">
        <f>+SUMIF(Hoja4!$B$3:$B$160,$A88,Hoja4!$J$3:$J$160)</f>
        <v>73480605.120000005</v>
      </c>
      <c r="G88" s="108">
        <f ca="1">+SUMIF(Hoja4!$B$3:$B$160,$A88,Hoja4!$K$3:$K$160)</f>
        <v>639713.88</v>
      </c>
      <c r="H88" s="169">
        <f>+IFERROR(Hoja4!L84,0)</f>
        <v>0.99136925085279248</v>
      </c>
      <c r="I88" s="169">
        <f ca="1">+IFERROR(Hoja4!M84,0)</f>
        <v>8.6307491472075292E-3</v>
      </c>
    </row>
    <row r="89" spans="1:11" x14ac:dyDescent="0.25">
      <c r="A89" s="75" t="str">
        <f>+Hoja4!B85</f>
        <v>E-20103</v>
      </c>
      <c r="B89" s="111" t="str">
        <f>+Hoja4!C85</f>
        <v>PRODUCTOS VETERIN.</v>
      </c>
      <c r="C89" s="108">
        <f>+SUMIF(Hoja4!$B$3:$B$160,$A89,Hoja4!$D$3:$D$160)</f>
        <v>1941000</v>
      </c>
      <c r="D89" s="108">
        <f ca="1">+SUMIF(Hoja4!$B$3:$B$160,$A89,Hoja4!$E$3:$E$160)</f>
        <v>1941000</v>
      </c>
      <c r="E89" s="108">
        <f>+SUMIF(Hoja4!$B$3:$B$160,$A89,Hoja4!$F$3:$F$160)</f>
        <v>0</v>
      </c>
      <c r="F89" s="108">
        <f>+SUMIF(Hoja4!$B$3:$B$160,$A89,Hoja4!$J$3:$J$160)</f>
        <v>1746786.65</v>
      </c>
      <c r="G89" s="108">
        <f ca="1">+SUMIF(Hoja4!$B$3:$B$160,$A89,Hoja4!$K$3:$K$160)</f>
        <v>194213.35</v>
      </c>
      <c r="H89" s="169">
        <f>+IFERROR(Hoja4!L85,0)</f>
        <v>0.8999416022668727</v>
      </c>
      <c r="I89" s="169">
        <f ca="1">+IFERROR(Hoja4!M85,0)</f>
        <v>0.10005839773312726</v>
      </c>
    </row>
    <row r="90" spans="1:11" x14ac:dyDescent="0.25">
      <c r="A90" s="75" t="str">
        <f>+Hoja4!B86</f>
        <v>E-20104</v>
      </c>
      <c r="B90" s="111" t="str">
        <f>+Hoja4!C86</f>
        <v>TINTAS, PINT.Y DILUY</v>
      </c>
      <c r="C90" s="108">
        <f>+SUMIF(Hoja4!$B$3:$B$160,$A90,Hoja4!$D$3:$D$160)</f>
        <v>78709402</v>
      </c>
      <c r="D90" s="108">
        <f ca="1">+SUMIF(Hoja4!$B$3:$B$160,$A90,Hoja4!$E$3:$E$160)</f>
        <v>78709402</v>
      </c>
      <c r="E90" s="108">
        <f>+SUMIF(Hoja4!$B$3:$B$160,$A90,Hoja4!$F$3:$F$160)</f>
        <v>0</v>
      </c>
      <c r="F90" s="108">
        <f>+SUMIF(Hoja4!$B$3:$B$160,$A90,Hoja4!$J$3:$J$160)</f>
        <v>76122615.350000009</v>
      </c>
      <c r="G90" s="108">
        <f ca="1">+SUMIF(Hoja4!$B$3:$B$160,$A90,Hoja4!$K$3:$K$160)</f>
        <v>2586786.65</v>
      </c>
      <c r="H90" s="169">
        <f>+IFERROR(Hoja4!L86,0)</f>
        <v>0.96713497264278558</v>
      </c>
      <c r="I90" s="169">
        <f ca="1">+IFERROR(Hoja4!M86,0)</f>
        <v>3.2865027357214582E-2</v>
      </c>
    </row>
    <row r="91" spans="1:11" x14ac:dyDescent="0.25">
      <c r="A91" s="75" t="str">
        <f>+Hoja4!B87</f>
        <v>E-20199</v>
      </c>
      <c r="B91" s="111" t="str">
        <f>+Hoja4!C87</f>
        <v>OTR.PROD.QUÍM YCONEX</v>
      </c>
      <c r="C91" s="108">
        <f>+SUMIF(Hoja4!$B$3:$B$160,$A91,Hoja4!$D$3:$D$160)</f>
        <v>620670</v>
      </c>
      <c r="D91" s="108">
        <f ca="1">+SUMIF(Hoja4!$B$3:$B$160,$A91,Hoja4!$E$3:$E$160)</f>
        <v>620670</v>
      </c>
      <c r="E91" s="108">
        <f>+SUMIF(Hoja4!$B$3:$B$160,$A91,Hoja4!$F$3:$F$160)</f>
        <v>0</v>
      </c>
      <c r="F91" s="108">
        <f>+SUMIF(Hoja4!$B$3:$B$160,$A91,Hoja4!$J$3:$J$160)</f>
        <v>598010</v>
      </c>
      <c r="G91" s="108">
        <f ca="1">+SUMIF(Hoja4!$B$3:$B$160,$A91,Hoja4!$K$3:$K$160)</f>
        <v>22660</v>
      </c>
      <c r="H91" s="169">
        <f>+IFERROR(Hoja4!L87,0)</f>
        <v>0.96349106610598223</v>
      </c>
      <c r="I91" s="169">
        <f ca="1">+IFERROR(Hoja4!M87,0)</f>
        <v>3.6508933894017756E-2</v>
      </c>
    </row>
    <row r="92" spans="1:11" s="23" customFormat="1" x14ac:dyDescent="0.25">
      <c r="A92" s="73" t="str">
        <f>+Hoja4!B88</f>
        <v>E-202</v>
      </c>
      <c r="B92" s="110" t="str">
        <f>+Hoja4!C88</f>
        <v>ALIMEN Y PRODUC AGRO</v>
      </c>
      <c r="C92" s="74">
        <f>SUM(C93:C94)</f>
        <v>10482991903</v>
      </c>
      <c r="D92" s="74">
        <f t="shared" ref="D92:G92" ca="1" si="19">SUM(D93:D94)</f>
        <v>10482991898.870001</v>
      </c>
      <c r="E92" s="74">
        <f t="shared" si="19"/>
        <v>0</v>
      </c>
      <c r="F92" s="74">
        <f t="shared" si="19"/>
        <v>9649946678.9500008</v>
      </c>
      <c r="G92" s="74">
        <f t="shared" ca="1" si="19"/>
        <v>833045224.04999995</v>
      </c>
      <c r="H92" s="179">
        <f>+IFERROR(Hoja4!L88,0)</f>
        <v>0.92053363851100556</v>
      </c>
      <c r="I92" s="179">
        <f ca="1">+IFERROR(Hoja4!M88,0)</f>
        <v>7.9466361488994455E-2</v>
      </c>
      <c r="J92" s="154"/>
      <c r="K92" s="154"/>
    </row>
    <row r="93" spans="1:11" x14ac:dyDescent="0.25">
      <c r="A93" s="75" t="str">
        <f>+Hoja4!B89</f>
        <v>E-20203</v>
      </c>
      <c r="B93" s="111" t="str">
        <f>+Hoja4!C89</f>
        <v>ALIMENTOS Y BEBIDAS</v>
      </c>
      <c r="C93" s="108">
        <f>+SUMIF(Hoja4!$B$3:$B$160,$A93,Hoja4!$D$3:$D$160)</f>
        <v>10474291903</v>
      </c>
      <c r="D93" s="108">
        <f ca="1">+SUMIF(Hoja4!$B$3:$B$160,$A93,Hoja4!$E$3:$E$160)</f>
        <v>10474291898.870001</v>
      </c>
      <c r="E93" s="108">
        <f>+SUMIF(Hoja4!$B$3:$B$160,$A93,Hoja4!$F$3:$F$160)</f>
        <v>0</v>
      </c>
      <c r="F93" s="108">
        <f>+SUMIF(Hoja4!$B$3:$B$160,$A93,Hoja4!$J$3:$J$160)</f>
        <v>9641248038.9500008</v>
      </c>
      <c r="G93" s="108">
        <f ca="1">+SUMIF(Hoja4!$B$3:$B$160,$A93,Hoja4!$K$3:$K$160)</f>
        <v>833043864.04999995</v>
      </c>
      <c r="H93" s="169">
        <f>+IFERROR(Hoja4!L89,0)</f>
        <v>0.92046776318966228</v>
      </c>
      <c r="I93" s="169">
        <f ca="1">+IFERROR(Hoja4!M89,0)</f>
        <v>7.9532236810337817E-2</v>
      </c>
    </row>
    <row r="94" spans="1:11" s="23" customFormat="1" x14ac:dyDescent="0.25">
      <c r="A94" s="75" t="str">
        <f>+Hoja4!B90</f>
        <v>E-20204</v>
      </c>
      <c r="B94" s="111" t="str">
        <f>+Hoja4!C90</f>
        <v>ALIM. PARA ANIMALES</v>
      </c>
      <c r="C94" s="108">
        <f>+SUMIF(Hoja4!$B$3:$B$160,$A94,Hoja4!$D$3:$D$160)</f>
        <v>8700000</v>
      </c>
      <c r="D94" s="108">
        <f ca="1">+SUMIF(Hoja4!$B$3:$B$160,$A94,Hoja4!$E$3:$E$160)</f>
        <v>8700000</v>
      </c>
      <c r="E94" s="108">
        <f>+SUMIF(Hoja4!$B$3:$B$160,$A94,Hoja4!$F$3:$F$160)</f>
        <v>0</v>
      </c>
      <c r="F94" s="108">
        <f>+SUMIF(Hoja4!$B$3:$B$160,$A94,Hoja4!$J$3:$J$160)</f>
        <v>8698640</v>
      </c>
      <c r="G94" s="108">
        <f ca="1">+SUMIF(Hoja4!$B$3:$B$160,$A94,Hoja4!$K$3:$K$160)</f>
        <v>1360</v>
      </c>
      <c r="H94" s="179">
        <f>+IFERROR(Hoja4!L90,0)</f>
        <v>0.99984367816091957</v>
      </c>
      <c r="I94" s="179">
        <f ca="1">+IFERROR(Hoja4!M90,0)</f>
        <v>1.5632183908045977E-4</v>
      </c>
      <c r="J94" s="154"/>
      <c r="K94" s="154"/>
    </row>
    <row r="95" spans="1:11" s="23" customFormat="1" x14ac:dyDescent="0.25">
      <c r="A95" s="73" t="str">
        <f>+Hoja4!B91</f>
        <v>E-203</v>
      </c>
      <c r="B95" s="110" t="str">
        <f>+Hoja4!C91</f>
        <v>MATER P.CONST Y MANT</v>
      </c>
      <c r="C95" s="74">
        <f>SUM(C96:C102)</f>
        <v>616500479</v>
      </c>
      <c r="D95" s="74">
        <f t="shared" ref="D95:G95" ca="1" si="20">SUM(D96:D102)</f>
        <v>616500477.71000004</v>
      </c>
      <c r="E95" s="74">
        <f t="shared" si="20"/>
        <v>0</v>
      </c>
      <c r="F95" s="74">
        <f t="shared" si="20"/>
        <v>552759680.48000002</v>
      </c>
      <c r="G95" s="74">
        <f t="shared" ca="1" si="20"/>
        <v>63740798.519999996</v>
      </c>
      <c r="H95" s="179">
        <f>+IFERROR(Hoja4!L91,0)</f>
        <v>0.89660867965035274</v>
      </c>
      <c r="I95" s="179">
        <f ca="1">+IFERROR(Hoja4!M91,0)</f>
        <v>0.10339132034964728</v>
      </c>
      <c r="J95" s="154"/>
      <c r="K95" s="154"/>
    </row>
    <row r="96" spans="1:11" x14ac:dyDescent="0.25">
      <c r="A96" s="75" t="str">
        <f>+Hoja4!B92</f>
        <v>E-20301</v>
      </c>
      <c r="B96" s="111" t="str">
        <f>+Hoja4!C92</f>
        <v>MATERIALES YPROD MET</v>
      </c>
      <c r="C96" s="108">
        <f>+SUMIF(Hoja4!$B$3:$B$160,$A96,Hoja4!$D$3:$D$160)</f>
        <v>146255815</v>
      </c>
      <c r="D96" s="108">
        <f ca="1">+SUMIF(Hoja4!$B$3:$B$160,$A96,Hoja4!$E$3:$E$160)</f>
        <v>146255815</v>
      </c>
      <c r="E96" s="108">
        <f>+SUMIF(Hoja4!$B$3:$B$160,$A96,Hoja4!$F$3:$F$160)</f>
        <v>0</v>
      </c>
      <c r="F96" s="108">
        <f>+SUMIF(Hoja4!$B$3:$B$160,$A96,Hoja4!$J$3:$J$160)</f>
        <v>144154982.26000002</v>
      </c>
      <c r="G96" s="108">
        <f ca="1">+SUMIF(Hoja4!$B$3:$B$160,$A96,Hoja4!$K$3:$K$160)</f>
        <v>2100832.7400000002</v>
      </c>
      <c r="H96" s="169">
        <f>+IFERROR(Hoja4!L92,0)</f>
        <v>0.98563590281863334</v>
      </c>
      <c r="I96" s="169">
        <f ca="1">+IFERROR(Hoja4!M92,0)</f>
        <v>1.4364097181366773E-2</v>
      </c>
    </row>
    <row r="97" spans="1:11" x14ac:dyDescent="0.25">
      <c r="A97" s="75" t="str">
        <f>+Hoja4!B93</f>
        <v>E-20302</v>
      </c>
      <c r="B97" s="111" t="str">
        <f>+Hoja4!C93</f>
        <v>MAT Y PROD.MIN.Y ASF</v>
      </c>
      <c r="C97" s="108">
        <f>+SUMIF(Hoja4!$B$3:$B$160,$A97,Hoja4!$D$3:$D$160)</f>
        <v>150899313</v>
      </c>
      <c r="D97" s="108">
        <f ca="1">+SUMIF(Hoja4!$B$3:$B$160,$A97,Hoja4!$E$3:$E$160)</f>
        <v>150899312.69</v>
      </c>
      <c r="E97" s="108">
        <f>+SUMIF(Hoja4!$B$3:$B$160,$A97,Hoja4!$F$3:$F$160)</f>
        <v>0</v>
      </c>
      <c r="F97" s="108">
        <f>+SUMIF(Hoja4!$B$3:$B$160,$A97,Hoja4!$J$3:$J$160)</f>
        <v>146646841.69</v>
      </c>
      <c r="G97" s="108">
        <f ca="1">+SUMIF(Hoja4!$B$3:$B$160,$A97,Hoja4!$K$3:$K$160)</f>
        <v>4252471.3099999996</v>
      </c>
      <c r="H97" s="169">
        <f>+IFERROR(Hoja4!L93,0)</f>
        <v>0.9718191473144745</v>
      </c>
      <c r="I97" s="169">
        <f ca="1">+IFERROR(Hoja4!M93,0)</f>
        <v>2.8180852685525476E-2</v>
      </c>
    </row>
    <row r="98" spans="1:11" x14ac:dyDescent="0.25">
      <c r="A98" s="75" t="str">
        <f>+Hoja4!B94</f>
        <v>E-20303</v>
      </c>
      <c r="B98" s="111" t="str">
        <f>+Hoja4!C94</f>
        <v>MADERA Y SUS DERIV</v>
      </c>
      <c r="C98" s="108">
        <f>+SUMIF(Hoja4!$B$3:$B$160,$A98,Hoja4!$D$3:$D$160)</f>
        <v>31483102</v>
      </c>
      <c r="D98" s="108">
        <f ca="1">+SUMIF(Hoja4!$B$3:$B$160,$A98,Hoja4!$E$3:$E$160)</f>
        <v>31483102</v>
      </c>
      <c r="E98" s="108">
        <f>+SUMIF(Hoja4!$B$3:$B$160,$A98,Hoja4!$F$3:$F$160)</f>
        <v>0</v>
      </c>
      <c r="F98" s="108">
        <f>+SUMIF(Hoja4!$B$3:$B$160,$A98,Hoja4!$J$3:$J$160)</f>
        <v>30875957.5</v>
      </c>
      <c r="G98" s="108">
        <f ca="1">+SUMIF(Hoja4!$B$3:$B$160,$A98,Hoja4!$K$3:$K$160)</f>
        <v>607144.5</v>
      </c>
      <c r="H98" s="169">
        <f>+IFERROR(Hoja4!L94,0)</f>
        <v>0.98071522621881413</v>
      </c>
      <c r="I98" s="169">
        <f ca="1">+IFERROR(Hoja4!M94,0)</f>
        <v>1.9284773781185857E-2</v>
      </c>
    </row>
    <row r="99" spans="1:11" x14ac:dyDescent="0.25">
      <c r="A99" s="75" t="str">
        <f>+Hoja4!B95</f>
        <v>E-20304</v>
      </c>
      <c r="B99" s="111" t="str">
        <f>+Hoja4!C95</f>
        <v>MAT.YPROD.ELÉC,TEL.C</v>
      </c>
      <c r="C99" s="108">
        <f>+SUMIF(Hoja4!$B$3:$B$160,$A99,Hoja4!$D$3:$D$160)</f>
        <v>202680625</v>
      </c>
      <c r="D99" s="108">
        <f ca="1">+SUMIF(Hoja4!$B$3:$B$160,$A99,Hoja4!$E$3:$E$160)</f>
        <v>202680624.02000001</v>
      </c>
      <c r="E99" s="108">
        <f>+SUMIF(Hoja4!$B$3:$B$160,$A99,Hoja4!$F$3:$F$160)</f>
        <v>0</v>
      </c>
      <c r="F99" s="108">
        <f>+SUMIF(Hoja4!$B$3:$B$160,$A99,Hoja4!$J$3:$J$160)</f>
        <v>180439925.67999998</v>
      </c>
      <c r="G99" s="108">
        <f ca="1">+SUMIF(Hoja4!$B$3:$B$160,$A99,Hoja4!$K$3:$K$160)</f>
        <v>22240699.32</v>
      </c>
      <c r="H99" s="169">
        <f>+IFERROR(Hoja4!L95,0)</f>
        <v>0.89026726496427555</v>
      </c>
      <c r="I99" s="169">
        <f ca="1">+IFERROR(Hoja4!M95,0)</f>
        <v>0.10973273503572431</v>
      </c>
    </row>
    <row r="100" spans="1:11" x14ac:dyDescent="0.25">
      <c r="A100" s="75" t="str">
        <f>+Hoja4!B96</f>
        <v>E-20305</v>
      </c>
      <c r="B100" s="111" t="str">
        <f>+Hoja4!C96</f>
        <v>MATER. Y PROD VIDRIO</v>
      </c>
      <c r="C100" s="108">
        <f>+SUMIF(Hoja4!$B$3:$B$160,$A100,Hoja4!$D$3:$D$160)</f>
        <v>3050000</v>
      </c>
      <c r="D100" s="108">
        <f ca="1">+SUMIF(Hoja4!$B$3:$B$160,$A100,Hoja4!$E$3:$E$160)</f>
        <v>3050000</v>
      </c>
      <c r="E100" s="108">
        <f>+SUMIF(Hoja4!$B$3:$B$160,$A100,Hoja4!$F$3:$F$160)</f>
        <v>0</v>
      </c>
      <c r="F100" s="108">
        <f>+SUMIF(Hoja4!$B$3:$B$160,$A100,Hoja4!$J$3:$J$160)</f>
        <v>2754168</v>
      </c>
      <c r="G100" s="108">
        <f ca="1">+SUMIF(Hoja4!$B$3:$B$160,$A100,Hoja4!$K$3:$K$160)</f>
        <v>295832</v>
      </c>
      <c r="H100" s="169">
        <f>+IFERROR(Hoja4!L96,0)</f>
        <v>0.90300590163934424</v>
      </c>
      <c r="I100" s="169">
        <f ca="1">+IFERROR(Hoja4!M96,0)</f>
        <v>9.6994098360655742E-2</v>
      </c>
    </row>
    <row r="101" spans="1:11" x14ac:dyDescent="0.25">
      <c r="A101" s="75" t="str">
        <f>+Hoja4!B97</f>
        <v>E-20306</v>
      </c>
      <c r="B101" s="111" t="str">
        <f>+Hoja4!C97</f>
        <v>MAT. Y PROD PLÁSTICO</v>
      </c>
      <c r="C101" s="108">
        <f>+SUMIF(Hoja4!$B$3:$B$160,$A101,Hoja4!$D$3:$D$160)</f>
        <v>40275485</v>
      </c>
      <c r="D101" s="108">
        <f ca="1">+SUMIF(Hoja4!$B$3:$B$160,$A101,Hoja4!$E$3:$E$160)</f>
        <v>40275485</v>
      </c>
      <c r="E101" s="108">
        <f>+SUMIF(Hoja4!$B$3:$B$160,$A101,Hoja4!$F$3:$F$160)</f>
        <v>0</v>
      </c>
      <c r="F101" s="108">
        <f>+SUMIF(Hoja4!$B$3:$B$160,$A101,Hoja4!$J$3:$J$160)</f>
        <v>23241647.799999997</v>
      </c>
      <c r="G101" s="108">
        <f ca="1">+SUMIF(Hoja4!$B$3:$B$160,$A101,Hoja4!$K$3:$K$160)</f>
        <v>17033837.199999999</v>
      </c>
      <c r="H101" s="169">
        <f>+IFERROR(Hoja4!L97,0)</f>
        <v>0.57706686337855395</v>
      </c>
      <c r="I101" s="169">
        <f ca="1">+IFERROR(Hoja4!M97,0)</f>
        <v>0.42293313662144599</v>
      </c>
    </row>
    <row r="102" spans="1:11" x14ac:dyDescent="0.25">
      <c r="A102" s="75" t="str">
        <f>+Hoja4!B98</f>
        <v>E-20399</v>
      </c>
      <c r="B102" s="111" t="str">
        <f>+Hoja4!C98</f>
        <v>OTR.MAT.YP.USO CONST</v>
      </c>
      <c r="C102" s="108">
        <f>+SUMIF(Hoja4!$B$3:$B$160,$A102,Hoja4!$D$3:$D$160)</f>
        <v>41856139</v>
      </c>
      <c r="D102" s="108">
        <f ca="1">+SUMIF(Hoja4!$B$3:$B$160,$A102,Hoja4!$E$3:$E$160)</f>
        <v>41856139</v>
      </c>
      <c r="E102" s="108">
        <f>+SUMIF(Hoja4!$B$3:$B$160,$A102,Hoja4!$F$3:$F$160)</f>
        <v>0</v>
      </c>
      <c r="F102" s="108">
        <f>+SUMIF(Hoja4!$B$3:$B$160,$A102,Hoja4!$J$3:$J$160)</f>
        <v>24646157.550000001</v>
      </c>
      <c r="G102" s="108">
        <f ca="1">+SUMIF(Hoja4!$B$3:$B$160,$A102,Hoja4!$K$3:$K$160)</f>
        <v>17209981.449999999</v>
      </c>
      <c r="H102" s="169">
        <f>+IFERROR(Hoja4!L98,0)</f>
        <v>0.58883017255843884</v>
      </c>
      <c r="I102" s="169">
        <f ca="1">+IFERROR(Hoja4!M98,0)</f>
        <v>0.41116982744156116</v>
      </c>
    </row>
    <row r="103" spans="1:11" s="23" customFormat="1" x14ac:dyDescent="0.25">
      <c r="A103" s="73" t="str">
        <f>+Hoja4!B99</f>
        <v>E-204</v>
      </c>
      <c r="B103" s="110" t="str">
        <f>+Hoja4!C99</f>
        <v>HERRAM REPUE Y ACCES</v>
      </c>
      <c r="C103" s="74">
        <f>SUM(C104:C105)</f>
        <v>241224577</v>
      </c>
      <c r="D103" s="74">
        <f t="shared" ref="D103:G103" ca="1" si="21">SUM(D104:D105)</f>
        <v>241224576.47</v>
      </c>
      <c r="E103" s="74">
        <f t="shared" si="21"/>
        <v>0</v>
      </c>
      <c r="F103" s="74">
        <f t="shared" si="21"/>
        <v>221101230.13</v>
      </c>
      <c r="G103" s="74">
        <f t="shared" ca="1" si="21"/>
        <v>20123346.869999997</v>
      </c>
      <c r="H103" s="179">
        <f>+IFERROR(Hoja4!L99,0)</f>
        <v>0.91657837223609251</v>
      </c>
      <c r="I103" s="179">
        <f ca="1">+IFERROR(Hoja4!M99,0)</f>
        <v>8.3421627763907311E-2</v>
      </c>
      <c r="J103" s="154"/>
      <c r="K103" s="154"/>
    </row>
    <row r="104" spans="1:11" x14ac:dyDescent="0.25">
      <c r="A104" s="75" t="str">
        <f>+Hoja4!B100</f>
        <v>E-20401</v>
      </c>
      <c r="B104" s="111" t="str">
        <f>+Hoja4!C100</f>
        <v>HERRAM.E INSTRUMENTO</v>
      </c>
      <c r="C104" s="108">
        <f>+SUMIF(Hoja4!$B$3:$B$160,$A104,Hoja4!$D$3:$D$160)</f>
        <v>72898412</v>
      </c>
      <c r="D104" s="108">
        <f ca="1">+SUMIF(Hoja4!$B$3:$B$160,$A104,Hoja4!$E$3:$E$160)</f>
        <v>72898411.590000004</v>
      </c>
      <c r="E104" s="108">
        <f>+SUMIF(Hoja4!$B$3:$B$160,$A104,Hoja4!$F$3:$F$160)</f>
        <v>0</v>
      </c>
      <c r="F104" s="108">
        <f>+SUMIF(Hoja4!$B$3:$B$160,$A104,Hoja4!$J$3:$J$160)</f>
        <v>64269271.509999998</v>
      </c>
      <c r="G104" s="108">
        <f ca="1">+SUMIF(Hoja4!$B$3:$B$160,$A104,Hoja4!$K$3:$K$160)</f>
        <v>8629140.4900000002</v>
      </c>
      <c r="H104" s="169">
        <f>+IFERROR(Hoja4!L100,0)</f>
        <v>0.88162786742185817</v>
      </c>
      <c r="I104" s="169">
        <f ca="1">+IFERROR(Hoja4!M100,0)</f>
        <v>0.11837213257814176</v>
      </c>
    </row>
    <row r="105" spans="1:11" x14ac:dyDescent="0.25">
      <c r="A105" s="75" t="str">
        <f>+Hoja4!B101</f>
        <v>E-20402</v>
      </c>
      <c r="B105" s="111" t="str">
        <f>+Hoja4!C101</f>
        <v>REP.Y ACCESORIOS</v>
      </c>
      <c r="C105" s="108">
        <f>+SUMIF(Hoja4!$B$3:$B$160,$A105,Hoja4!$D$3:$D$160)</f>
        <v>168326165</v>
      </c>
      <c r="D105" s="108">
        <f ca="1">+SUMIF(Hoja4!$B$3:$B$160,$A105,Hoja4!$E$3:$E$160)</f>
        <v>168326164.88</v>
      </c>
      <c r="E105" s="108">
        <f>+SUMIF(Hoja4!$B$3:$B$160,$A105,Hoja4!$F$3:$F$160)</f>
        <v>0</v>
      </c>
      <c r="F105" s="108">
        <f>+SUMIF(Hoja4!$B$3:$B$160,$A105,Hoja4!$J$3:$J$160)</f>
        <v>156831958.62</v>
      </c>
      <c r="G105" s="108">
        <f ca="1">+SUMIF(Hoja4!$B$3:$B$160,$A105,Hoja4!$K$3:$K$160)</f>
        <v>11494206.379999999</v>
      </c>
      <c r="H105" s="169">
        <f>+IFERROR(Hoja4!L101,0)</f>
        <v>0.93171467798841612</v>
      </c>
      <c r="I105" s="169">
        <f ca="1">+IFERROR(Hoja4!M101,0)</f>
        <v>6.8285322011583868E-2</v>
      </c>
    </row>
    <row r="106" spans="1:11" s="23" customFormat="1" x14ac:dyDescent="0.25">
      <c r="A106" s="73" t="str">
        <f>+Hoja4!B102</f>
        <v>E-299</v>
      </c>
      <c r="B106" s="110" t="str">
        <f>+Hoja4!C102</f>
        <v>ÚTILES MAT Y SUM DIV</v>
      </c>
      <c r="C106" s="74">
        <f>SUM(C107:C114)</f>
        <v>971743028</v>
      </c>
      <c r="D106" s="74">
        <f t="shared" ref="D106:G106" ca="1" si="22">SUM(D107:D114)</f>
        <v>971743027.51000011</v>
      </c>
      <c r="E106" s="74">
        <f t="shared" si="22"/>
        <v>0</v>
      </c>
      <c r="F106" s="74">
        <f t="shared" si="22"/>
        <v>944110237.73999989</v>
      </c>
      <c r="G106" s="74">
        <f t="shared" ca="1" si="22"/>
        <v>27632790.260000002</v>
      </c>
      <c r="H106" s="179">
        <f>+IFERROR(Hoja4!L102,0)</f>
        <v>0.97156368560022233</v>
      </c>
      <c r="I106" s="179">
        <f ca="1">+IFERROR(Hoja4!M102,0)</f>
        <v>2.8436314399777719E-2</v>
      </c>
      <c r="J106" s="154"/>
      <c r="K106" s="154"/>
    </row>
    <row r="107" spans="1:11" x14ac:dyDescent="0.25">
      <c r="A107" s="75" t="str">
        <f>+Hoja4!B103</f>
        <v>E-29901</v>
      </c>
      <c r="B107" s="111" t="str">
        <f>+Hoja4!C103</f>
        <v>ÚT.Y MAT.OF.Y COMP.</v>
      </c>
      <c r="C107" s="108">
        <f>+SUMIF(Hoja4!$B$3:$B$160,$A107,Hoja4!$D$3:$D$160)</f>
        <v>16946576</v>
      </c>
      <c r="D107" s="108">
        <f ca="1">+SUMIF(Hoja4!$B$3:$B$160,$A107,Hoja4!$E$3:$E$160)</f>
        <v>16946576</v>
      </c>
      <c r="E107" s="108">
        <f>+SUMIF(Hoja4!$B$3:$B$160,$A107,Hoja4!$F$3:$F$160)</f>
        <v>0</v>
      </c>
      <c r="F107" s="108">
        <f>+SUMIF(Hoja4!$B$3:$B$160,$A107,Hoja4!$J$3:$J$160)</f>
        <v>16592478.129999999</v>
      </c>
      <c r="G107" s="108">
        <f ca="1">+SUMIF(Hoja4!$B$3:$B$160,$A107,Hoja4!$K$3:$K$160)</f>
        <v>354097.87</v>
      </c>
      <c r="H107" s="169">
        <f>+IFERROR(Hoja4!L103,0)</f>
        <v>0.97910504930317477</v>
      </c>
      <c r="I107" s="169">
        <f ca="1">+IFERROR(Hoja4!M103,0)</f>
        <v>2.0894950696825128E-2</v>
      </c>
    </row>
    <row r="108" spans="1:11" x14ac:dyDescent="0.25">
      <c r="A108" s="75" t="str">
        <f>+Hoja4!B104</f>
        <v>E-29902</v>
      </c>
      <c r="B108" s="111" t="str">
        <f>+Hoja4!C104</f>
        <v>UT.Y MAT.MÉD,H.Y INV</v>
      </c>
      <c r="C108" s="108">
        <f>+SUMIF(Hoja4!$B$3:$B$160,$A108,Hoja4!$D$3:$D$160)</f>
        <v>12382557</v>
      </c>
      <c r="D108" s="108">
        <f ca="1">+SUMIF(Hoja4!$B$3:$B$160,$A108,Hoja4!$E$3:$E$160)</f>
        <v>12382557</v>
      </c>
      <c r="E108" s="108">
        <f>+SUMIF(Hoja4!$B$3:$B$160,$A108,Hoja4!$F$3:$F$160)</f>
        <v>0</v>
      </c>
      <c r="F108" s="108">
        <f>+SUMIF(Hoja4!$B$3:$B$160,$A108,Hoja4!$J$3:$J$160)</f>
        <v>11599938.440000001</v>
      </c>
      <c r="G108" s="108">
        <f ca="1">+SUMIF(Hoja4!$B$3:$B$160,$A108,Hoja4!$K$3:$K$160)</f>
        <v>782618.56</v>
      </c>
      <c r="H108" s="169">
        <f>+IFERROR(Hoja4!L104,0)</f>
        <v>0.93679669231484264</v>
      </c>
      <c r="I108" s="169">
        <f ca="1">+IFERROR(Hoja4!M104,0)</f>
        <v>6.3203307685157445E-2</v>
      </c>
    </row>
    <row r="109" spans="1:11" x14ac:dyDescent="0.25">
      <c r="A109" s="75" t="str">
        <f>+Hoja4!B105</f>
        <v>E-29903</v>
      </c>
      <c r="B109" s="111" t="str">
        <f>+Hoja4!C105</f>
        <v>PROD.PAPEL,CART.EIMP</v>
      </c>
      <c r="C109" s="108">
        <f>+SUMIF(Hoja4!$B$3:$B$160,$A109,Hoja4!$D$3:$D$160)</f>
        <v>127285472</v>
      </c>
      <c r="D109" s="108">
        <f ca="1">+SUMIF(Hoja4!$B$3:$B$160,$A109,Hoja4!$E$3:$E$160)</f>
        <v>127285471.97</v>
      </c>
      <c r="E109" s="108">
        <f>+SUMIF(Hoja4!$B$3:$B$160,$A109,Hoja4!$F$3:$F$160)</f>
        <v>0</v>
      </c>
      <c r="F109" s="108">
        <f>+SUMIF(Hoja4!$B$3:$B$160,$A109,Hoja4!$J$3:$J$160)</f>
        <v>126210139.13</v>
      </c>
      <c r="G109" s="108">
        <f ca="1">+SUMIF(Hoja4!$B$3:$B$160,$A109,Hoja4!$K$3:$K$160)</f>
        <v>1075332.8700000001</v>
      </c>
      <c r="H109" s="169">
        <f>+IFERROR(Hoja4!L105,0)</f>
        <v>0.99155180199983861</v>
      </c>
      <c r="I109" s="169">
        <f ca="1">+IFERROR(Hoja4!M105,0)</f>
        <v>8.4481980001614027E-3</v>
      </c>
    </row>
    <row r="110" spans="1:11" x14ac:dyDescent="0.25">
      <c r="A110" s="75" t="str">
        <f>+Hoja4!B106</f>
        <v>E-29904</v>
      </c>
      <c r="B110" s="111" t="str">
        <f>+Hoja4!C106</f>
        <v>TEXTILES Y VESTUARIO</v>
      </c>
      <c r="C110" s="108">
        <f>+SUMIF(Hoja4!$B$3:$B$160,$A110,Hoja4!$D$3:$D$160)</f>
        <v>120712418</v>
      </c>
      <c r="D110" s="108">
        <f ca="1">+SUMIF(Hoja4!$B$3:$B$160,$A110,Hoja4!$E$3:$E$160)</f>
        <v>120712418</v>
      </c>
      <c r="E110" s="108">
        <f>+SUMIF(Hoja4!$B$3:$B$160,$A110,Hoja4!$F$3:$F$160)</f>
        <v>0</v>
      </c>
      <c r="F110" s="108">
        <f>+SUMIF(Hoja4!$B$3:$B$160,$A110,Hoja4!$J$3:$J$160)</f>
        <v>114929714.17999999</v>
      </c>
      <c r="G110" s="108">
        <f ca="1">+SUMIF(Hoja4!$B$3:$B$160,$A110,Hoja4!$K$3:$K$160)</f>
        <v>5782703.8199999994</v>
      </c>
      <c r="H110" s="169">
        <f>+IFERROR(Hoja4!L106,0)</f>
        <v>0.95209520349430821</v>
      </c>
      <c r="I110" s="169">
        <f ca="1">+IFERROR(Hoja4!M106,0)</f>
        <v>4.7904796505691731E-2</v>
      </c>
    </row>
    <row r="111" spans="1:11" x14ac:dyDescent="0.25">
      <c r="A111" s="75" t="str">
        <f>+Hoja4!B107</f>
        <v>E-29905</v>
      </c>
      <c r="B111" s="111" t="str">
        <f>+Hoja4!C107</f>
        <v>ÚTILES Y MATER.LIMP</v>
      </c>
      <c r="C111" s="108">
        <f>+SUMIF(Hoja4!$B$3:$B$160,$A111,Hoja4!$D$3:$D$160)</f>
        <v>139001245</v>
      </c>
      <c r="D111" s="108">
        <f ca="1">+SUMIF(Hoja4!$B$3:$B$160,$A111,Hoja4!$E$3:$E$160)</f>
        <v>139001244.72</v>
      </c>
      <c r="E111" s="108">
        <f>+SUMIF(Hoja4!$B$3:$B$160,$A111,Hoja4!$F$3:$F$160)</f>
        <v>0</v>
      </c>
      <c r="F111" s="108">
        <f>+SUMIF(Hoja4!$B$3:$B$160,$A111,Hoja4!$J$3:$J$160)</f>
        <v>131484420.22</v>
      </c>
      <c r="G111" s="108">
        <f ca="1">+SUMIF(Hoja4!$B$3:$B$160,$A111,Hoja4!$K$3:$K$160)</f>
        <v>7516824.7799999993</v>
      </c>
      <c r="H111" s="169">
        <f>+IFERROR(Hoja4!L107,0)</f>
        <v>0.94592260824714192</v>
      </c>
      <c r="I111" s="169">
        <f ca="1">+IFERROR(Hoja4!M107,0)</f>
        <v>5.4077391752858035E-2</v>
      </c>
    </row>
    <row r="112" spans="1:11" x14ac:dyDescent="0.25">
      <c r="A112" s="75" t="str">
        <f>+Hoja4!B108</f>
        <v>E-29906</v>
      </c>
      <c r="B112" s="111" t="str">
        <f>+Hoja4!C108</f>
        <v>ÚTILES YMAT.RESG.SEG</v>
      </c>
      <c r="C112" s="108">
        <f>+SUMIF(Hoja4!$B$3:$B$160,$A112,Hoja4!$D$3:$D$160)</f>
        <v>413823406</v>
      </c>
      <c r="D112" s="108">
        <f ca="1">+SUMIF(Hoja4!$B$3:$B$160,$A112,Hoja4!$E$3:$E$160)</f>
        <v>413823406</v>
      </c>
      <c r="E112" s="108">
        <f>+SUMIF(Hoja4!$B$3:$B$160,$A112,Hoja4!$F$3:$F$160)</f>
        <v>0</v>
      </c>
      <c r="F112" s="108">
        <f>+SUMIF(Hoja4!$B$3:$B$160,$A112,Hoja4!$J$3:$J$160)</f>
        <v>403452380.44</v>
      </c>
      <c r="G112" s="108">
        <f ca="1">+SUMIF(Hoja4!$B$3:$B$160,$A112,Hoja4!$K$3:$K$160)</f>
        <v>10371025.560000001</v>
      </c>
      <c r="H112" s="169">
        <f>+IFERROR(Hoja4!L108,0)</f>
        <v>0.97493852351116161</v>
      </c>
      <c r="I112" s="169">
        <f ca="1">+IFERROR(Hoja4!M108,0)</f>
        <v>2.5061476488838334E-2</v>
      </c>
    </row>
    <row r="113" spans="1:11" x14ac:dyDescent="0.25">
      <c r="A113" s="75" t="str">
        <f>+Hoja4!B109</f>
        <v>E-29907</v>
      </c>
      <c r="B113" s="111" t="str">
        <f>+Hoja4!C109</f>
        <v>ÚTILES YMAT.COC.YCOM</v>
      </c>
      <c r="C113" s="108">
        <f>+SUMIF(Hoja4!$B$3:$B$160,$A113,Hoja4!$D$3:$D$160)</f>
        <v>63062250</v>
      </c>
      <c r="D113" s="108">
        <f ca="1">+SUMIF(Hoja4!$B$3:$B$160,$A113,Hoja4!$E$3:$E$160)</f>
        <v>63062249.82</v>
      </c>
      <c r="E113" s="108">
        <f>+SUMIF(Hoja4!$B$3:$B$160,$A113,Hoja4!$F$3:$F$160)</f>
        <v>0</v>
      </c>
      <c r="F113" s="108">
        <f>+SUMIF(Hoja4!$B$3:$B$160,$A113,Hoja4!$J$3:$J$160)</f>
        <v>63057413.899999999</v>
      </c>
      <c r="G113" s="108">
        <f ca="1">+SUMIF(Hoja4!$B$3:$B$160,$A113,Hoja4!$K$3:$K$160)</f>
        <v>4836.1000000000004</v>
      </c>
      <c r="H113" s="169">
        <f>+IFERROR(Hoja4!L109,0)</f>
        <v>0.99992331228270481</v>
      </c>
      <c r="I113" s="169">
        <f ca="1">+IFERROR(Hoja4!M109,0)</f>
        <v>7.6687717295212274E-5</v>
      </c>
    </row>
    <row r="114" spans="1:11" x14ac:dyDescent="0.25">
      <c r="A114" s="75" t="str">
        <f>+Hoja4!B110</f>
        <v>E-29999</v>
      </c>
      <c r="B114" s="111" t="str">
        <f>+Hoja4!C110</f>
        <v>OTR.UT,MAT Y SUM.DIV</v>
      </c>
      <c r="C114" s="108">
        <f>+SUMIF(Hoja4!$B$3:$B$160,$A114,Hoja4!$D$3:$D$160)</f>
        <v>78529104</v>
      </c>
      <c r="D114" s="108">
        <f ca="1">+SUMIF(Hoja4!$B$3:$B$160,$A114,Hoja4!$E$3:$E$160)</f>
        <v>78529104</v>
      </c>
      <c r="E114" s="108">
        <f>+SUMIF(Hoja4!$B$3:$B$160,$A114,Hoja4!$F$3:$F$160)</f>
        <v>0</v>
      </c>
      <c r="F114" s="108">
        <f>+SUMIF(Hoja4!$B$3:$B$160,$A114,Hoja4!$J$3:$J$160)</f>
        <v>76783753.299999997</v>
      </c>
      <c r="G114" s="108">
        <f ca="1">+SUMIF(Hoja4!$B$3:$B$160,$A114,Hoja4!$K$3:$K$160)</f>
        <v>1745350.7</v>
      </c>
      <c r="H114" s="169">
        <f>+IFERROR(Hoja4!L110,0)</f>
        <v>0.97777447327044498</v>
      </c>
      <c r="I114" s="169">
        <f ca="1">+IFERROR(Hoja4!M110,0)</f>
        <v>2.2225526729554943E-2</v>
      </c>
    </row>
    <row r="115" spans="1:11" s="126" customFormat="1" x14ac:dyDescent="0.25">
      <c r="A115" s="115" t="str">
        <f>+Hoja4!B111</f>
        <v>E-5</v>
      </c>
      <c r="B115" s="116" t="str">
        <f>+Hoja4!C111</f>
        <v>BIENES DURADEROS</v>
      </c>
      <c r="C115" s="117">
        <f>+C116+C125+C128</f>
        <v>3017512862</v>
      </c>
      <c r="D115" s="117">
        <f t="shared" ref="D115:G115" ca="1" si="23">+D116+D125+D128</f>
        <v>3017512861.0000005</v>
      </c>
      <c r="E115" s="117">
        <f t="shared" si="23"/>
        <v>0</v>
      </c>
      <c r="F115" s="117">
        <f t="shared" si="23"/>
        <v>2872786701.04</v>
      </c>
      <c r="G115" s="117">
        <f t="shared" ca="1" si="23"/>
        <v>144726160.95999998</v>
      </c>
      <c r="H115" s="178">
        <f>+IFERROR(Hoja4!L111,0)</f>
        <v>0.95203793071354936</v>
      </c>
      <c r="I115" s="178">
        <f ca="1">+IFERROR(Hoja4!M111,0)</f>
        <v>4.7962069286450651E-2</v>
      </c>
      <c r="J115" s="155"/>
      <c r="K115" s="155">
        <f>+C115-Estado!C145</f>
        <v>0</v>
      </c>
    </row>
    <row r="116" spans="1:11" s="23" customFormat="1" x14ac:dyDescent="0.25">
      <c r="A116" s="73" t="str">
        <f>+Hoja4!B112</f>
        <v>E-501</v>
      </c>
      <c r="B116" s="110" t="str">
        <f>+Hoja4!C112</f>
        <v>MAQ, EQUIPO Y MOB</v>
      </c>
      <c r="C116" s="74">
        <f>SUM(C117:C124)</f>
        <v>959391035</v>
      </c>
      <c r="D116" s="74">
        <f t="shared" ref="D116:G116" ca="1" si="24">SUM(D117:D124)</f>
        <v>959391034.72000003</v>
      </c>
      <c r="E116" s="74">
        <f t="shared" si="24"/>
        <v>0</v>
      </c>
      <c r="F116" s="74">
        <f t="shared" si="24"/>
        <v>850827338.51999998</v>
      </c>
      <c r="G116" s="74">
        <f t="shared" ca="1" si="24"/>
        <v>108563696.47999999</v>
      </c>
      <c r="H116" s="179">
        <f>+IFERROR(Hoja4!L112,0)</f>
        <v>0.8868410350738789</v>
      </c>
      <c r="I116" s="179">
        <f ca="1">+IFERROR(Hoja4!M112,0)</f>
        <v>0.11315896492612108</v>
      </c>
      <c r="J116" s="154"/>
      <c r="K116" s="154"/>
    </row>
    <row r="117" spans="1:11" x14ac:dyDescent="0.25">
      <c r="A117" s="75" t="str">
        <f>+Hoja4!B113</f>
        <v>E-50101</v>
      </c>
      <c r="B117" s="111" t="str">
        <f>+Hoja4!C113</f>
        <v>MAQ.Y EQ. PRODUCCIÓN</v>
      </c>
      <c r="C117" s="108">
        <f>+SUMIF(Hoja4!$B$3:$B$160,$A117,Hoja4!$D$3:$D$160)</f>
        <v>55423300</v>
      </c>
      <c r="D117" s="108">
        <f ca="1">+SUMIF(Hoja4!$B$3:$B$160,$A117,Hoja4!$E$3:$E$160)</f>
        <v>55423300</v>
      </c>
      <c r="E117" s="108">
        <f>+SUMIF(Hoja4!$B$3:$B$160,$A117,Hoja4!$F$3:$F$160)</f>
        <v>0</v>
      </c>
      <c r="F117" s="108">
        <f>+SUMIF(Hoja4!$B$3:$B$160,$A117,Hoja4!$J$3:$J$160)</f>
        <v>37599063.700000003</v>
      </c>
      <c r="G117" s="108">
        <f ca="1">+SUMIF(Hoja4!$B$3:$B$160,$A117,Hoja4!$K$3:$K$160)</f>
        <v>17824236.300000001</v>
      </c>
      <c r="H117" s="169">
        <f>+IFERROR(Hoja4!L113,0)</f>
        <v>0.67839814121497644</v>
      </c>
      <c r="I117" s="169">
        <f ca="1">+IFERROR(Hoja4!M113,0)</f>
        <v>0.32160185878502362</v>
      </c>
    </row>
    <row r="118" spans="1:11" x14ac:dyDescent="0.25">
      <c r="A118" s="75" t="str">
        <f>+Hoja4!B114</f>
        <v>E-50102</v>
      </c>
      <c r="B118" s="111" t="str">
        <f>+Hoja4!C114</f>
        <v>EQUIPO DE TRANSPORTE</v>
      </c>
      <c r="C118" s="108">
        <f>+SUMIF(Hoja4!$B$3:$B$160,$A118,Hoja4!$D$3:$D$160)</f>
        <v>51330956</v>
      </c>
      <c r="D118" s="108">
        <f ca="1">+SUMIF(Hoja4!$B$3:$B$160,$A118,Hoja4!$E$3:$E$160)</f>
        <v>51330956</v>
      </c>
      <c r="E118" s="108">
        <f>+SUMIF(Hoja4!$B$3:$B$160,$A118,Hoja4!$F$3:$F$160)</f>
        <v>0</v>
      </c>
      <c r="F118" s="108">
        <f>+SUMIF(Hoja4!$B$3:$B$160,$A118,Hoja4!$J$3:$J$160)</f>
        <v>48807846</v>
      </c>
      <c r="G118" s="108">
        <f ca="1">+SUMIF(Hoja4!$B$3:$B$160,$A118,Hoja4!$K$3:$K$160)</f>
        <v>2523110</v>
      </c>
      <c r="H118" s="169">
        <f>+IFERROR(Hoja4!L114,0)</f>
        <v>0.95084623009943547</v>
      </c>
      <c r="I118" s="169">
        <f ca="1">+IFERROR(Hoja4!M114,0)</f>
        <v>4.9153769900564484E-2</v>
      </c>
    </row>
    <row r="119" spans="1:11" x14ac:dyDescent="0.25">
      <c r="A119" s="75" t="str">
        <f>+Hoja4!B115</f>
        <v>E-50103</v>
      </c>
      <c r="B119" s="111" t="str">
        <f>+Hoja4!C115</f>
        <v>EQ. DE COMUNICACIÓN</v>
      </c>
      <c r="C119" s="108">
        <f>+SUMIF(Hoja4!$B$3:$B$160,$A119,Hoja4!$D$3:$D$160)</f>
        <v>49905610.289999999</v>
      </c>
      <c r="D119" s="108">
        <f ca="1">+SUMIF(Hoja4!$B$3:$B$160,$A119,Hoja4!$E$3:$E$160)</f>
        <v>49905610.289999999</v>
      </c>
      <c r="E119" s="108">
        <f>+SUMIF(Hoja4!$B$3:$B$160,$A119,Hoja4!$F$3:$F$160)</f>
        <v>0</v>
      </c>
      <c r="F119" s="108">
        <f>+SUMIF(Hoja4!$B$3:$B$160,$A119,Hoja4!$J$3:$J$160)</f>
        <v>47818143.329999998</v>
      </c>
      <c r="G119" s="108">
        <f ca="1">+SUMIF(Hoja4!$B$3:$B$160,$A119,Hoja4!$K$3:$K$160)</f>
        <v>2087466.96</v>
      </c>
      <c r="H119" s="169">
        <f>+IFERROR(Hoja4!L115,0)</f>
        <v>0.95817169757328302</v>
      </c>
      <c r="I119" s="169">
        <f ca="1">+IFERROR(Hoja4!M115,0)</f>
        <v>4.1828302426717E-2</v>
      </c>
    </row>
    <row r="120" spans="1:11" x14ac:dyDescent="0.25">
      <c r="A120" s="75" t="str">
        <f>+Hoja4!B116</f>
        <v>E-50104</v>
      </c>
      <c r="B120" s="111" t="str">
        <f>+Hoja4!C116</f>
        <v>EQUIPO Y MOB. OFIC.</v>
      </c>
      <c r="C120" s="108">
        <f>+SUMIF(Hoja4!$B$3:$B$160,$A120,Hoja4!$D$3:$D$160)</f>
        <v>243719832.19999999</v>
      </c>
      <c r="D120" s="108">
        <f ca="1">+SUMIF(Hoja4!$B$3:$B$160,$A120,Hoja4!$E$3:$E$160)</f>
        <v>243719832.19999999</v>
      </c>
      <c r="E120" s="108">
        <f>+SUMIF(Hoja4!$B$3:$B$160,$A120,Hoja4!$F$3:$F$160)</f>
        <v>0</v>
      </c>
      <c r="F120" s="108">
        <f>+SUMIF(Hoja4!$B$3:$B$160,$A120,Hoja4!$J$3:$J$160)</f>
        <v>225616689.07999998</v>
      </c>
      <c r="G120" s="108">
        <f ca="1">+SUMIF(Hoja4!$B$3:$B$160,$A120,Hoja4!$K$3:$K$160)</f>
        <v>18103143.119999997</v>
      </c>
      <c r="H120" s="169">
        <f>+IFERROR(Hoja4!L116,0)</f>
        <v>0.92572150178921708</v>
      </c>
      <c r="I120" s="169">
        <f ca="1">+IFERROR(Hoja4!M116,0)</f>
        <v>7.4278498210782862E-2</v>
      </c>
    </row>
    <row r="121" spans="1:11" x14ac:dyDescent="0.25">
      <c r="A121" s="75" t="str">
        <f>+Hoja4!B117</f>
        <v>E-50105</v>
      </c>
      <c r="B121" s="111" t="str">
        <f>+Hoja4!C117</f>
        <v>EQ.Y PROGR. CÓMPUTO</v>
      </c>
      <c r="C121" s="108">
        <f>+SUMIF(Hoja4!$B$3:$B$160,$A121,Hoja4!$D$3:$D$160)</f>
        <v>238267584.50999999</v>
      </c>
      <c r="D121" s="108">
        <f ca="1">+SUMIF(Hoja4!$B$3:$B$160,$A121,Hoja4!$E$3:$E$160)</f>
        <v>238267584.50999999</v>
      </c>
      <c r="E121" s="108">
        <f>+SUMIF(Hoja4!$B$3:$B$160,$A121,Hoja4!$F$3:$F$160)</f>
        <v>0</v>
      </c>
      <c r="F121" s="108">
        <f>+SUMIF(Hoja4!$B$3:$B$160,$A121,Hoja4!$J$3:$J$160)</f>
        <v>230148944.51999998</v>
      </c>
      <c r="G121" s="108">
        <f ca="1">+SUMIF(Hoja4!$B$3:$B$160,$A121,Hoja4!$K$3:$K$160)</f>
        <v>8118639.9900000002</v>
      </c>
      <c r="H121" s="169">
        <f>+IFERROR(Hoja4!L117,0)</f>
        <v>0.96592637640283263</v>
      </c>
      <c r="I121" s="169">
        <f ca="1">+IFERROR(Hoja4!M117,0)</f>
        <v>3.4073623597167348E-2</v>
      </c>
    </row>
    <row r="122" spans="1:11" x14ac:dyDescent="0.25">
      <c r="A122" s="75" t="str">
        <f>+Hoja4!B118</f>
        <v>E-50106</v>
      </c>
      <c r="B122" s="111" t="str">
        <f>+Hoja4!C118</f>
        <v>EQ.SANIT, LAB. E INV</v>
      </c>
      <c r="C122" s="108">
        <f>+SUMIF(Hoja4!$B$3:$B$160,$A122,Hoja4!$D$3:$D$160)</f>
        <v>25655698</v>
      </c>
      <c r="D122" s="108">
        <f ca="1">+SUMIF(Hoja4!$B$3:$B$160,$A122,Hoja4!$E$3:$E$160)</f>
        <v>25655698</v>
      </c>
      <c r="E122" s="108">
        <f>+SUMIF(Hoja4!$B$3:$B$160,$A122,Hoja4!$F$3:$F$160)</f>
        <v>0</v>
      </c>
      <c r="F122" s="108">
        <f>+SUMIF(Hoja4!$B$3:$B$160,$A122,Hoja4!$J$3:$J$160)</f>
        <v>24977286.199999999</v>
      </c>
      <c r="G122" s="108">
        <f ca="1">+SUMIF(Hoja4!$B$3:$B$160,$A122,Hoja4!$K$3:$K$160)</f>
        <v>678411.8</v>
      </c>
      <c r="H122" s="169">
        <f>+IFERROR(Hoja4!L118,0)</f>
        <v>0.97355707102570355</v>
      </c>
      <c r="I122" s="169">
        <f ca="1">+IFERROR(Hoja4!M118,0)</f>
        <v>2.6442928974296471E-2</v>
      </c>
    </row>
    <row r="123" spans="1:11" x14ac:dyDescent="0.25">
      <c r="A123" s="75" t="str">
        <f>+Hoja4!B119</f>
        <v>E-50107</v>
      </c>
      <c r="B123" s="111" t="str">
        <f>+Hoja4!C119</f>
        <v>EQ.YMOB.EDUC,DEP.Y R</v>
      </c>
      <c r="C123" s="108">
        <f>+SUMIF(Hoja4!$B$3:$B$160,$A123,Hoja4!$D$3:$D$160)</f>
        <v>200000</v>
      </c>
      <c r="D123" s="108">
        <f ca="1">+SUMIF(Hoja4!$B$3:$B$160,$A123,Hoja4!$E$3:$E$160)</f>
        <v>200000</v>
      </c>
      <c r="E123" s="108">
        <f>+SUMIF(Hoja4!$B$3:$B$160,$A123,Hoja4!$F$3:$F$160)</f>
        <v>0</v>
      </c>
      <c r="F123" s="108">
        <f>+SUMIF(Hoja4!$B$3:$B$160,$A123,Hoja4!$J$3:$J$160)</f>
        <v>198000</v>
      </c>
      <c r="G123" s="108">
        <f ca="1">+SUMIF(Hoja4!$B$3:$B$160,$A123,Hoja4!$K$3:$K$160)</f>
        <v>2000</v>
      </c>
      <c r="H123" s="169">
        <f>+IFERROR(Hoja4!L119,0)</f>
        <v>0.99</v>
      </c>
      <c r="I123" s="169">
        <f ca="1">+IFERROR(Hoja4!M119,0)</f>
        <v>0.01</v>
      </c>
    </row>
    <row r="124" spans="1:11" x14ac:dyDescent="0.25">
      <c r="A124" s="75" t="str">
        <f>+Hoja4!B120</f>
        <v>E-50199</v>
      </c>
      <c r="B124" s="111" t="str">
        <f>+Hoja4!C120</f>
        <v>MAQ,EQ Y MOV.DIVERSO</v>
      </c>
      <c r="C124" s="108">
        <f>+SUMIF(Hoja4!$B$3:$B$160,$A124,Hoja4!$D$3:$D$160)</f>
        <v>294888054</v>
      </c>
      <c r="D124" s="108">
        <f ca="1">+SUMIF(Hoja4!$B$3:$B$160,$A124,Hoja4!$E$3:$E$160)</f>
        <v>294888053.72000003</v>
      </c>
      <c r="E124" s="108">
        <f>+SUMIF(Hoja4!$B$3:$B$160,$A124,Hoja4!$F$3:$F$160)</f>
        <v>0</v>
      </c>
      <c r="F124" s="108">
        <f>+SUMIF(Hoja4!$B$3:$B$160,$A124,Hoja4!$J$3:$J$160)</f>
        <v>235661365.69</v>
      </c>
      <c r="G124" s="108">
        <f ca="1">+SUMIF(Hoja4!$B$3:$B$160,$A124,Hoja4!$K$3:$K$160)</f>
        <v>59226688.309999995</v>
      </c>
      <c r="H124" s="169">
        <f>+IFERROR(Hoja4!L120,0)</f>
        <v>0.79915534893115747</v>
      </c>
      <c r="I124" s="169">
        <f ca="1">+IFERROR(Hoja4!M120,0)</f>
        <v>0.20084465106884253</v>
      </c>
    </row>
    <row r="125" spans="1:11" s="23" customFormat="1" x14ac:dyDescent="0.25">
      <c r="A125" s="73" t="str">
        <f>+Hoja4!B121</f>
        <v>E-502</v>
      </c>
      <c r="B125" s="110" t="str">
        <f>+Hoja4!C121</f>
        <v>CONST, ADIC YMEJORAS</v>
      </c>
      <c r="C125" s="74">
        <f>SUM(C126:C127)</f>
        <v>1858025864</v>
      </c>
      <c r="D125" s="74">
        <f t="shared" ref="D125:G125" ca="1" si="25">SUM(D126:D127)</f>
        <v>1858025864</v>
      </c>
      <c r="E125" s="74">
        <f t="shared" si="25"/>
        <v>0</v>
      </c>
      <c r="F125" s="74">
        <f t="shared" si="25"/>
        <v>1847602572.75</v>
      </c>
      <c r="G125" s="74">
        <f t="shared" ca="1" si="25"/>
        <v>10423291.25</v>
      </c>
      <c r="H125" s="179">
        <f>+IFERROR(Hoja4!L121,0)</f>
        <v>0.99439012585779596</v>
      </c>
      <c r="I125" s="179">
        <f ca="1">+IFERROR(Hoja4!M121,0)</f>
        <v>5.6098741422040826E-3</v>
      </c>
      <c r="J125" s="154"/>
      <c r="K125" s="154"/>
    </row>
    <row r="126" spans="1:11" x14ac:dyDescent="0.25">
      <c r="A126" s="75" t="str">
        <f>+Hoja4!B122</f>
        <v>E-50201</v>
      </c>
      <c r="B126" s="111" t="str">
        <f>+Hoja4!C122</f>
        <v>EDIFICIOS</v>
      </c>
      <c r="C126" s="108">
        <f>+SUMIF(Hoja4!$B$3:$B$160,$A126,Hoja4!$D$3:$D$160)</f>
        <v>1823040163</v>
      </c>
      <c r="D126" s="108">
        <f ca="1">+SUMIF(Hoja4!$B$3:$B$160,$A126,Hoja4!$E$3:$E$160)</f>
        <v>1823040163</v>
      </c>
      <c r="E126" s="108">
        <f>+SUMIF(Hoja4!$B$3:$B$160,$A126,Hoja4!$F$3:$F$160)</f>
        <v>0</v>
      </c>
      <c r="F126" s="108">
        <f>+SUMIF(Hoja4!$B$3:$B$160,$A126,Hoja4!$J$3:$J$160)</f>
        <v>1814297401.5</v>
      </c>
      <c r="G126" s="108">
        <f ca="1">+SUMIF(Hoja4!$B$3:$B$160,$A126,Hoja4!$K$3:$K$160)</f>
        <v>8742761.5</v>
      </c>
      <c r="H126" s="169">
        <f>+IFERROR(Hoja4!L122,0)</f>
        <v>0.99520429572675295</v>
      </c>
      <c r="I126" s="169">
        <f ca="1">+IFERROR(Hoja4!M122,0)</f>
        <v>4.7957042732469958E-3</v>
      </c>
    </row>
    <row r="127" spans="1:11" x14ac:dyDescent="0.25">
      <c r="A127" s="75" t="str">
        <f>+Hoja4!B123</f>
        <v>E-50207</v>
      </c>
      <c r="B127" s="111" t="str">
        <f>+Hoja4!C123</f>
        <v>INSTALACIONES</v>
      </c>
      <c r="C127" s="108">
        <f>+SUMIF(Hoja4!$B$3:$B$160,$A127,Hoja4!$D$3:$D$160)</f>
        <v>34985701</v>
      </c>
      <c r="D127" s="108">
        <f ca="1">+SUMIF(Hoja4!$B$3:$B$160,$A127,Hoja4!$E$3:$E$160)</f>
        <v>34985701</v>
      </c>
      <c r="E127" s="108">
        <f>+SUMIF(Hoja4!$B$3:$B$160,$A127,Hoja4!$F$3:$F$160)</f>
        <v>0</v>
      </c>
      <c r="F127" s="108">
        <f>+SUMIF(Hoja4!$B$3:$B$160,$A127,Hoja4!$J$3:$J$160)</f>
        <v>33305171.25</v>
      </c>
      <c r="G127" s="108">
        <f ca="1">+SUMIF(Hoja4!$B$3:$B$160,$A127,Hoja4!$K$3:$K$160)</f>
        <v>1680529.75</v>
      </c>
      <c r="H127" s="169">
        <f>+IFERROR(Hoja4!L123,0)</f>
        <v>0.95196524002763305</v>
      </c>
      <c r="I127" s="169">
        <f ca="1">+IFERROR(Hoja4!M123,0)</f>
        <v>4.8034759972366996E-2</v>
      </c>
    </row>
    <row r="128" spans="1:11" s="23" customFormat="1" x14ac:dyDescent="0.25">
      <c r="A128" s="73" t="str">
        <f>+Hoja4!B124</f>
        <v>E-599</v>
      </c>
      <c r="B128" s="110" t="str">
        <f>+Hoja4!C124</f>
        <v>BIENES DURADEROS DIV</v>
      </c>
      <c r="C128" s="74">
        <f>+C129</f>
        <v>200095963</v>
      </c>
      <c r="D128" s="74">
        <f t="shared" ref="D128:G128" ca="1" si="26">+D129</f>
        <v>200095962.28</v>
      </c>
      <c r="E128" s="74">
        <f t="shared" si="26"/>
        <v>0</v>
      </c>
      <c r="F128" s="74">
        <f t="shared" si="26"/>
        <v>174356789.77000001</v>
      </c>
      <c r="G128" s="74">
        <f t="shared" ca="1" si="26"/>
        <v>25739173.23</v>
      </c>
      <c r="H128" s="179">
        <f>+IFERROR(Hoja4!L98,0)</f>
        <v>0.58883017255843884</v>
      </c>
      <c r="I128" s="179">
        <f ca="1">+IFERROR(Hoja4!M98,0)</f>
        <v>0.41116982744156116</v>
      </c>
      <c r="J128" s="154"/>
      <c r="K128" s="154"/>
    </row>
    <row r="129" spans="1:11" x14ac:dyDescent="0.25">
      <c r="A129" s="75" t="str">
        <f>+Hoja4!B125</f>
        <v>E-59903</v>
      </c>
      <c r="B129" s="111" t="str">
        <f>+Hoja4!C125</f>
        <v>BIENES INTANGIBLES</v>
      </c>
      <c r="C129" s="108">
        <f>+SUMIF(Hoja4!$B$3:$B$160,$A129,Hoja4!$D$3:$D$160)</f>
        <v>200095963</v>
      </c>
      <c r="D129" s="108">
        <f ca="1">+SUMIF(Hoja4!$B$3:$B$160,$A129,Hoja4!$E$3:$E$160)</f>
        <v>200095962.28</v>
      </c>
      <c r="E129" s="108">
        <f>+SUMIF(Hoja4!$B$3:$B$160,$A129,Hoja4!$F$3:$F$160)</f>
        <v>0</v>
      </c>
      <c r="F129" s="108">
        <f>+SUMIF(Hoja4!$B$3:$B$160,$A129,Hoja4!$J$3:$J$160)</f>
        <v>174356789.77000001</v>
      </c>
      <c r="G129" s="108">
        <f ca="1">+SUMIF(Hoja4!$B$3:$B$160,$A129,Hoja4!$K$3:$K$160)</f>
        <v>25739173.23</v>
      </c>
      <c r="H129" s="169">
        <f>+IFERROR(Hoja4!L125,0)</f>
        <v>0.87136585444255066</v>
      </c>
      <c r="I129" s="169">
        <f ca="1">+IFERROR(Hoja4!M125,0)</f>
        <v>0.12863414555744934</v>
      </c>
    </row>
    <row r="130" spans="1:11" s="126" customFormat="1" x14ac:dyDescent="0.25">
      <c r="A130" s="115" t="str">
        <f>+Hoja4!B126</f>
        <v>E-6</v>
      </c>
      <c r="B130" s="116" t="str">
        <f>+Hoja4!C126</f>
        <v>TRANSF. CORRIENTES</v>
      </c>
      <c r="C130" s="125">
        <f>+C131+C134+C136+C139+C142</f>
        <v>3656120600</v>
      </c>
      <c r="D130" s="125">
        <f t="shared" ref="D130:G130" ca="1" si="27">+D131+D134+D136+D139+D142</f>
        <v>3656120598.4099998</v>
      </c>
      <c r="E130" s="125">
        <f t="shared" si="27"/>
        <v>0</v>
      </c>
      <c r="F130" s="125">
        <f t="shared" si="27"/>
        <v>3064900861.5499997</v>
      </c>
      <c r="G130" s="125">
        <f t="shared" ca="1" si="27"/>
        <v>591219738.44999993</v>
      </c>
      <c r="H130" s="178">
        <f>+IFERROR(Hoja4!L126,0)</f>
        <v>0.8382931519135336</v>
      </c>
      <c r="I130" s="178">
        <f ca="1">+IFERROR(Hoja4!M126,0)</f>
        <v>0.16170684808646626</v>
      </c>
      <c r="J130" s="155"/>
      <c r="K130" s="155">
        <f>+C130-Estado!C160</f>
        <v>0</v>
      </c>
    </row>
    <row r="131" spans="1:11" s="23" customFormat="1" x14ac:dyDescent="0.25">
      <c r="A131" s="73" t="str">
        <f>+Hoja4!B127</f>
        <v>E-601</v>
      </c>
      <c r="B131" s="110" t="str">
        <f>+Hoja4!C127</f>
        <v>TRANSF CTES S. PUB</v>
      </c>
      <c r="C131" s="127">
        <f>SUM(C132:C133)</f>
        <v>1289145630</v>
      </c>
      <c r="D131" s="127">
        <f t="shared" ref="D131:G131" ca="1" si="28">SUM(D132:D133)</f>
        <v>1289145629.97</v>
      </c>
      <c r="E131" s="127">
        <f t="shared" si="28"/>
        <v>0</v>
      </c>
      <c r="F131" s="127">
        <f t="shared" si="28"/>
        <v>921000470.25999999</v>
      </c>
      <c r="G131" s="127">
        <f t="shared" ca="1" si="28"/>
        <v>368145159.74000001</v>
      </c>
      <c r="H131" s="179">
        <f>+IFERROR(Hoja4!L127,0)</f>
        <v>0.7144270195912622</v>
      </c>
      <c r="I131" s="179">
        <f ca="1">+IFERROR(Hoja4!M127,0)</f>
        <v>0.28557298040873785</v>
      </c>
      <c r="J131" s="154"/>
      <c r="K131" s="154">
        <f>+C131-Estado!C161</f>
        <v>0</v>
      </c>
    </row>
    <row r="132" spans="1:11" s="23" customFormat="1" x14ac:dyDescent="0.25">
      <c r="A132" s="75" t="str">
        <f>+Hoja4!B128</f>
        <v>E-60102</v>
      </c>
      <c r="B132" s="111" t="str">
        <f>+Hoja4!C128</f>
        <v>TRANSF.CTE ORG.DESC</v>
      </c>
      <c r="C132" s="108">
        <f>+SUMIF(Hoja4!$B$3:$B$160,$A132,Hoja4!$D$3:$D$160)</f>
        <v>772816497</v>
      </c>
      <c r="D132" s="108">
        <f ca="1">+SUMIF(Hoja4!$B$3:$B$160,$A132,Hoja4!$E$3:$E$160)</f>
        <v>772816496.97000003</v>
      </c>
      <c r="E132" s="108">
        <f>+SUMIF(Hoja4!$B$3:$B$160,$A132,Hoja4!$F$3:$F$160)</f>
        <v>0</v>
      </c>
      <c r="F132" s="108">
        <f>+SUMIF(Hoja4!$B$3:$B$160,$A132,Hoja4!$J$3:$J$160)</f>
        <v>423638876.53999996</v>
      </c>
      <c r="G132" s="108">
        <f ca="1">+SUMIF(Hoja4!$B$3:$B$160,$A132,Hoja4!$K$3:$K$160)</f>
        <v>349177620.46000004</v>
      </c>
      <c r="H132" s="169">
        <f>+IFERROR(Hoja4!L128,0)</f>
        <v>0.54817525012021062</v>
      </c>
      <c r="I132" s="169">
        <f ca="1">+IFERROR(Hoja4!M128,0)</f>
        <v>0.45182474987978943</v>
      </c>
      <c r="J132" s="154"/>
      <c r="K132" s="154"/>
    </row>
    <row r="133" spans="1:11" x14ac:dyDescent="0.25">
      <c r="A133" s="75" t="str">
        <f>+Hoja4!B129</f>
        <v>E-60103</v>
      </c>
      <c r="B133" s="111" t="str">
        <f>+Hoja4!C129</f>
        <v>TRANSF.CTE I.D.NOE</v>
      </c>
      <c r="C133" s="108">
        <f>+SUMIF(Hoja4!$B$3:$B$160,$A133,Hoja4!$D$3:$D$160)</f>
        <v>516329133</v>
      </c>
      <c r="D133" s="108">
        <f ca="1">+SUMIF(Hoja4!$B$3:$B$160,$A133,Hoja4!$E$3:$E$160)</f>
        <v>516329133</v>
      </c>
      <c r="E133" s="108">
        <f>+SUMIF(Hoja4!$B$3:$B$160,$A133,Hoja4!$F$3:$F$160)</f>
        <v>0</v>
      </c>
      <c r="F133" s="108">
        <f>+SUMIF(Hoja4!$B$3:$B$160,$A133,Hoja4!$J$3:$J$160)</f>
        <v>497361593.72000003</v>
      </c>
      <c r="G133" s="108">
        <f ca="1">+SUMIF(Hoja4!$B$3:$B$160,$A133,Hoja4!$K$3:$K$160)</f>
        <v>18967539.280000001</v>
      </c>
      <c r="H133" s="169">
        <f>+IFERROR(Hoja4!L129,0)</f>
        <v>0.96326463476931101</v>
      </c>
      <c r="I133" s="169">
        <f ca="1">+IFERROR(Hoja4!M129,0)</f>
        <v>3.6735365230689009E-2</v>
      </c>
    </row>
    <row r="134" spans="1:11" s="23" customFormat="1" x14ac:dyDescent="0.25">
      <c r="A134" s="73" t="str">
        <f>+Hoja4!B130</f>
        <v>E-602</v>
      </c>
      <c r="B134" s="110" t="str">
        <f>+Hoja4!C130</f>
        <v>TRANSF CTES A PERS</v>
      </c>
      <c r="C134" s="127">
        <f>+C135</f>
        <v>450000000</v>
      </c>
      <c r="D134" s="127">
        <f t="shared" ref="D134:G134" ca="1" si="29">+D135</f>
        <v>450000000</v>
      </c>
      <c r="E134" s="127">
        <f t="shared" si="29"/>
        <v>0</v>
      </c>
      <c r="F134" s="127">
        <f t="shared" si="29"/>
        <v>373000000</v>
      </c>
      <c r="G134" s="127">
        <f t="shared" ca="1" si="29"/>
        <v>77000000</v>
      </c>
      <c r="H134" s="179">
        <f>+IFERROR(Hoja4!L130,0)</f>
        <v>0.8288888888888889</v>
      </c>
      <c r="I134" s="179">
        <f ca="1">+IFERROR(Hoja4!M130,0)</f>
        <v>0.1711111111111111</v>
      </c>
      <c r="J134" s="154"/>
      <c r="K134" s="154">
        <f>+C134-Estado!C178</f>
        <v>0</v>
      </c>
    </row>
    <row r="135" spans="1:11" x14ac:dyDescent="0.25">
      <c r="A135" s="75" t="str">
        <f>+Hoja4!B131</f>
        <v>E-60299</v>
      </c>
      <c r="B135" s="111" t="str">
        <f>+Hoja4!C131</f>
        <v>OTRAS TRANSF. A PERS</v>
      </c>
      <c r="C135" s="108">
        <f>+SUMIF(Hoja4!$B$3:$B$160,$A135,Hoja4!$D$3:$D$160)</f>
        <v>450000000</v>
      </c>
      <c r="D135" s="108">
        <f ca="1">+SUMIF(Hoja4!$B$3:$B$160,$A135,Hoja4!$E$3:$E$160)</f>
        <v>450000000</v>
      </c>
      <c r="E135" s="108">
        <f>+SUMIF(Hoja4!$B$3:$B$160,$A135,Hoja4!$F$3:$F$160)</f>
        <v>0</v>
      </c>
      <c r="F135" s="108">
        <f>+SUMIF(Hoja4!$B$3:$B$160,$A135,Hoja4!$J$3:$J$160)</f>
        <v>373000000</v>
      </c>
      <c r="G135" s="108">
        <f ca="1">+SUMIF(Hoja4!$B$3:$B$160,$A135,Hoja4!$K$3:$K$160)</f>
        <v>77000000</v>
      </c>
      <c r="H135" s="169">
        <f>+IFERROR(Hoja4!L131,0)</f>
        <v>0.8288888888888889</v>
      </c>
      <c r="I135" s="169">
        <f ca="1">+IFERROR(Hoja4!M131,0)</f>
        <v>0.1711111111111111</v>
      </c>
    </row>
    <row r="136" spans="1:11" s="23" customFormat="1" x14ac:dyDescent="0.25">
      <c r="A136" s="73" t="str">
        <f>+Hoja4!B132</f>
        <v>E-603</v>
      </c>
      <c r="B136" s="110" t="str">
        <f>+Hoja4!C132</f>
        <v>PRESTACIONES</v>
      </c>
      <c r="C136" s="127">
        <f>SUM(C137:C138)</f>
        <v>1322409852</v>
      </c>
      <c r="D136" s="127">
        <f t="shared" ref="D136:G136" ca="1" si="30">SUM(D137:D138)</f>
        <v>1322409851.26</v>
      </c>
      <c r="E136" s="127">
        <f t="shared" si="30"/>
        <v>0</v>
      </c>
      <c r="F136" s="127">
        <f t="shared" si="30"/>
        <v>1186673366.9400001</v>
      </c>
      <c r="G136" s="127">
        <f t="shared" ca="1" si="30"/>
        <v>135736485.06</v>
      </c>
      <c r="H136" s="179">
        <f>+IFERROR(Hoja4!L132,0)</f>
        <v>0.89735671973804987</v>
      </c>
      <c r="I136" s="179">
        <f ca="1">+IFERROR(Hoja4!M132,0)</f>
        <v>0.10264328026195013</v>
      </c>
      <c r="J136" s="154"/>
      <c r="K136" s="154">
        <f>+C136-Estado!C180</f>
        <v>0</v>
      </c>
    </row>
    <row r="137" spans="1:11" x14ac:dyDescent="0.25">
      <c r="A137" s="75" t="str">
        <f>+Hoja4!B133</f>
        <v>E-60301</v>
      </c>
      <c r="B137" s="111" t="str">
        <f>+Hoja4!C133</f>
        <v>PRESTACIONES LEGALES</v>
      </c>
      <c r="C137" s="108">
        <f>+SUMIF(Hoja4!$B$3:$B$160,$A137,Hoja4!$D$3:$D$160)</f>
        <v>904577352</v>
      </c>
      <c r="D137" s="108">
        <f ca="1">+SUMIF(Hoja4!$B$3:$B$160,$A137,Hoja4!$E$3:$E$160)</f>
        <v>904577351.25999999</v>
      </c>
      <c r="E137" s="108">
        <f>+SUMIF(Hoja4!$B$3:$B$160,$A137,Hoja4!$F$3:$F$160)</f>
        <v>0</v>
      </c>
      <c r="F137" s="108">
        <f>+SUMIF(Hoja4!$B$3:$B$160,$A137,Hoja4!$J$3:$J$160)</f>
        <v>847980670.55000007</v>
      </c>
      <c r="G137" s="108">
        <f ca="1">+SUMIF(Hoja4!$B$3:$B$160,$A137,Hoja4!$K$3:$K$160)</f>
        <v>56596681.450000003</v>
      </c>
      <c r="H137" s="169">
        <f>+IFERROR(Hoja4!L133,0)</f>
        <v>0.93743301075926122</v>
      </c>
      <c r="I137" s="169">
        <f ca="1">+IFERROR(Hoja4!M133,0)</f>
        <v>6.2566989240738807E-2</v>
      </c>
    </row>
    <row r="138" spans="1:11" x14ac:dyDescent="0.25">
      <c r="A138" s="75" t="str">
        <f>+Hoja4!B134</f>
        <v>E-60399</v>
      </c>
      <c r="B138" s="111" t="str">
        <f>+Hoja4!C134</f>
        <v>OTRAS PRESTACIONES</v>
      </c>
      <c r="C138" s="108">
        <f>+SUMIF(Hoja4!$B$3:$B$160,$A138,Hoja4!$D$3:$D$160)</f>
        <v>417832500</v>
      </c>
      <c r="D138" s="108">
        <f ca="1">+SUMIF(Hoja4!$B$3:$B$160,$A138,Hoja4!$E$3:$E$160)</f>
        <v>417832500</v>
      </c>
      <c r="E138" s="108">
        <f>+SUMIF(Hoja4!$B$3:$B$160,$A138,Hoja4!$F$3:$F$160)</f>
        <v>0</v>
      </c>
      <c r="F138" s="108">
        <f>+SUMIF(Hoja4!$B$3:$B$160,$A138,Hoja4!$J$3:$J$160)</f>
        <v>338692696.38999999</v>
      </c>
      <c r="G138" s="108">
        <f ca="1">+SUMIF(Hoja4!$B$3:$B$160,$A138,Hoja4!$K$3:$K$160)</f>
        <v>79139803.609999999</v>
      </c>
      <c r="H138" s="169">
        <f>+IFERROR(Hoja4!L134,0)</f>
        <v>0.81059442812610316</v>
      </c>
      <c r="I138" s="169">
        <f ca="1">+IFERROR(Hoja4!M134,0)</f>
        <v>0.18940557187389684</v>
      </c>
    </row>
    <row r="139" spans="1:11" s="23" customFormat="1" x14ac:dyDescent="0.25">
      <c r="A139" s="73" t="str">
        <f>+Hoja4!B135</f>
        <v>E-606</v>
      </c>
      <c r="B139" s="110" t="str">
        <f>+Hoja4!C135</f>
        <v>OTR.TRANSF.CTE SPRIV</v>
      </c>
      <c r="C139" s="74">
        <f>SUM(C140:C141)</f>
        <v>271401000</v>
      </c>
      <c r="D139" s="74">
        <f t="shared" ref="D139:G139" ca="1" si="31">SUM(D140:D141)</f>
        <v>271400999.18000001</v>
      </c>
      <c r="E139" s="74">
        <f t="shared" si="31"/>
        <v>0</v>
      </c>
      <c r="F139" s="74">
        <f t="shared" si="31"/>
        <v>261146503.39000005</v>
      </c>
      <c r="G139" s="74">
        <f t="shared" ca="1" si="31"/>
        <v>10254496.609999999</v>
      </c>
      <c r="H139" s="179">
        <f>+IFERROR(Hoja4!L142,0)</f>
        <v>0.99999999989161381</v>
      </c>
      <c r="I139" s="179">
        <f ca="1">+IFERROR(Hoja4!M142,0)</f>
        <v>1.0838623496740853E-10</v>
      </c>
      <c r="J139" s="154"/>
      <c r="K139" s="154">
        <f>+C139-Estado!C183</f>
        <v>0</v>
      </c>
    </row>
    <row r="140" spans="1:11" x14ac:dyDescent="0.25">
      <c r="A140" s="75" t="str">
        <f>+Hoja4!B136</f>
        <v>E-60601</v>
      </c>
      <c r="B140" s="111" t="str">
        <f>+Hoja4!C136</f>
        <v>INDEMNIZACIONES</v>
      </c>
      <c r="C140" s="108">
        <f>+SUMIF(Hoja4!$B$3:$B$160,$A140,Hoja4!$D$3:$D$160)</f>
        <v>212501000</v>
      </c>
      <c r="D140" s="108">
        <f ca="1">+SUMIF(Hoja4!$B$3:$B$160,$A140,Hoja4!$E$3:$E$160)</f>
        <v>212500999.18000001</v>
      </c>
      <c r="E140" s="108">
        <f>+SUMIF(Hoja4!$B$3:$B$160,$A140,Hoja4!$F$3:$F$160)</f>
        <v>0</v>
      </c>
      <c r="F140" s="108">
        <f>+SUMIF(Hoja4!$B$3:$B$160,$A140,Hoja4!$J$3:$J$160)</f>
        <v>204051366.65000004</v>
      </c>
      <c r="G140" s="108">
        <f ca="1">+SUMIF(Hoja4!$B$3:$B$160,$A140,Hoja4!$K$3:$K$160)</f>
        <v>8449633.3499999996</v>
      </c>
      <c r="H140" s="169">
        <f>+IFERROR(Hoja4!L136,0)</f>
        <v>0.96023720664843948</v>
      </c>
      <c r="I140" s="169">
        <f ca="1">+IFERROR(Hoja4!M136,0)</f>
        <v>3.9762793351560695E-2</v>
      </c>
    </row>
    <row r="141" spans="1:11" s="23" customFormat="1" x14ac:dyDescent="0.25">
      <c r="A141" s="75" t="str">
        <f>+Hoja4!B137</f>
        <v>E-60602</v>
      </c>
      <c r="B141" s="111" t="str">
        <f>+Hoja4!C137</f>
        <v>REINTEGROS O DEVOL.</v>
      </c>
      <c r="C141" s="108">
        <f>+SUMIF(Hoja4!$B$3:$B$160,$A141,Hoja4!$D$3:$D$160)</f>
        <v>58900000</v>
      </c>
      <c r="D141" s="108">
        <f ca="1">+SUMIF(Hoja4!$B$3:$B$160,$A141,Hoja4!$E$3:$E$160)</f>
        <v>58900000</v>
      </c>
      <c r="E141" s="108">
        <f>+SUMIF(Hoja4!$B$3:$B$160,$A141,Hoja4!$F$3:$F$160)</f>
        <v>0</v>
      </c>
      <c r="F141" s="108">
        <f>+SUMIF(Hoja4!$B$3:$B$160,$A141,Hoja4!$J$3:$J$160)</f>
        <v>57095136.739999995</v>
      </c>
      <c r="G141" s="108">
        <f ca="1">+SUMIF(Hoja4!$B$3:$B$160,$A141,Hoja4!$K$3:$K$160)</f>
        <v>1804863.26</v>
      </c>
      <c r="H141" s="169">
        <f>+IFERROR(Hoja4!L137,0)</f>
        <v>0.96935716027164676</v>
      </c>
      <c r="I141" s="169">
        <f ca="1">+IFERROR(Hoja4!M137,0)</f>
        <v>3.064283972835314E-2</v>
      </c>
      <c r="J141" s="154"/>
      <c r="K141" s="154"/>
    </row>
    <row r="142" spans="1:11" s="23" customFormat="1" x14ac:dyDescent="0.25">
      <c r="A142" s="73" t="str">
        <f>+Hoja4!B138</f>
        <v>E-607</v>
      </c>
      <c r="B142" s="110" t="str">
        <f>+Hoja4!C138</f>
        <v>TRANSF CTES AL S.EXT</v>
      </c>
      <c r="C142" s="74">
        <f>+C143</f>
        <v>323164118</v>
      </c>
      <c r="D142" s="74">
        <f t="shared" ref="D142:G142" ca="1" si="32">+D143</f>
        <v>323164118</v>
      </c>
      <c r="E142" s="74">
        <f t="shared" si="32"/>
        <v>0</v>
      </c>
      <c r="F142" s="74">
        <f t="shared" si="32"/>
        <v>323080520.96000004</v>
      </c>
      <c r="G142" s="74">
        <f t="shared" ca="1" si="32"/>
        <v>83597.039999999994</v>
      </c>
      <c r="H142" s="169">
        <f>+IFERROR(Hoja4!L138,0)</f>
        <v>0.99974131707283165</v>
      </c>
      <c r="I142" s="169">
        <f ca="1">+IFERROR(Hoja4!M138,0)</f>
        <v>2.5868292716829406E-4</v>
      </c>
      <c r="J142" s="154"/>
      <c r="K142" s="154">
        <f>+C142-Estado!C186</f>
        <v>0</v>
      </c>
    </row>
    <row r="143" spans="1:11" s="23" customFormat="1" x14ac:dyDescent="0.25">
      <c r="A143" s="75" t="str">
        <f>+Hoja4!B139</f>
        <v>E-60701</v>
      </c>
      <c r="B143" s="111" t="str">
        <f>+Hoja4!C139</f>
        <v>TRANSF.C.TE ORG.INT.</v>
      </c>
      <c r="C143" s="108">
        <f>+SUMIF(Hoja4!$B$3:$B$160,$A143,Hoja4!$D$3:$D$160)</f>
        <v>323164118</v>
      </c>
      <c r="D143" s="108">
        <f ca="1">+SUMIF(Hoja4!$B$3:$B$160,$A143,Hoja4!$E$3:$E$160)</f>
        <v>323164118</v>
      </c>
      <c r="E143" s="108">
        <f>+SUMIF(Hoja4!$B$3:$B$160,$A143,Hoja4!$F$3:$F$160)</f>
        <v>0</v>
      </c>
      <c r="F143" s="108">
        <f>+SUMIF(Hoja4!$B$3:$B$160,$A143,Hoja4!$J$3:$J$160)</f>
        <v>323080520.96000004</v>
      </c>
      <c r="G143" s="108">
        <f ca="1">+SUMIF(Hoja4!$B$3:$B$160,$A143,Hoja4!$K$3:$K$160)</f>
        <v>83597.039999999994</v>
      </c>
      <c r="H143" s="169">
        <f>+IFERROR(Hoja4!L139,0)</f>
        <v>0.99974131707283187</v>
      </c>
      <c r="I143" s="169">
        <f ca="1">+IFERROR(Hoja4!M139,0)</f>
        <v>2.5868292716829406E-4</v>
      </c>
      <c r="J143" s="154"/>
      <c r="K143" s="154"/>
    </row>
    <row r="144" spans="1:11" s="126" customFormat="1" x14ac:dyDescent="0.25">
      <c r="A144" s="115" t="str">
        <f>+Hoja4!B140</f>
        <v>E-7</v>
      </c>
      <c r="B144" s="116" t="str">
        <f>+Hoja4!C140</f>
        <v>TRANSF. DE CAPITAL</v>
      </c>
      <c r="C144" s="117">
        <f>+C145</f>
        <v>9226263836</v>
      </c>
      <c r="D144" s="117">
        <f t="shared" ref="D144:G145" ca="1" si="33">+D145</f>
        <v>9226263835</v>
      </c>
      <c r="E144" s="117">
        <f t="shared" si="33"/>
        <v>0</v>
      </c>
      <c r="F144" s="117">
        <f t="shared" si="33"/>
        <v>9226263835</v>
      </c>
      <c r="G144" s="117">
        <f t="shared" ca="1" si="33"/>
        <v>1</v>
      </c>
      <c r="H144" s="178">
        <f>+IFERROR(Hoja4!L140,0)</f>
        <v>0.99999999989161381</v>
      </c>
      <c r="I144" s="178">
        <f ca="1">+IFERROR(Hoja4!M140,0)</f>
        <v>1.0838623496740853E-10</v>
      </c>
      <c r="J144" s="155"/>
      <c r="K144" s="155">
        <f>+C144-Estado!C191</f>
        <v>0</v>
      </c>
    </row>
    <row r="145" spans="1:11" s="23" customFormat="1" x14ac:dyDescent="0.25">
      <c r="A145" s="73" t="str">
        <f>+Hoja4!B141</f>
        <v>E-701</v>
      </c>
      <c r="B145" s="110" t="str">
        <f>+Hoja4!C141</f>
        <v>TRANSF DE CTAL S PUB</v>
      </c>
      <c r="C145" s="74">
        <f>+C146</f>
        <v>9226263836</v>
      </c>
      <c r="D145" s="74">
        <f t="shared" ca="1" si="33"/>
        <v>9226263835</v>
      </c>
      <c r="E145" s="74">
        <f t="shared" si="33"/>
        <v>0</v>
      </c>
      <c r="F145" s="74">
        <f t="shared" si="33"/>
        <v>9226263835</v>
      </c>
      <c r="G145" s="74">
        <f t="shared" ca="1" si="33"/>
        <v>1</v>
      </c>
      <c r="H145" s="179">
        <f>+IFERROR(Hoja4!L141,0)</f>
        <v>0.99999999989161381</v>
      </c>
      <c r="I145" s="179">
        <f ca="1">+IFERROR(Hoja4!M141,0)</f>
        <v>1.0838623496740853E-10</v>
      </c>
      <c r="J145" s="154"/>
      <c r="K145" s="154"/>
    </row>
    <row r="146" spans="1:11" s="23" customFormat="1" x14ac:dyDescent="0.25">
      <c r="A146" s="75" t="str">
        <f>+Hoja4!B142</f>
        <v>E-70102</v>
      </c>
      <c r="B146" s="111" t="str">
        <f>+Hoja4!C142</f>
        <v>TRANSF.CTAL ORG.DESC</v>
      </c>
      <c r="C146" s="108">
        <f>+SUMIF(Hoja4!$B$3:$B$160,$A146,Hoja4!$D$3:$D$160)</f>
        <v>9226263836</v>
      </c>
      <c r="D146" s="108">
        <f ca="1">+SUMIF(Hoja4!$B$3:$B$160,$A146,Hoja4!$E$3:$E$160)</f>
        <v>9226263835</v>
      </c>
      <c r="E146" s="108">
        <f>+SUMIF(Hoja4!$B$3:$B$160,$A146,Hoja4!$F$3:$F$160)</f>
        <v>0</v>
      </c>
      <c r="F146" s="108">
        <f>+SUMIF(Hoja4!$B$3:$B$160,$A146,Hoja4!$J$3:$J$160)</f>
        <v>9226263835</v>
      </c>
      <c r="G146" s="108">
        <f ca="1">+SUMIF(Hoja4!$B$3:$B$160,$A146,Hoja4!$K$3:$K$160)</f>
        <v>1</v>
      </c>
      <c r="H146" s="169">
        <f>+IFERROR(Hoja4!L142,0)</f>
        <v>0.99999999989161381</v>
      </c>
      <c r="I146" s="169">
        <f ca="1">+IFERROR(Hoja4!M142,0)</f>
        <v>1.0838623496740853E-10</v>
      </c>
      <c r="J146" s="154"/>
      <c r="K146" s="154"/>
    </row>
    <row r="147" spans="1:11" ht="15.75" thickBot="1" x14ac:dyDescent="0.3">
      <c r="A147" s="78" t="s">
        <v>15</v>
      </c>
      <c r="B147" s="112"/>
      <c r="C147" s="79">
        <f>+C144+C130+C115+C85+C32+C7</f>
        <v>117089523837</v>
      </c>
      <c r="D147" s="79">
        <f t="shared" ref="D147:G147" ca="1" si="34">+D144+D130+D115+D85+D32+D7</f>
        <v>117086609403.25</v>
      </c>
      <c r="E147" s="79">
        <f t="shared" si="34"/>
        <v>4362972</v>
      </c>
      <c r="F147" s="79">
        <f t="shared" si="34"/>
        <v>112829781621.75</v>
      </c>
      <c r="G147" s="79">
        <f t="shared" ca="1" si="34"/>
        <v>4255379243.25</v>
      </c>
      <c r="H147" s="180">
        <f>+Hoja1!K13</f>
        <v>0.96361978360096512</v>
      </c>
      <c r="I147" s="180">
        <f ca="1">+Hoja1!L13</f>
        <v>3.6342954551373027E-2</v>
      </c>
    </row>
    <row r="148" spans="1:11" x14ac:dyDescent="0.25">
      <c r="A148" s="81"/>
      <c r="B148" s="81"/>
      <c r="C148" s="44">
        <f>+C147-Hoja4!D143</f>
        <v>0</v>
      </c>
      <c r="D148" s="44">
        <f ca="1">+D147-Hoja4!E143</f>
        <v>0</v>
      </c>
      <c r="E148" s="44">
        <f>+E147-Hoja4!F143</f>
        <v>0</v>
      </c>
      <c r="F148" s="44">
        <f>SUM(Hoja4!G143:I143)-F147</f>
        <v>0</v>
      </c>
      <c r="G148" s="44">
        <f ca="1">+G147-Hoja4!K143</f>
        <v>0</v>
      </c>
      <c r="H148" s="43"/>
      <c r="I148" s="43"/>
    </row>
  </sheetData>
  <mergeCells count="11">
    <mergeCell ref="A1:I1"/>
    <mergeCell ref="A2:I2"/>
    <mergeCell ref="A3:I3"/>
    <mergeCell ref="I5:I6"/>
    <mergeCell ref="A5:A6"/>
    <mergeCell ref="C5:C6"/>
    <mergeCell ref="D5:D6"/>
    <mergeCell ref="E5:E6"/>
    <mergeCell ref="G5:G6"/>
    <mergeCell ref="H5:H6"/>
    <mergeCell ref="B5:B6"/>
  </mergeCells>
  <conditionalFormatting sqref="H7:H124 H126:H141 H143:H146">
    <cfRule type="cellIs" dxfId="2" priority="8" operator="lessThan">
      <formula>0.95</formula>
    </cfRule>
  </conditionalFormatting>
  <conditionalFormatting sqref="I7:I124 I126:I141 I143:I146">
    <cfRule type="cellIs" dxfId="1" priority="7" operator="greaterThan">
      <formula>0.05</formula>
    </cfRule>
  </conditionalFormatting>
  <pageMargins left="0.7" right="0.7" top="0.75" bottom="0.75" header="0.3" footer="0.3"/>
  <pageSetup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Normal="100" workbookViewId="0">
      <selection activeCell="L32" sqref="L32"/>
    </sheetView>
  </sheetViews>
  <sheetFormatPr baseColWidth="10" defaultRowHeight="15" x14ac:dyDescent="0.25"/>
  <cols>
    <col min="1" max="1" width="5.7109375" customWidth="1"/>
    <col min="2" max="2" width="35.140625" customWidth="1"/>
    <col min="3" max="3" width="18" bestFit="1" customWidth="1"/>
    <col min="4" max="4" width="16.85546875" bestFit="1" customWidth="1"/>
    <col min="5" max="5" width="14.7109375" bestFit="1" customWidth="1"/>
    <col min="6" max="6" width="8" bestFit="1" customWidth="1"/>
    <col min="7" max="7" width="15.7109375" bestFit="1" customWidth="1"/>
    <col min="8" max="8" width="8" bestFit="1" customWidth="1"/>
    <col min="9" max="9" width="13.28515625" customWidth="1"/>
    <col min="10" max="10" width="8.7109375" customWidth="1"/>
    <col min="11" max="11" width="16.85546875" bestFit="1" customWidth="1"/>
    <col min="12" max="12" width="7.5703125" customWidth="1"/>
    <col min="13" max="13" width="15.7109375" bestFit="1" customWidth="1"/>
    <col min="14" max="14" width="6.7109375" bestFit="1" customWidth="1"/>
    <col min="15" max="15" width="15.7109375" bestFit="1" customWidth="1"/>
    <col min="16" max="16" width="9.140625" customWidth="1"/>
    <col min="17" max="17" width="15.7109375" bestFit="1" customWidth="1"/>
    <col min="18" max="18" width="6.7109375" bestFit="1" customWidth="1"/>
  </cols>
  <sheetData>
    <row r="1" spans="1:19" ht="15.75" x14ac:dyDescent="0.25">
      <c r="A1" s="40" t="str">
        <f>+[2]Consolidado!A5</f>
        <v>214  - Ministerio de Justicia y Gracia</v>
      </c>
      <c r="B1" s="40"/>
      <c r="C1" s="40"/>
    </row>
    <row r="2" spans="1:19" ht="24" x14ac:dyDescent="0.25">
      <c r="A2" s="53" t="s">
        <v>24</v>
      </c>
      <c r="B2" s="53"/>
      <c r="C2" s="53" t="s">
        <v>25</v>
      </c>
      <c r="D2" s="53" t="s">
        <v>26</v>
      </c>
      <c r="E2" s="53" t="s">
        <v>27</v>
      </c>
      <c r="F2" s="53" t="s">
        <v>28</v>
      </c>
      <c r="G2" s="53" t="s">
        <v>29</v>
      </c>
      <c r="H2" s="53" t="s">
        <v>30</v>
      </c>
      <c r="I2" s="53" t="s">
        <v>31</v>
      </c>
      <c r="J2" s="53" t="s">
        <v>32</v>
      </c>
      <c r="K2" s="53" t="s">
        <v>33</v>
      </c>
      <c r="L2" s="53" t="s">
        <v>34</v>
      </c>
      <c r="M2" s="53" t="s">
        <v>35</v>
      </c>
      <c r="N2" s="53" t="s">
        <v>36</v>
      </c>
      <c r="O2" s="53" t="s">
        <v>37</v>
      </c>
      <c r="P2" s="53" t="s">
        <v>38</v>
      </c>
      <c r="Q2" s="53" t="s">
        <v>39</v>
      </c>
      <c r="R2" s="54" t="s">
        <v>40</v>
      </c>
    </row>
    <row r="3" spans="1:19" x14ac:dyDescent="0.25">
      <c r="A3" s="11" t="s">
        <v>41</v>
      </c>
      <c r="B3" s="11"/>
      <c r="C3" s="11" t="s">
        <v>42</v>
      </c>
      <c r="D3" s="11" t="s">
        <v>42</v>
      </c>
      <c r="E3" s="11" t="s">
        <v>42</v>
      </c>
      <c r="F3" s="41"/>
      <c r="G3" s="11" t="s">
        <v>42</v>
      </c>
      <c r="H3" s="11"/>
      <c r="I3" s="11" t="s">
        <v>42</v>
      </c>
      <c r="J3" s="41"/>
      <c r="K3" s="11" t="s">
        <v>42</v>
      </c>
      <c r="L3" s="11"/>
      <c r="M3" s="11" t="s">
        <v>42</v>
      </c>
      <c r="N3" s="11"/>
      <c r="O3" s="11" t="s">
        <v>42</v>
      </c>
      <c r="P3" s="11"/>
      <c r="Q3" s="11" t="s">
        <v>42</v>
      </c>
      <c r="R3" s="13"/>
    </row>
    <row r="4" spans="1:19" x14ac:dyDescent="0.25">
      <c r="A4" s="11" t="s">
        <v>100</v>
      </c>
      <c r="B4" s="11" t="s">
        <v>101</v>
      </c>
      <c r="C4" s="13">
        <f>SUMIF(Estado!$A$9:$A$365,$A4,Estado!$C$9:$C$365)</f>
        <v>79101866424</v>
      </c>
      <c r="D4" s="13">
        <f ca="1">SUMIF(Estado!$A$9:$A$365,$A4,Estado!$D$9:$D$365)</f>
        <v>79098952023</v>
      </c>
      <c r="E4" s="13">
        <f>SUMIF(Estado!$A$9:$A$365,$A4,Estado!$E$9:$E$365)</f>
        <v>0</v>
      </c>
      <c r="F4" s="49">
        <f t="shared" ref="F4:F9" si="0">+E4/C4</f>
        <v>0</v>
      </c>
      <c r="G4" s="13">
        <f>SUMIF(Estado!$A$9:$A$365,$A4,Estado!$G$9:$G$365)</f>
        <v>45261660.800000004</v>
      </c>
      <c r="H4" s="49">
        <f t="shared" ref="H4:H9" si="1">+G4/$C$4</f>
        <v>5.7219459977580676E-4</v>
      </c>
      <c r="I4" s="13">
        <f>SUMIF(Estado!$A$9:$A$365,$A4,Estado!$I$9:$I$365)</f>
        <v>0</v>
      </c>
      <c r="J4" s="49">
        <f t="shared" ref="J4:J8" si="2">+I4/(E4+G4)</f>
        <v>0</v>
      </c>
      <c r="K4" s="13">
        <f>SUMIF(Estado!$A$9:$A$365,$A4,Estado!$K$9:$K$365)</f>
        <v>76874198903.709991</v>
      </c>
      <c r="L4" s="49">
        <f t="shared" ref="L4:L9" si="3">+K4/$C$4</f>
        <v>0.97183799041669494</v>
      </c>
      <c r="M4" s="13">
        <f>SUMIF(Estado!$A$9:$A$365,$A4,Estado!$M$9:$M$365)</f>
        <v>63137433799.969994</v>
      </c>
      <c r="N4" s="49">
        <f t="shared" ref="N4:N9" si="4">+M4/$C$4</f>
        <v>0.7981788123878415</v>
      </c>
      <c r="O4" s="13">
        <f ca="1">SUMIF(Estado!$A$9:$A$365,$A4,Estado!$O$9:$O$365)</f>
        <v>2182405859.4899998</v>
      </c>
      <c r="P4" s="49">
        <f t="shared" ref="P4:P9" ca="1" si="5">+O4/$C$4</f>
        <v>2.7589814983529189E-2</v>
      </c>
      <c r="Q4" s="13">
        <f ca="1">SUMIF(Estado!$A$9:$A$365,$A4,Estado!$Q$9:$Q$365)</f>
        <v>2179491458.4899998</v>
      </c>
      <c r="R4" s="49">
        <f ca="1">+Q4/$C$4</f>
        <v>2.7552971339608347E-2</v>
      </c>
    </row>
    <row r="5" spans="1:19" x14ac:dyDescent="0.25">
      <c r="A5" s="11" t="s">
        <v>136</v>
      </c>
      <c r="B5" s="11" t="s">
        <v>137</v>
      </c>
      <c r="C5" s="13">
        <f>SUMIF(Estado!$A$9:$A$365,$A5,Estado!$C$9:$C$365)</f>
        <v>9118490598</v>
      </c>
      <c r="D5" s="13">
        <f ca="1">SUMIF(Estado!$A$9:$A$365,$A5,Estado!$D$9:$D$365)</f>
        <v>9118490575.4300003</v>
      </c>
      <c r="E5" s="13">
        <f>SUMIF(Estado!$A$9:$A$365,$A5,Estado!$E$9:$E$365)</f>
        <v>4362972</v>
      </c>
      <c r="F5" s="49">
        <f t="shared" si="0"/>
        <v>4.7847524248771509E-4</v>
      </c>
      <c r="G5" s="13">
        <f>SUMIF(Estado!$A$9:$A$365,$A5,Estado!$G$9:$G$365)</f>
        <v>1004512454.8499999</v>
      </c>
      <c r="H5" s="49">
        <f t="shared" si="1"/>
        <v>1.2698972859447278E-2</v>
      </c>
      <c r="I5" s="13">
        <f>SUMIF(Estado!$A$9:$A$365,$A5,Estado!$I$9:$I$365)</f>
        <v>0</v>
      </c>
      <c r="J5" s="49">
        <f t="shared" si="2"/>
        <v>0</v>
      </c>
      <c r="K5" s="13">
        <f>SUMIF(Estado!$A$9:$A$365,$A5,Estado!$K$9:$K$365)</f>
        <v>7738830064.6400003</v>
      </c>
      <c r="L5" s="49">
        <f t="shared" si="3"/>
        <v>9.7833722698254702E-2</v>
      </c>
      <c r="M5" s="13">
        <f>SUMIF(Estado!$A$9:$A$365,$A5,Estado!$M$9:$M$365)</f>
        <v>6798136265.2399998</v>
      </c>
      <c r="N5" s="49">
        <f t="shared" si="4"/>
        <v>8.5941540605385808E-2</v>
      </c>
      <c r="O5" s="13">
        <f ca="1">SUMIF(Estado!$A$9:$A$365,$A5,Estado!$O$9:$O$365)</f>
        <v>370785106.50999999</v>
      </c>
      <c r="P5" s="49">
        <f t="shared" ca="1" si="5"/>
        <v>4.6874381512381292E-3</v>
      </c>
      <c r="Q5" s="13">
        <f ca="1">SUMIF(Estado!$A$9:$A$365,$A5,Estado!$Q$9:$Q$365)</f>
        <v>370785083.94</v>
      </c>
      <c r="R5" s="49">
        <f ca="1">+Q5/$C$5</f>
        <v>4.066298911590982E-2</v>
      </c>
    </row>
    <row r="6" spans="1:19" x14ac:dyDescent="0.25">
      <c r="A6" s="11" t="s">
        <v>214</v>
      </c>
      <c r="B6" s="11" t="s">
        <v>494</v>
      </c>
      <c r="C6" s="13">
        <f>SUMIF(Estado!$A$9:$A$365,$A6,Estado!$C$9:$C$365)</f>
        <v>12969269517</v>
      </c>
      <c r="D6" s="13">
        <f ca="1">SUMIF(Estado!$A$9:$A$365,$A6,Estado!$D$9:$D$365)</f>
        <v>12969269510.41</v>
      </c>
      <c r="E6" s="13">
        <f>SUMIF(Estado!$A$9:$A$365,$A6,Estado!$E$9:$E$365)</f>
        <v>0</v>
      </c>
      <c r="F6" s="49">
        <f t="shared" si="0"/>
        <v>0</v>
      </c>
      <c r="G6" s="13">
        <f>SUMIF(Estado!$A$9:$A$365,$A6,Estado!$G$9:$G$365)</f>
        <v>1112309965.5900002</v>
      </c>
      <c r="H6" s="49">
        <f t="shared" si="1"/>
        <v>1.4061741092527728E-2</v>
      </c>
      <c r="I6" s="13">
        <f>SUMIF(Estado!$A$9:$A$365,$A6,Estado!$I$9:$I$365)</f>
        <v>0</v>
      </c>
      <c r="J6" s="49">
        <f t="shared" si="2"/>
        <v>0</v>
      </c>
      <c r="K6" s="13">
        <f>SUMIF(Estado!$A$9:$A$365,$A6,Estado!$K$9:$K$365)</f>
        <v>10890717174.57</v>
      </c>
      <c r="L6" s="49">
        <f t="shared" si="3"/>
        <v>0.13767964862161189</v>
      </c>
      <c r="M6" s="13">
        <f>SUMIF(Estado!$A$9:$A$365,$A6,Estado!$M$9:$M$365)</f>
        <v>10074703134.779999</v>
      </c>
      <c r="N6" s="49">
        <f t="shared" si="4"/>
        <v>0.12736365891517409</v>
      </c>
      <c r="O6" s="13">
        <f ca="1">SUMIF(Estado!$A$9:$A$365,$A6,Estado!$O$9:$O$365)</f>
        <v>966242376.84000003</v>
      </c>
      <c r="P6" s="49">
        <f t="shared" ca="1" si="5"/>
        <v>1.2215165337070176E-2</v>
      </c>
      <c r="Q6" s="13">
        <f ca="1">SUMIF(Estado!$A$9:$A$365,$A6,Estado!$Q$9:$Q$365)</f>
        <v>966242370.25</v>
      </c>
      <c r="R6" s="49">
        <f ca="1">+Q6/$C$6</f>
        <v>7.4502451274025758E-2</v>
      </c>
    </row>
    <row r="7" spans="1:19" x14ac:dyDescent="0.25">
      <c r="A7" s="11" t="s">
        <v>296</v>
      </c>
      <c r="B7" s="11" t="s">
        <v>297</v>
      </c>
      <c r="C7" s="13">
        <f>SUMIF(Estado!$A$9:$A$365,$A7,Estado!$C$9:$C$365)</f>
        <v>3017512862</v>
      </c>
      <c r="D7" s="13">
        <f ca="1">SUMIF(Estado!$A$9:$A$365,$A7,Estado!$D$9:$D$365)</f>
        <v>3017512861</v>
      </c>
      <c r="E7" s="13">
        <f>SUMIF(Estado!$A$9:$A$365,$A7,Estado!$E$9:$E$365)</f>
        <v>0</v>
      </c>
      <c r="F7" s="49">
        <f t="shared" si="0"/>
        <v>0</v>
      </c>
      <c r="G7" s="13">
        <f>SUMIF(Estado!$A$9:$A$365,$A7,Estado!$G$9:$G$365)</f>
        <v>443637739.51999998</v>
      </c>
      <c r="H7" s="49">
        <f t="shared" si="1"/>
        <v>5.60843580026321E-3</v>
      </c>
      <c r="I7" s="13">
        <f>SUMIF(Estado!$A$9:$A$365,$A7,Estado!$I$9:$I$365)</f>
        <v>0</v>
      </c>
      <c r="J7" s="49">
        <f t="shared" si="2"/>
        <v>0</v>
      </c>
      <c r="K7" s="13">
        <f>SUMIF(Estado!$A$9:$A$365,$A7,Estado!$K$9:$K$365)</f>
        <v>2429148961.52</v>
      </c>
      <c r="L7" s="49">
        <f t="shared" si="3"/>
        <v>3.0709123201965068E-2</v>
      </c>
      <c r="M7" s="13">
        <f>SUMIF(Estado!$A$9:$A$365,$A7,Estado!$M$9:$M$365)</f>
        <v>1214810225.79</v>
      </c>
      <c r="N7" s="49">
        <f t="shared" si="4"/>
        <v>1.5357541872380131E-2</v>
      </c>
      <c r="O7" s="13">
        <f ca="1">SUMIF(Estado!$A$9:$A$365,$A7,Estado!$O$9:$O$365)</f>
        <v>144726160.96000001</v>
      </c>
      <c r="P7" s="49">
        <f t="shared" ca="1" si="5"/>
        <v>1.8296175236149571E-3</v>
      </c>
      <c r="Q7" s="13">
        <f ca="1">SUMIF(Estado!$A$9:$A$365,$A7,Estado!$Q$9:$Q$365)</f>
        <v>144726159.96000001</v>
      </c>
      <c r="R7" s="49">
        <f ca="1">+Q7/$C$7</f>
        <v>4.7962068955051902E-2</v>
      </c>
    </row>
    <row r="8" spans="1:19" x14ac:dyDescent="0.25">
      <c r="A8" s="11" t="s">
        <v>266</v>
      </c>
      <c r="B8" s="11" t="s">
        <v>533</v>
      </c>
      <c r="C8" s="13">
        <f>SUMIF(Estado!$A$9:$A$365,$A8,Estado!$C$9:$C$365)</f>
        <v>3656120600</v>
      </c>
      <c r="D8" s="13">
        <f ca="1">SUMIF(Estado!$A$9:$A$365,$A8,Estado!$D$9:$D$365)</f>
        <v>3656120598.4099998</v>
      </c>
      <c r="E8" s="13">
        <f>SUMIF(Estado!$A$9:$A$365,$A8,Estado!$E$9:$E$365)</f>
        <v>0</v>
      </c>
      <c r="F8" s="49">
        <f t="shared" si="0"/>
        <v>0</v>
      </c>
      <c r="G8" s="13">
        <f>SUMIF(Estado!$A$9:$A$365,$A8,Estado!$G$9:$G$365)</f>
        <v>292678526.91000003</v>
      </c>
      <c r="H8" s="49">
        <f t="shared" si="1"/>
        <v>3.7000204943482794E-3</v>
      </c>
      <c r="I8" s="13">
        <f>SUMIF(Estado!$A$9:$A$365,$A8,Estado!$I$9:$I$365)</f>
        <v>0</v>
      </c>
      <c r="J8" s="49">
        <f t="shared" si="2"/>
        <v>0</v>
      </c>
      <c r="K8" s="13">
        <f>SUMIF(Estado!$A$9:$A$365,$A8,Estado!$K$9:$K$365)</f>
        <v>2772222334.6399999</v>
      </c>
      <c r="L8" s="49">
        <f t="shared" si="3"/>
        <v>3.504623164996383E-2</v>
      </c>
      <c r="M8" s="13">
        <f>SUMIF(Estado!$A$9:$A$365,$A8,Estado!$M$9:$M$365)</f>
        <v>2714508079.0100002</v>
      </c>
      <c r="N8" s="49">
        <f t="shared" si="4"/>
        <v>3.4316612258676132E-2</v>
      </c>
      <c r="O8" s="13">
        <f ca="1">SUMIF(Estado!$A$9:$A$365,$A8,Estado!$O$9:$O$365)</f>
        <v>591219738.44999993</v>
      </c>
      <c r="P8" s="49">
        <f t="shared" ca="1" si="5"/>
        <v>7.4741566182643217E-3</v>
      </c>
      <c r="Q8" s="13">
        <f ca="1">SUMIF(Estado!$A$9:$A$365,$A8,Estado!$Q$9:$Q$365)</f>
        <v>591219736.8599999</v>
      </c>
      <c r="R8" s="49">
        <f ca="1">+Q8/$C$8</f>
        <v>0.16170684765157908</v>
      </c>
    </row>
    <row r="9" spans="1:19" x14ac:dyDescent="0.25">
      <c r="A9" s="11" t="s">
        <v>399</v>
      </c>
      <c r="B9" s="11" t="s">
        <v>551</v>
      </c>
      <c r="C9" s="13">
        <f>SUMIF(Estado!$A$9:$A$365,$A9,Estado!$C$9:$C$365)</f>
        <v>9226263836</v>
      </c>
      <c r="D9" s="13">
        <f ca="1">SUMIF(Estado!$A$9:$A$365,$A9,Estado!$D$9:$D$365)</f>
        <v>9226263835</v>
      </c>
      <c r="E9" s="13">
        <f>SUMIF(Estado!$A$9:$A$365,$A9,Estado!$E$9:$E$365)</f>
        <v>0</v>
      </c>
      <c r="F9" s="49">
        <f t="shared" si="0"/>
        <v>0</v>
      </c>
      <c r="G9" s="13">
        <f>SUMIF(Estado!$A$9:$A$365,$A9,Estado!$G$9:$G$365)</f>
        <v>0</v>
      </c>
      <c r="H9" s="49">
        <f t="shared" si="1"/>
        <v>0</v>
      </c>
      <c r="I9" s="13">
        <f>SUMIF(Estado!$A$9:$A$365,$A9,Estado!$I$9:$I$365)</f>
        <v>0</v>
      </c>
      <c r="J9" s="49">
        <v>0</v>
      </c>
      <c r="K9" s="13">
        <f>SUMIF(Estado!$A$9:$A$365,$A9,Estado!$K$9:$K$365)</f>
        <v>9226263835</v>
      </c>
      <c r="L9" s="49">
        <f t="shared" si="3"/>
        <v>0.11663775144755237</v>
      </c>
      <c r="M9" s="13">
        <f>SUMIF(Estado!$A$9:$A$365,$A9,Estado!$M$9:$M$365)</f>
        <v>8747052594</v>
      </c>
      <c r="N9" s="49">
        <f t="shared" si="4"/>
        <v>0.11057959804784188</v>
      </c>
      <c r="O9" s="13">
        <f ca="1">SUMIF(Estado!$A$9:$A$365,$A9,Estado!$O$9:$O$365)</f>
        <v>1</v>
      </c>
      <c r="P9" s="49">
        <f t="shared" ca="1" si="5"/>
        <v>1.2641926735834817E-11</v>
      </c>
      <c r="Q9" s="13">
        <f ca="1">SUMIF(Estado!$A$9:$A$365,$A9,Estado!$Q$9:$Q$365)</f>
        <v>0</v>
      </c>
      <c r="R9" s="49">
        <f ca="1">+Q9/$C$9</f>
        <v>0</v>
      </c>
    </row>
    <row r="10" spans="1:19" x14ac:dyDescent="0.25">
      <c r="A10" s="55" t="s">
        <v>60</v>
      </c>
      <c r="B10" s="55"/>
      <c r="C10" s="56">
        <f>SUM(C4:C9)</f>
        <v>117089523837</v>
      </c>
      <c r="D10" s="56">
        <f ca="1">SUM(D4:D9)</f>
        <v>117086609403.25</v>
      </c>
      <c r="E10" s="56">
        <f>SUM(E4:E9)</f>
        <v>4362972</v>
      </c>
      <c r="F10" s="57">
        <f t="shared" ref="F10" si="6">+E10/C10</f>
        <v>3.7261847661740267E-5</v>
      </c>
      <c r="G10" s="56">
        <f>SUM(G4:G9)</f>
        <v>2898400347.6699996</v>
      </c>
      <c r="H10" s="57">
        <f>+G10/$C$10</f>
        <v>2.4753711969183977E-2</v>
      </c>
      <c r="I10" s="56">
        <f>SUM(I4:I9)</f>
        <v>0</v>
      </c>
      <c r="J10" s="57">
        <f t="shared" ref="J10" si="7">+I10/(E10+G10)</f>
        <v>0</v>
      </c>
      <c r="K10" s="56">
        <f>SUM(K4:K9)</f>
        <v>109931381274.07999</v>
      </c>
      <c r="L10" s="57">
        <f>+K10/$C$10</f>
        <v>0.93886607163178115</v>
      </c>
      <c r="M10" s="56">
        <f>SUM(M4:M9)</f>
        <v>92686644098.789978</v>
      </c>
      <c r="N10" s="57">
        <f>+M10/$C$10</f>
        <v>0.79158784715717856</v>
      </c>
      <c r="O10" s="56">
        <f ca="1">SUM(O4:O9)</f>
        <v>4255379243.25</v>
      </c>
      <c r="P10" s="57">
        <f ca="1">+O10/$C$10</f>
        <v>3.6342954551373027E-2</v>
      </c>
      <c r="Q10" s="56">
        <f ca="1">SUM(Q4:Q9)</f>
        <v>4252464809.5</v>
      </c>
      <c r="R10" s="57">
        <f ca="1">+Q10/$C$10</f>
        <v>3.6318063906552768E-2</v>
      </c>
    </row>
    <row r="11" spans="1:19" s="43" customFormat="1" ht="12.75" x14ac:dyDescent="0.2">
      <c r="D11" s="44">
        <f>+Estado!C196-C10</f>
        <v>0</v>
      </c>
      <c r="E11" s="44">
        <f ca="1">+Estado!D196-D10</f>
        <v>0</v>
      </c>
      <c r="F11" s="44">
        <f>+Estado!E196-E10</f>
        <v>0</v>
      </c>
      <c r="G11" s="44"/>
      <c r="H11" s="44">
        <f>+Estado!G196-G10</f>
        <v>0</v>
      </c>
      <c r="I11" s="44"/>
      <c r="J11" s="44">
        <f>+Estado!I196-I10</f>
        <v>0</v>
      </c>
      <c r="K11" s="44"/>
      <c r="L11" s="44">
        <f>+Estado!K196-K10</f>
        <v>0</v>
      </c>
      <c r="M11" s="44"/>
      <c r="N11" s="44">
        <f>+Estado!M196-M10</f>
        <v>0</v>
      </c>
      <c r="O11" s="44"/>
      <c r="P11" s="44">
        <f ca="1">+Estado!O196-O10</f>
        <v>0</v>
      </c>
      <c r="Q11" s="44"/>
      <c r="R11" s="44">
        <f ca="1">+Estado!Q196-Q10</f>
        <v>0</v>
      </c>
      <c r="S11" s="44"/>
    </row>
    <row r="12" spans="1:19" ht="25.5" x14ac:dyDescent="0.25">
      <c r="A12" s="58"/>
      <c r="B12" s="58"/>
      <c r="C12" s="59" t="s">
        <v>61</v>
      </c>
      <c r="D12" s="60" t="s">
        <v>62</v>
      </c>
    </row>
    <row r="13" spans="1:19" x14ac:dyDescent="0.25">
      <c r="A13" s="219" t="s">
        <v>63</v>
      </c>
      <c r="B13" s="220"/>
      <c r="C13" s="42">
        <f>+D13/C10*100</f>
        <v>3.7261847661740266E-3</v>
      </c>
      <c r="D13" s="45">
        <f>+E10</f>
        <v>4362972</v>
      </c>
    </row>
    <row r="14" spans="1:19" x14ac:dyDescent="0.25">
      <c r="A14" s="217" t="s">
        <v>64</v>
      </c>
      <c r="B14" s="218"/>
      <c r="C14" s="42">
        <f>+D14/C10*100</f>
        <v>2.4753711969183976</v>
      </c>
      <c r="D14" s="45">
        <f>+G10</f>
        <v>2898400347.6699996</v>
      </c>
    </row>
    <row r="15" spans="1:19" x14ac:dyDescent="0.25">
      <c r="A15" s="217" t="s">
        <v>65</v>
      </c>
      <c r="B15" s="218"/>
      <c r="C15" s="42">
        <f>+D15/C10*100</f>
        <v>0</v>
      </c>
      <c r="D15" s="45">
        <f>+I10</f>
        <v>0</v>
      </c>
    </row>
    <row r="16" spans="1:19" ht="32.25" customHeight="1" x14ac:dyDescent="0.25">
      <c r="A16" s="217" t="s">
        <v>66</v>
      </c>
      <c r="B16" s="218"/>
      <c r="C16" s="42">
        <f>+D16/C10*100</f>
        <v>93.886607163178113</v>
      </c>
      <c r="D16" s="45">
        <f>+K10</f>
        <v>109931381274.07999</v>
      </c>
    </row>
    <row r="17" spans="1:4" x14ac:dyDescent="0.25">
      <c r="A17" s="217" t="s">
        <v>67</v>
      </c>
      <c r="B17" s="218"/>
      <c r="C17" s="42">
        <f ca="1">+D17/C10*100</f>
        <v>3.6342954551373028</v>
      </c>
      <c r="D17" s="45">
        <f ca="1">+O10</f>
        <v>4255379243.25</v>
      </c>
    </row>
    <row r="18" spans="1:4" x14ac:dyDescent="0.25">
      <c r="A18" s="217" t="s">
        <v>15</v>
      </c>
      <c r="B18" s="218"/>
      <c r="C18" s="46">
        <f ca="1">SUM(C13:C17)</f>
        <v>99.999999999999986</v>
      </c>
      <c r="D18" s="47">
        <f ca="1">SUM(D13:D17)</f>
        <v>117089523836.99998</v>
      </c>
    </row>
    <row r="19" spans="1:4" x14ac:dyDescent="0.25">
      <c r="A19" s="217"/>
      <c r="B19" s="218"/>
    </row>
    <row r="20" spans="1:4" x14ac:dyDescent="0.25">
      <c r="A20" s="217" t="s">
        <v>68</v>
      </c>
      <c r="B20" s="218"/>
      <c r="C20" s="42">
        <f>+D20/C10*100</f>
        <v>96.36570454486268</v>
      </c>
      <c r="D20" s="45">
        <f>+E10+G10+I10+K10</f>
        <v>112834144593.74998</v>
      </c>
    </row>
    <row r="21" spans="1:4" x14ac:dyDescent="0.25">
      <c r="A21" s="217" t="s">
        <v>69</v>
      </c>
      <c r="B21" s="218"/>
      <c r="C21" s="42">
        <f>+D21/C10*100</f>
        <v>79.158784715717857</v>
      </c>
      <c r="D21" s="45">
        <f>+M10</f>
        <v>92686644098.789978</v>
      </c>
    </row>
    <row r="22" spans="1:4" x14ac:dyDescent="0.25">
      <c r="A22" s="217" t="s">
        <v>70</v>
      </c>
      <c r="B22" s="218"/>
      <c r="C22" s="42">
        <f ca="1">+D22/C10*100</f>
        <v>3.6318063906552767</v>
      </c>
      <c r="D22" s="45">
        <f ca="1">+Q10</f>
        <v>4252464809.5</v>
      </c>
    </row>
  </sheetData>
  <mergeCells count="10"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ageMargins left="0.7" right="0.7" top="0.75" bottom="0.75" header="0.3" footer="0.3"/>
  <pageSetup orientation="portrait" verticalDpi="599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topLeftCell="A10" workbookViewId="0">
      <selection activeCell="B10" sqref="B10"/>
    </sheetView>
  </sheetViews>
  <sheetFormatPr baseColWidth="10" defaultRowHeight="15" x14ac:dyDescent="0.25"/>
  <cols>
    <col min="1" max="1" width="12.28515625" customWidth="1"/>
    <col min="2" max="2" width="15.42578125" customWidth="1"/>
  </cols>
  <sheetData>
    <row r="2" spans="1:3" ht="76.5" x14ac:dyDescent="0.25">
      <c r="A2" s="58"/>
      <c r="B2" s="59" t="s">
        <v>71</v>
      </c>
    </row>
    <row r="3" spans="1:3" x14ac:dyDescent="0.25">
      <c r="A3" s="98" t="s">
        <v>88</v>
      </c>
      <c r="B3" s="49">
        <v>1.821882628574089E-2</v>
      </c>
      <c r="C3" s="48"/>
    </row>
    <row r="4" spans="1:3" x14ac:dyDescent="0.25">
      <c r="A4" s="98" t="s">
        <v>89</v>
      </c>
      <c r="B4" s="49">
        <v>0.20903043285817063</v>
      </c>
      <c r="C4" s="48"/>
    </row>
    <row r="5" spans="1:3" x14ac:dyDescent="0.25">
      <c r="A5" s="98" t="s">
        <v>90</v>
      </c>
      <c r="B5" s="49">
        <v>0.27127429643505274</v>
      </c>
      <c r="C5" s="48"/>
    </row>
    <row r="6" spans="1:3" x14ac:dyDescent="0.25">
      <c r="A6" s="98" t="s">
        <v>91</v>
      </c>
      <c r="B6" s="49">
        <v>0.3228908635887322</v>
      </c>
      <c r="C6" s="48"/>
    </row>
    <row r="7" spans="1:3" x14ac:dyDescent="0.25">
      <c r="A7" s="98" t="s">
        <v>96</v>
      </c>
      <c r="B7" s="49">
        <v>0.3969419773165343</v>
      </c>
      <c r="C7" s="48"/>
    </row>
    <row r="8" spans="1:3" x14ac:dyDescent="0.25">
      <c r="A8" s="98" t="s">
        <v>97</v>
      </c>
      <c r="B8" s="49">
        <v>0.41676701932310273</v>
      </c>
      <c r="C8" s="48"/>
    </row>
    <row r="9" spans="1:3" x14ac:dyDescent="0.25">
      <c r="A9" s="98" t="s">
        <v>571</v>
      </c>
      <c r="B9" s="49">
        <v>0.43804860238475724</v>
      </c>
      <c r="C9" s="48"/>
    </row>
    <row r="10" spans="1:3" x14ac:dyDescent="0.25">
      <c r="A10" s="98" t="s">
        <v>577</v>
      </c>
      <c r="B10" s="49">
        <v>0.48072702234201214</v>
      </c>
      <c r="C10" s="48"/>
    </row>
    <row r="11" spans="1:3" x14ac:dyDescent="0.25">
      <c r="A11" s="98" t="s">
        <v>580</v>
      </c>
      <c r="B11" s="49">
        <v>0.56934767110705753</v>
      </c>
      <c r="C11" s="48"/>
    </row>
    <row r="12" spans="1:3" x14ac:dyDescent="0.25">
      <c r="A12" s="98" t="s">
        <v>583</v>
      </c>
      <c r="B12" s="49">
        <v>0.62074131903397978</v>
      </c>
      <c r="C12" s="48"/>
    </row>
    <row r="13" spans="1:3" x14ac:dyDescent="0.25">
      <c r="A13" s="98" t="s">
        <v>585</v>
      </c>
      <c r="B13" s="49">
        <v>0.62074131903397978</v>
      </c>
      <c r="C13" s="48"/>
    </row>
    <row r="14" spans="1:3" x14ac:dyDescent="0.25">
      <c r="A14" s="98" t="s">
        <v>587</v>
      </c>
      <c r="B14" s="49">
        <v>0.67105326832929724</v>
      </c>
      <c r="C14" s="48"/>
    </row>
    <row r="15" spans="1:3" x14ac:dyDescent="0.25">
      <c r="A15" s="98" t="s">
        <v>590</v>
      </c>
      <c r="B15" s="49">
        <v>0.75680585633723607</v>
      </c>
      <c r="C15" s="48"/>
    </row>
    <row r="16" spans="1:3" x14ac:dyDescent="0.25">
      <c r="A16" s="98" t="s">
        <v>594</v>
      </c>
      <c r="B16" s="49">
        <v>0.84470874084676884</v>
      </c>
      <c r="C16" s="48"/>
    </row>
    <row r="17" spans="1:3" x14ac:dyDescent="0.25">
      <c r="A17" s="98" t="s">
        <v>599</v>
      </c>
      <c r="B17" s="49">
        <f>+(+'COMPORT. RESUMEN'!$E$10+'COMPORT. RESUMEN'!$G$10+'COMPORT. RESUMEN'!$I$10+'COMPORT. RESUMEN'!$K$10)/'COMPORT. RESUMEN'!$C$10</f>
        <v>0.96365704544862685</v>
      </c>
      <c r="C17" s="48"/>
    </row>
    <row r="18" spans="1:3" hidden="1" x14ac:dyDescent="0.25">
      <c r="A18" s="50" t="s">
        <v>72</v>
      </c>
      <c r="B18" s="49"/>
    </row>
    <row r="24" spans="1:3" ht="25.5" x14ac:dyDescent="0.25">
      <c r="A24" s="58"/>
      <c r="B24" s="59" t="s">
        <v>67</v>
      </c>
    </row>
    <row r="25" spans="1:3" x14ac:dyDescent="0.25">
      <c r="A25" s="98" t="s">
        <v>88</v>
      </c>
      <c r="B25" s="49">
        <v>0.76959163485424309</v>
      </c>
    </row>
    <row r="26" spans="1:3" x14ac:dyDescent="0.25">
      <c r="A26" s="98" t="s">
        <v>89</v>
      </c>
      <c r="B26" s="49">
        <v>0.57840456743308899</v>
      </c>
    </row>
    <row r="27" spans="1:3" x14ac:dyDescent="0.25">
      <c r="A27" s="98" t="s">
        <v>90</v>
      </c>
      <c r="B27" s="49">
        <v>0.50848093857375021</v>
      </c>
    </row>
    <row r="28" spans="1:3" x14ac:dyDescent="0.25">
      <c r="A28" s="98" t="s">
        <v>91</v>
      </c>
      <c r="B28" s="49">
        <v>0.6771091364112678</v>
      </c>
    </row>
    <row r="29" spans="1:3" x14ac:dyDescent="0.25">
      <c r="A29" s="98" t="s">
        <v>96</v>
      </c>
      <c r="B29" s="49">
        <v>0.60305802268346564</v>
      </c>
    </row>
    <row r="30" spans="1:3" x14ac:dyDescent="0.25">
      <c r="A30" s="98" t="s">
        <v>97</v>
      </c>
      <c r="B30" s="49">
        <v>0.58323298067689733</v>
      </c>
    </row>
    <row r="31" spans="1:3" x14ac:dyDescent="0.25">
      <c r="A31" s="98" t="s">
        <v>571</v>
      </c>
      <c r="B31" s="49">
        <v>0.5619513976152426</v>
      </c>
    </row>
    <row r="32" spans="1:3" x14ac:dyDescent="0.25">
      <c r="A32" s="98" t="s">
        <v>577</v>
      </c>
      <c r="B32" s="49">
        <v>0.51927297765798786</v>
      </c>
    </row>
    <row r="33" spans="1:2" x14ac:dyDescent="0.25">
      <c r="A33" s="98" t="s">
        <v>580</v>
      </c>
      <c r="B33" s="49">
        <v>0.43064985331372413</v>
      </c>
    </row>
    <row r="34" spans="1:2" x14ac:dyDescent="0.25">
      <c r="A34" s="98" t="s">
        <v>583</v>
      </c>
      <c r="B34" s="49">
        <v>0.3790841585123424</v>
      </c>
    </row>
    <row r="35" spans="1:2" x14ac:dyDescent="0.25">
      <c r="A35" s="98" t="s">
        <v>585</v>
      </c>
      <c r="B35" s="49">
        <v>0.3790841585123424</v>
      </c>
    </row>
    <row r="36" spans="1:2" x14ac:dyDescent="0.25">
      <c r="A36" s="98" t="s">
        <v>587</v>
      </c>
      <c r="B36" s="49">
        <v>0.32894673167070282</v>
      </c>
    </row>
    <row r="37" spans="1:2" x14ac:dyDescent="0.25">
      <c r="A37" s="98" t="s">
        <v>590</v>
      </c>
      <c r="B37" s="49">
        <v>0.15529125915323111</v>
      </c>
    </row>
    <row r="38" spans="1:2" x14ac:dyDescent="0.25">
      <c r="A38" s="98" t="s">
        <v>594</v>
      </c>
      <c r="B38" s="49">
        <v>0.15529125915323111</v>
      </c>
    </row>
    <row r="39" spans="1:2" x14ac:dyDescent="0.25">
      <c r="A39" s="98" t="s">
        <v>599</v>
      </c>
      <c r="B39" s="49">
        <f ca="1">+'COMPORT. RESUMEN'!P10</f>
        <v>3.6342954551373027E-2</v>
      </c>
    </row>
    <row r="40" spans="1:2" hidden="1" x14ac:dyDescent="0.25">
      <c r="A40" s="50" t="s">
        <v>72</v>
      </c>
      <c r="B40" s="4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B1" zoomScale="80" zoomScaleNormal="80" workbookViewId="0">
      <selection activeCell="C8" sqref="C8"/>
    </sheetView>
  </sheetViews>
  <sheetFormatPr baseColWidth="10" defaultColWidth="17.5703125" defaultRowHeight="15" x14ac:dyDescent="0.25"/>
  <cols>
    <col min="1" max="1" width="25.140625" style="24" hidden="1" customWidth="1"/>
    <col min="2" max="2" width="14.5703125" style="24" customWidth="1"/>
    <col min="3" max="3" width="19.7109375" style="24" customWidth="1"/>
    <col min="4" max="4" width="5" style="24" bestFit="1" customWidth="1"/>
    <col min="5" max="5" width="16.28515625" style="24" bestFit="1" customWidth="1"/>
    <col min="6" max="6" width="6.5703125" style="24" bestFit="1" customWidth="1"/>
    <col min="7" max="7" width="18" style="24" bestFit="1" customWidth="1"/>
    <col min="8" max="8" width="12" style="24" hidden="1" customWidth="1"/>
    <col min="9" max="9" width="5.5703125" style="24" bestFit="1" customWidth="1"/>
    <col min="10" max="10" width="15.42578125" style="24" customWidth="1"/>
    <col min="11" max="11" width="6.42578125" style="24" hidden="1" customWidth="1"/>
    <col min="12" max="12" width="18.5703125" style="24" customWidth="1"/>
    <col min="13" max="13" width="8.140625" style="24" customWidth="1"/>
    <col min="14" max="14" width="17.28515625" style="24" customWidth="1"/>
    <col min="15" max="15" width="9.42578125" style="24" customWidth="1"/>
    <col min="16" max="16384" width="17.5703125" style="24"/>
  </cols>
  <sheetData>
    <row r="1" spans="1:17" ht="15.75" x14ac:dyDescent="0.25">
      <c r="B1" s="184" t="s">
        <v>76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7" ht="15.75" x14ac:dyDescent="0.25">
      <c r="B2" s="184" t="str">
        <f>+'Resumen por Partida'!A2</f>
        <v xml:space="preserve">AL 31 DE DICEMBRE 2016        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7" ht="15.75" x14ac:dyDescent="0.25">
      <c r="B3" s="184" t="s">
        <v>55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7" x14ac:dyDescent="0.25">
      <c r="L4" s="52"/>
    </row>
    <row r="5" spans="1:17" ht="25.5" x14ac:dyDescent="0.25">
      <c r="A5" s="61"/>
      <c r="B5" s="58" t="s">
        <v>77</v>
      </c>
      <c r="C5" s="62" t="s">
        <v>1</v>
      </c>
      <c r="D5" s="62" t="s">
        <v>78</v>
      </c>
      <c r="E5" s="62" t="s">
        <v>3</v>
      </c>
      <c r="F5" s="62"/>
      <c r="G5" s="62" t="s">
        <v>43</v>
      </c>
      <c r="H5" s="62" t="s">
        <v>79</v>
      </c>
      <c r="I5" s="62"/>
      <c r="J5" s="62" t="s">
        <v>31</v>
      </c>
      <c r="K5" s="62" t="s">
        <v>78</v>
      </c>
      <c r="L5" s="62" t="s">
        <v>33</v>
      </c>
      <c r="M5" s="62" t="s">
        <v>80</v>
      </c>
      <c r="N5" s="62" t="s">
        <v>6</v>
      </c>
      <c r="O5" s="62" t="s">
        <v>8</v>
      </c>
    </row>
    <row r="6" spans="1:17" x14ac:dyDescent="0.25">
      <c r="B6" s="84" t="s">
        <v>81</v>
      </c>
      <c r="C6" s="76">
        <f>+[3]Estado!$C$10</f>
        <v>2775642622</v>
      </c>
      <c r="D6" s="169">
        <f>IFERROR(C6/$C$11,0)</f>
        <v>2.3705302840448514E-2</v>
      </c>
      <c r="E6" s="76">
        <f>+[3]Estado!$E$10</f>
        <v>32550</v>
      </c>
      <c r="F6" s="77">
        <f>+E6/C6</f>
        <v>1.1727014040642585E-5</v>
      </c>
      <c r="G6" s="76">
        <f>+[3]Estado!$G$10</f>
        <v>42655479.200000003</v>
      </c>
      <c r="H6" s="85">
        <f>IFERROR(G6/C6,0)</f>
        <v>1.5367785053417444E-2</v>
      </c>
      <c r="I6" s="85">
        <f>+G6/C6</f>
        <v>1.5367785053417444E-2</v>
      </c>
      <c r="J6" s="76">
        <f>+[3]Estado!$I$10</f>
        <v>0</v>
      </c>
      <c r="K6" s="85">
        <f>IFERROR(J6/G6,0)</f>
        <v>0</v>
      </c>
      <c r="L6" s="76">
        <f>+[3]Estado!$K$10</f>
        <v>2457181742.7800002</v>
      </c>
      <c r="M6" s="169">
        <f>IFERROR(L6/C6,0)</f>
        <v>0.88526589241141873</v>
      </c>
      <c r="N6" s="76">
        <f>+[3]Estado!$O$10</f>
        <v>275772850.01999998</v>
      </c>
      <c r="O6" s="169">
        <f>IFERROR(N6/C6,0)</f>
        <v>9.9354595521123246E-2</v>
      </c>
      <c r="Q6" s="153">
        <f>(+E11+G11+J11+L11)/C11</f>
        <v>0.96365704544862696</v>
      </c>
    </row>
    <row r="7" spans="1:17" x14ac:dyDescent="0.25">
      <c r="B7" s="84" t="s">
        <v>82</v>
      </c>
      <c r="C7" s="76">
        <f>+[4]Estado!$C$10</f>
        <v>874784347</v>
      </c>
      <c r="D7" s="169">
        <f t="shared" ref="D7" si="0">IFERROR(C7/$C$11,0)</f>
        <v>7.4710727171269807E-3</v>
      </c>
      <c r="E7" s="76">
        <f>+[4]Estado!$E$10</f>
        <v>0</v>
      </c>
      <c r="F7" s="77">
        <f t="shared" ref="F7" si="1">+E7/C7</f>
        <v>0</v>
      </c>
      <c r="G7" s="76">
        <f>+[4]Estado!$G$10</f>
        <v>4725976.55</v>
      </c>
      <c r="H7" s="85">
        <f t="shared" ref="H7" si="2">IFERROR(G7/C7,0)</f>
        <v>5.4024475474525151E-3</v>
      </c>
      <c r="I7" s="85">
        <f t="shared" ref="I7" si="3">+G7/C7</f>
        <v>5.4024475474525151E-3</v>
      </c>
      <c r="J7" s="76">
        <f>+[4]Estado!$I$10</f>
        <v>0</v>
      </c>
      <c r="K7" s="85">
        <f t="shared" ref="K7" si="4">IFERROR(J7/G7,0)</f>
        <v>0</v>
      </c>
      <c r="L7" s="76">
        <f>+[4]Estado!$K$10</f>
        <v>786800693.20000005</v>
      </c>
      <c r="M7" s="169">
        <f>IFERROR(L7/C7,0)</f>
        <v>0.89942246440310392</v>
      </c>
      <c r="N7" s="76">
        <f>+[4]Estado!$O$10</f>
        <v>83257677.25</v>
      </c>
      <c r="O7" s="169">
        <f>IFERROR(N7/C7,0)</f>
        <v>9.5175088049443579E-2</v>
      </c>
    </row>
    <row r="8" spans="1:17" x14ac:dyDescent="0.25">
      <c r="B8" s="84" t="s">
        <v>83</v>
      </c>
      <c r="C8" s="76">
        <f>+[5]Estado!$C$10</f>
        <v>9124165928</v>
      </c>
      <c r="D8" s="169">
        <f t="shared" ref="D8" si="5">IFERROR(C8/$C$11,0)</f>
        <v>7.7924699230152522E-2</v>
      </c>
      <c r="E8" s="76">
        <f>+[5]Estado!$E$10</f>
        <v>4330422</v>
      </c>
      <c r="F8" s="77">
        <f t="shared" ref="F8" si="6">+E8/C8</f>
        <v>4.7461017633523248E-4</v>
      </c>
      <c r="G8" s="76">
        <f>+[5]Estado!$G$10</f>
        <v>43419099.909999996</v>
      </c>
      <c r="H8" s="85">
        <f t="shared" ref="H8" si="7">IFERROR(G8/C8,0)</f>
        <v>4.7586924933879825E-3</v>
      </c>
      <c r="I8" s="85">
        <f t="shared" ref="I8" si="8">+G8/C8</f>
        <v>4.7586924933879825E-3</v>
      </c>
      <c r="J8" s="76">
        <f>+[5]Estado!$I$10</f>
        <v>0</v>
      </c>
      <c r="K8" s="85">
        <f t="shared" ref="K8" si="9">IFERROR(J8/G8,0)</f>
        <v>0</v>
      </c>
      <c r="L8" s="76">
        <f>+[5]Estado!$K$10</f>
        <v>8639388473.7000008</v>
      </c>
      <c r="M8" s="169">
        <f>IFERROR(L8/C8,0)</f>
        <v>0.94686884717732644</v>
      </c>
      <c r="N8" s="76">
        <f>+[5]Estado!$O$10</f>
        <v>437027932.38999999</v>
      </c>
      <c r="O8" s="169">
        <f>IFERROR(N8/C8,0)</f>
        <v>4.7897850152950436E-2</v>
      </c>
    </row>
    <row r="9" spans="1:17" x14ac:dyDescent="0.25">
      <c r="B9" s="84" t="s">
        <v>84</v>
      </c>
      <c r="C9" s="76">
        <f>+[6]Estado!$C$10</f>
        <v>91129126515</v>
      </c>
      <c r="D9" s="169">
        <f t="shared" ref="D9" si="10">IFERROR(C9/$C$11,0)</f>
        <v>0.77828590918057372</v>
      </c>
      <c r="E9" s="76">
        <f>+[6]Estado!$E$10</f>
        <v>0</v>
      </c>
      <c r="F9" s="77">
        <f t="shared" ref="F9" si="11">+E9/C9</f>
        <v>0</v>
      </c>
      <c r="G9" s="76">
        <f>+[6]Estado!$G$10</f>
        <v>2762374454.9099998</v>
      </c>
      <c r="H9" s="85">
        <f t="shared" ref="H9" si="12">IFERROR(G9/C9,0)</f>
        <v>3.0312750275898987E-2</v>
      </c>
      <c r="I9" s="85">
        <f>+G9/C9</f>
        <v>3.0312750275898987E-2</v>
      </c>
      <c r="J9" s="76">
        <f>+[6]Estado!$I$10</f>
        <v>0</v>
      </c>
      <c r="K9" s="85">
        <f t="shared" ref="K9" si="13">IFERROR(J9/G9,0)</f>
        <v>0</v>
      </c>
      <c r="L9" s="76">
        <f>+[6]Estado!$K$10</f>
        <v>85963389837.949997</v>
      </c>
      <c r="M9" s="169">
        <f>IFERROR(L9/C9,0)</f>
        <v>0.94331409863563531</v>
      </c>
      <c r="N9" s="76">
        <f>+[6]Estado!$O$10</f>
        <v>2403362222.1399999</v>
      </c>
      <c r="O9" s="169">
        <f>IFERROR(N9/C9,0)</f>
        <v>2.6373151088465691E-2</v>
      </c>
    </row>
    <row r="10" spans="1:17" x14ac:dyDescent="0.25">
      <c r="B10" s="84" t="s">
        <v>85</v>
      </c>
      <c r="C10" s="76">
        <f>+[7]Estado!$C$10</f>
        <v>13185804425</v>
      </c>
      <c r="D10" s="169">
        <f t="shared" ref="D10" si="14">IFERROR(C10/$C$11,0)</f>
        <v>0.11261301603169829</v>
      </c>
      <c r="E10" s="76">
        <f>+[7]Estado!$E$10</f>
        <v>0</v>
      </c>
      <c r="F10" s="77">
        <f t="shared" ref="F10" si="15">+E10/C10</f>
        <v>0</v>
      </c>
      <c r="G10" s="76">
        <f>+[7]Estado!$G$10</f>
        <v>45225337.100000001</v>
      </c>
      <c r="H10" s="85">
        <f t="shared" ref="H10" si="16">IFERROR(G10/C10,0)</f>
        <v>3.4298504393295674E-3</v>
      </c>
      <c r="I10" s="85">
        <f t="shared" ref="I10" si="17">+G10/C10</f>
        <v>3.4298504393295674E-3</v>
      </c>
      <c r="J10" s="76">
        <f>+[7]Estado!$I$10</f>
        <v>0</v>
      </c>
      <c r="K10" s="85">
        <f t="shared" ref="K10" si="18">IFERROR(J10/G10,0)</f>
        <v>0</v>
      </c>
      <c r="L10" s="76">
        <f>+[7]Estado!$K$10</f>
        <v>12084620526.450001</v>
      </c>
      <c r="M10" s="169">
        <f>IFERROR(L10/C10,0)</f>
        <v>0.91648716581430723</v>
      </c>
      <c r="N10" s="76">
        <f>+[7]Estado!$O$10</f>
        <v>1055958561.45</v>
      </c>
      <c r="O10" s="169">
        <f>IFERROR(N10/C10,0)</f>
        <v>8.0082983746363287E-2</v>
      </c>
    </row>
    <row r="11" spans="1:17" x14ac:dyDescent="0.25">
      <c r="A11" s="61"/>
      <c r="B11" s="55" t="s">
        <v>15</v>
      </c>
      <c r="C11" s="56">
        <f>SUM(C6:C10)</f>
        <v>117089523837</v>
      </c>
      <c r="D11" s="57"/>
      <c r="E11" s="56">
        <f>SUM(E6:E10)</f>
        <v>4362972</v>
      </c>
      <c r="F11" s="57">
        <f>+E11/C11</f>
        <v>3.7261847661740267E-5</v>
      </c>
      <c r="G11" s="56">
        <f>SUM(G6:G10)</f>
        <v>2898400347.6699996</v>
      </c>
      <c r="H11" s="57">
        <f>+G11/C11</f>
        <v>2.4753711969183977E-2</v>
      </c>
      <c r="I11" s="97">
        <f>+G11/C11</f>
        <v>2.4753711969183977E-2</v>
      </c>
      <c r="J11" s="56">
        <f>SUM(J6:J10)</f>
        <v>0</v>
      </c>
      <c r="K11" s="57">
        <f>+J11/G11</f>
        <v>0</v>
      </c>
      <c r="L11" s="56">
        <f>SUM(L6:L10)</f>
        <v>109931381274.08</v>
      </c>
      <c r="M11" s="171">
        <f>+L11/C11</f>
        <v>0.93886607163178126</v>
      </c>
      <c r="N11" s="56">
        <f>SUM(N6:N10)</f>
        <v>4255379243.25</v>
      </c>
      <c r="O11" s="171">
        <f>+N11/C11</f>
        <v>3.6342954551373027E-2</v>
      </c>
    </row>
    <row r="12" spans="1:17" x14ac:dyDescent="0.25">
      <c r="B12" s="81"/>
      <c r="C12" s="44">
        <f>+C11-Estado!C10</f>
        <v>0</v>
      </c>
      <c r="D12" s="44"/>
      <c r="E12" s="44">
        <f>+E11-Estado!E10</f>
        <v>0</v>
      </c>
      <c r="F12" s="44"/>
      <c r="G12" s="44">
        <f>+G11-Estado!G10</f>
        <v>0</v>
      </c>
      <c r="H12" s="44"/>
      <c r="I12" s="44"/>
      <c r="J12" s="44"/>
      <c r="K12" s="44"/>
      <c r="L12" s="44">
        <f>+L11-Estado!K10</f>
        <v>0</v>
      </c>
      <c r="M12" s="44"/>
      <c r="N12" s="44">
        <f>+N11-Estado!O10</f>
        <v>0</v>
      </c>
      <c r="O12" s="43"/>
    </row>
    <row r="13" spans="1:17" x14ac:dyDescent="0.25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6"/>
      <c r="O13" s="81"/>
    </row>
    <row r="17" spans="2:4" x14ac:dyDescent="0.25">
      <c r="B17" s="87"/>
      <c r="C17" s="87"/>
      <c r="D17" s="87"/>
    </row>
    <row r="18" spans="2:4" x14ac:dyDescent="0.25">
      <c r="B18" s="87"/>
      <c r="C18" s="87"/>
      <c r="D18" s="87"/>
    </row>
    <row r="19" spans="2:4" x14ac:dyDescent="0.25">
      <c r="B19" s="87"/>
      <c r="C19" s="87"/>
      <c r="D19" s="87"/>
    </row>
    <row r="20" spans="2:4" x14ac:dyDescent="0.25">
      <c r="B20" s="87"/>
      <c r="C20" s="87"/>
      <c r="D20" s="87"/>
    </row>
  </sheetData>
  <mergeCells count="3">
    <mergeCell ref="B1:O1"/>
    <mergeCell ref="B2:O2"/>
    <mergeCell ref="B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Hoja1</vt:lpstr>
      <vt:lpstr>Estado</vt:lpstr>
      <vt:lpstr>SIGAF</vt:lpstr>
      <vt:lpstr>Resumen partida</vt:lpstr>
      <vt:lpstr>Hoja4</vt:lpstr>
      <vt:lpstr>Resumen por Partida</vt:lpstr>
      <vt:lpstr>COMPORT. RESUMEN</vt:lpstr>
      <vt:lpstr>MENSUAL</vt:lpstr>
      <vt:lpstr>ANALISIS POR PROG</vt:lpstr>
      <vt:lpstr>Ejecucion por Programa</vt:lpstr>
      <vt:lpstr>RESUMEN</vt:lpstr>
      <vt:lpstr>proyeccion</vt:lpstr>
      <vt:lpstr>Estado!Área_de_impresión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Arroyo Hernadez</dc:creator>
  <cp:lastModifiedBy>Karol Arroyo Hernadez</cp:lastModifiedBy>
  <cp:lastPrinted>2016-06-03T13:27:38Z</cp:lastPrinted>
  <dcterms:created xsi:type="dcterms:W3CDTF">2015-09-07T19:14:27Z</dcterms:created>
  <dcterms:modified xsi:type="dcterms:W3CDTF">2017-01-16T20:31:49Z</dcterms:modified>
</cp:coreProperties>
</file>